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8_{14E38EA7-5235-4A9D-8E1E-46ECC00DF2C3}" xr6:coauthVersionLast="44" xr6:coauthVersionMax="44" xr10:uidLastSave="{00000000-0000-0000-0000-000000000000}"/>
  <bookViews>
    <workbookView xWindow="-110" yWindow="-110" windowWidth="25820" windowHeight="14020" tabRatio="622" activeTab="1" xr2:uid="{00000000-000D-0000-FFFF-FFFF00000000}"/>
  </bookViews>
  <sheets>
    <sheet name="SYNTHESE" sheetId="26" r:id="rId1"/>
    <sheet name="Données initiales" sheetId="1" r:id="rId2"/>
  </sheets>
  <externalReferences>
    <externalReference r:id="rId3"/>
    <externalReference r:id="rId4"/>
  </externalReferences>
  <definedNames>
    <definedName name="_xlnm._FilterDatabase" localSheetId="1" hidden="1">'Données initiales'!$A$1:$IJ$163</definedName>
    <definedName name="Communes">#REF!</definedName>
    <definedName name="Liste_Ass">#REF!</definedName>
    <definedName name="ListeRO">#REF!</definedName>
    <definedName name="Phases">#REF!</definedName>
    <definedName name="_xlnm.Print_Area" localSheetId="1">'Données initiales'!$A$1:$IV$258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26" l="1" a="1"/>
  <c r="B5" i="26" s="1"/>
  <c r="GG166" i="1" l="1"/>
  <c r="GD129" i="1"/>
  <c r="GP166" i="1" l="1"/>
  <c r="GP167" i="1" s="1"/>
  <c r="GD11" i="1" l="1"/>
  <c r="GU166" i="1"/>
  <c r="BE156" i="1" l="1"/>
  <c r="BE157" i="1"/>
  <c r="BE158" i="1"/>
  <c r="BE159" i="1"/>
  <c r="BD111" i="1"/>
  <c r="BD128" i="1"/>
  <c r="BD123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C128" i="1"/>
  <c r="BC123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GP190" i="1" l="1"/>
  <c r="GR190" i="1"/>
  <c r="GO190" i="1"/>
  <c r="GO181" i="1"/>
  <c r="GM181" i="1"/>
  <c r="GM190" i="1"/>
  <c r="GR185" i="1"/>
  <c r="GR186" i="1"/>
  <c r="GR187" i="1"/>
  <c r="GR188" i="1"/>
  <c r="GR184" i="1"/>
  <c r="GQ185" i="1"/>
  <c r="GQ186" i="1"/>
  <c r="GQ187" i="1"/>
  <c r="GQ188" i="1"/>
  <c r="GQ189" i="1"/>
  <c r="GR189" i="1" s="1"/>
  <c r="GQ184" i="1"/>
  <c r="GO185" i="1"/>
  <c r="GO186" i="1"/>
  <c r="GO187" i="1"/>
  <c r="GO188" i="1"/>
  <c r="GO189" i="1"/>
  <c r="GO184" i="1"/>
  <c r="GO170" i="1" l="1"/>
  <c r="GO171" i="1"/>
  <c r="GO172" i="1"/>
  <c r="GO173" i="1"/>
  <c r="GO174" i="1"/>
  <c r="GO175" i="1"/>
  <c r="GO176" i="1"/>
  <c r="GO177" i="1"/>
  <c r="GO178" i="1"/>
  <c r="GO179" i="1"/>
  <c r="GO180" i="1"/>
  <c r="GO169" i="1"/>
  <c r="CM8" i="1" l="1"/>
  <c r="EL106" i="1" l="1"/>
  <c r="HS78" i="1" l="1"/>
  <c r="HS2" i="1" l="1"/>
  <c r="II2" i="1" s="1"/>
  <c r="HS117" i="1"/>
  <c r="II117" i="1" s="1"/>
  <c r="HS4" i="1"/>
  <c r="II4" i="1" s="1"/>
  <c r="HS98" i="1"/>
  <c r="II98" i="1" s="1"/>
  <c r="HS31" i="1"/>
  <c r="II31" i="1" s="1"/>
  <c r="HS7" i="1"/>
  <c r="II7" i="1" s="1"/>
  <c r="HS110" i="1"/>
  <c r="II110" i="1" s="1"/>
  <c r="HS129" i="1"/>
  <c r="II129" i="1" s="1"/>
  <c r="HS10" i="1"/>
  <c r="II10" i="1" s="1"/>
  <c r="HS95" i="1"/>
  <c r="II95" i="1" s="1"/>
  <c r="HS127" i="1"/>
  <c r="II127" i="1" s="1"/>
  <c r="HS48" i="1"/>
  <c r="II48" i="1" s="1"/>
  <c r="HS107" i="1"/>
  <c r="II107" i="1" s="1"/>
  <c r="HS16" i="1"/>
  <c r="II16" i="1" s="1"/>
  <c r="HS100" i="1"/>
  <c r="II100" i="1" s="1"/>
  <c r="HS57" i="1"/>
  <c r="II57" i="1" s="1"/>
  <c r="HS119" i="1"/>
  <c r="II119" i="1" s="1"/>
  <c r="HS109" i="1"/>
  <c r="II109" i="1" s="1"/>
  <c r="HS90" i="1"/>
  <c r="II90" i="1" s="1"/>
  <c r="HS124" i="1"/>
  <c r="II124" i="1" s="1"/>
  <c r="HS39" i="1"/>
  <c r="II39" i="1" s="1"/>
  <c r="HS125" i="1"/>
  <c r="II125" i="1" s="1"/>
  <c r="HS118" i="1"/>
  <c r="II118" i="1" s="1"/>
  <c r="HS96" i="1"/>
  <c r="II96" i="1" s="1"/>
  <c r="HS27" i="1"/>
  <c r="II27" i="1" s="1"/>
  <c r="HS101" i="1"/>
  <c r="II101" i="1" s="1"/>
  <c r="HS29" i="1"/>
  <c r="II29" i="1" s="1"/>
  <c r="HS106" i="1"/>
  <c r="II106" i="1" s="1"/>
  <c r="HS70" i="1"/>
  <c r="II70" i="1" s="1"/>
  <c r="HS111" i="1"/>
  <c r="II111" i="1" s="1"/>
  <c r="HS43" i="1"/>
  <c r="II43" i="1" s="1"/>
  <c r="HS104" i="1"/>
  <c r="II104" i="1" s="1"/>
  <c r="HS126" i="1"/>
  <c r="II126" i="1" s="1"/>
  <c r="HS120" i="1"/>
  <c r="II120" i="1" s="1"/>
  <c r="HS36" i="1"/>
  <c r="II36" i="1" s="1"/>
  <c r="HS38" i="1"/>
  <c r="II38" i="1" s="1"/>
  <c r="HS37" i="1"/>
  <c r="II37" i="1" s="1"/>
  <c r="HS40" i="1"/>
  <c r="II40" i="1" s="1"/>
  <c r="HS41" i="1"/>
  <c r="II41" i="1" s="1"/>
  <c r="HS42" i="1"/>
  <c r="II42" i="1" s="1"/>
  <c r="HS8" i="1"/>
  <c r="II8" i="1" s="1"/>
  <c r="HS44" i="1"/>
  <c r="II44" i="1" s="1"/>
  <c r="HS3" i="1"/>
  <c r="II3" i="1" s="1"/>
  <c r="HS46" i="1"/>
  <c r="II46" i="1" s="1"/>
  <c r="HS47" i="1"/>
  <c r="II47" i="1" s="1"/>
  <c r="HS5" i="1"/>
  <c r="II5" i="1" s="1"/>
  <c r="HS49" i="1"/>
  <c r="II49" i="1" s="1"/>
  <c r="HS50" i="1"/>
  <c r="II50" i="1" s="1"/>
  <c r="HS51" i="1"/>
  <c r="II51" i="1" s="1"/>
  <c r="HS52" i="1"/>
  <c r="II52" i="1" s="1"/>
  <c r="HS53" i="1"/>
  <c r="II53" i="1" s="1"/>
  <c r="HS6" i="1"/>
  <c r="II6" i="1" s="1"/>
  <c r="HS55" i="1"/>
  <c r="II55" i="1" s="1"/>
  <c r="HS56" i="1"/>
  <c r="II56" i="1" s="1"/>
  <c r="HS13" i="1"/>
  <c r="II13" i="1" s="1"/>
  <c r="HS58" i="1"/>
  <c r="II58" i="1" s="1"/>
  <c r="HS59" i="1"/>
  <c r="II59" i="1" s="1"/>
  <c r="HS60" i="1"/>
  <c r="II60" i="1" s="1"/>
  <c r="HS61" i="1"/>
  <c r="II61" i="1" s="1"/>
  <c r="HS62" i="1"/>
  <c r="II62" i="1" s="1"/>
  <c r="HS63" i="1"/>
  <c r="II63" i="1" s="1"/>
  <c r="HS64" i="1"/>
  <c r="II64" i="1" s="1"/>
  <c r="HS65" i="1"/>
  <c r="II65" i="1" s="1"/>
  <c r="HS66" i="1"/>
  <c r="II66" i="1" s="1"/>
  <c r="HS67" i="1"/>
  <c r="II67" i="1" s="1"/>
  <c r="HS68" i="1"/>
  <c r="II68" i="1" s="1"/>
  <c r="HS69" i="1"/>
  <c r="II69" i="1" s="1"/>
  <c r="HS18" i="1"/>
  <c r="II18" i="1" s="1"/>
  <c r="HS26" i="1"/>
  <c r="II26" i="1" s="1"/>
  <c r="HS72" i="1"/>
  <c r="II72" i="1" s="1"/>
  <c r="HS45" i="1"/>
  <c r="II45" i="1" s="1"/>
  <c r="HS74" i="1"/>
  <c r="II74" i="1" s="1"/>
  <c r="HS75" i="1"/>
  <c r="II75" i="1" s="1"/>
  <c r="HS76" i="1"/>
  <c r="II76" i="1" s="1"/>
  <c r="HS77" i="1"/>
  <c r="II77" i="1" s="1"/>
  <c r="II78" i="1"/>
  <c r="HS79" i="1"/>
  <c r="II79" i="1" s="1"/>
  <c r="HS80" i="1"/>
  <c r="II80" i="1" s="1"/>
  <c r="HS81" i="1"/>
  <c r="II81" i="1" s="1"/>
  <c r="HS82" i="1"/>
  <c r="II82" i="1" s="1"/>
  <c r="HS83" i="1"/>
  <c r="II83" i="1" s="1"/>
  <c r="HS84" i="1"/>
  <c r="II84" i="1" s="1"/>
  <c r="HS85" i="1"/>
  <c r="II85" i="1" s="1"/>
  <c r="HS86" i="1"/>
  <c r="II86" i="1" s="1"/>
  <c r="HS87" i="1"/>
  <c r="II87" i="1" s="1"/>
  <c r="HS88" i="1"/>
  <c r="II88" i="1" s="1"/>
  <c r="HS89" i="1"/>
  <c r="II89" i="1" s="1"/>
  <c r="HS11" i="1"/>
  <c r="II11" i="1" s="1"/>
  <c r="HS91" i="1"/>
  <c r="II91" i="1" s="1"/>
  <c r="HS92" i="1"/>
  <c r="II92" i="1" s="1"/>
  <c r="HS93" i="1"/>
  <c r="II93" i="1" s="1"/>
  <c r="HS94" i="1"/>
  <c r="II94" i="1" s="1"/>
  <c r="HS17" i="1"/>
  <c r="II17" i="1" s="1"/>
  <c r="HS21" i="1"/>
  <c r="II21" i="1" s="1"/>
  <c r="HS97" i="1"/>
  <c r="II97" i="1" s="1"/>
  <c r="HS71" i="1"/>
  <c r="II71" i="1" s="1"/>
  <c r="HS99" i="1"/>
  <c r="II99" i="1" s="1"/>
  <c r="HS28" i="1"/>
  <c r="II28" i="1" s="1"/>
  <c r="HS30" i="1"/>
  <c r="II30" i="1" s="1"/>
  <c r="HS102" i="1"/>
  <c r="II102" i="1" s="1"/>
  <c r="HS103" i="1"/>
  <c r="II103" i="1" s="1"/>
  <c r="HS34" i="1"/>
  <c r="II34" i="1" s="1"/>
  <c r="HS105" i="1"/>
  <c r="II105" i="1" s="1"/>
  <c r="HS54" i="1"/>
  <c r="II54" i="1" s="1"/>
  <c r="HS73" i="1"/>
  <c r="II73" i="1" s="1"/>
  <c r="HS108" i="1"/>
  <c r="II108" i="1" s="1"/>
  <c r="HS22" i="1"/>
  <c r="II22" i="1" s="1"/>
  <c r="HS24" i="1"/>
  <c r="II24" i="1" s="1"/>
  <c r="HS9" i="1"/>
  <c r="II9" i="1" s="1"/>
  <c r="HS23" i="1"/>
  <c r="II23" i="1" s="1"/>
  <c r="HS25" i="1"/>
  <c r="II25" i="1" s="1"/>
  <c r="HS12" i="1"/>
  <c r="II12" i="1" s="1"/>
  <c r="HS14" i="1"/>
  <c r="II14" i="1" s="1"/>
  <c r="HS19" i="1"/>
  <c r="II19" i="1" s="1"/>
  <c r="HS20" i="1"/>
  <c r="II20" i="1" s="1"/>
  <c r="HS32" i="1"/>
  <c r="II32" i="1" s="1"/>
  <c r="HS121" i="1"/>
  <c r="II121" i="1" s="1"/>
  <c r="HS112" i="1"/>
  <c r="II112" i="1" s="1"/>
  <c r="HS113" i="1"/>
  <c r="II113" i="1" s="1"/>
  <c r="HS114" i="1"/>
  <c r="II114" i="1" s="1"/>
  <c r="HS115" i="1"/>
  <c r="II115" i="1" s="1"/>
  <c r="HS116" i="1"/>
  <c r="II116" i="1" s="1"/>
  <c r="HS122" i="1"/>
  <c r="II122" i="1" s="1"/>
  <c r="HS33" i="1"/>
  <c r="II33" i="1" s="1"/>
  <c r="HS35" i="1"/>
  <c r="II35" i="1" s="1"/>
  <c r="HS128" i="1"/>
  <c r="II128" i="1" s="1"/>
  <c r="HS123" i="1"/>
  <c r="II123" i="1" s="1"/>
  <c r="HS130" i="1"/>
  <c r="II130" i="1" s="1"/>
  <c r="HS131" i="1"/>
  <c r="II131" i="1" s="1"/>
  <c r="HS132" i="1"/>
  <c r="II132" i="1" s="1"/>
  <c r="HS133" i="1"/>
  <c r="II133" i="1" s="1"/>
  <c r="HS134" i="1"/>
  <c r="II134" i="1" s="1"/>
  <c r="HS135" i="1"/>
  <c r="II135" i="1" s="1"/>
  <c r="HS136" i="1"/>
  <c r="II136" i="1" s="1"/>
  <c r="HS137" i="1"/>
  <c r="II137" i="1" s="1"/>
  <c r="HS138" i="1"/>
  <c r="II138" i="1" s="1"/>
  <c r="HS139" i="1"/>
  <c r="II139" i="1" s="1"/>
  <c r="HS140" i="1"/>
  <c r="II140" i="1" s="1"/>
  <c r="HS141" i="1"/>
  <c r="II141" i="1" s="1"/>
  <c r="HS142" i="1"/>
  <c r="II142" i="1" s="1"/>
  <c r="HS143" i="1"/>
  <c r="II143" i="1" s="1"/>
  <c r="HS144" i="1"/>
  <c r="II144" i="1" s="1"/>
  <c r="HS145" i="1"/>
  <c r="II145" i="1" s="1"/>
  <c r="HS146" i="1"/>
  <c r="II146" i="1" s="1"/>
  <c r="HS147" i="1"/>
  <c r="II147" i="1" s="1"/>
  <c r="HS148" i="1"/>
  <c r="II148" i="1" s="1"/>
  <c r="HS149" i="1"/>
  <c r="II149" i="1" s="1"/>
  <c r="HS150" i="1"/>
  <c r="II150" i="1" s="1"/>
  <c r="HS151" i="1"/>
  <c r="II151" i="1" s="1"/>
  <c r="HS152" i="1"/>
  <c r="II152" i="1" s="1"/>
  <c r="HS153" i="1"/>
  <c r="II153" i="1" s="1"/>
  <c r="HS154" i="1"/>
  <c r="II154" i="1" s="1"/>
  <c r="HS155" i="1"/>
  <c r="II155" i="1" s="1"/>
  <c r="HS156" i="1"/>
  <c r="II156" i="1" s="1"/>
  <c r="HS157" i="1"/>
  <c r="II157" i="1" s="1"/>
  <c r="HS158" i="1"/>
  <c r="II158" i="1" s="1"/>
  <c r="HS159" i="1"/>
  <c r="II159" i="1" s="1"/>
  <c r="HS160" i="1"/>
  <c r="II160" i="1" s="1"/>
  <c r="HS161" i="1"/>
  <c r="II161" i="1" s="1"/>
  <c r="HS162" i="1"/>
  <c r="II162" i="1" s="1"/>
  <c r="HS163" i="1"/>
  <c r="II163" i="1" s="1"/>
  <c r="BD167" i="1" l="1"/>
  <c r="C200" i="1" l="1" a="1"/>
  <c r="C200" i="1" s="1"/>
  <c r="BV42" i="1" l="1"/>
  <c r="BV7" i="1"/>
  <c r="BV8" i="1"/>
  <c r="BV127" i="1"/>
  <c r="BV44" i="1"/>
  <c r="BV3" i="1"/>
  <c r="BV46" i="1"/>
  <c r="BV47" i="1"/>
  <c r="BV5" i="1"/>
  <c r="BV49" i="1"/>
  <c r="BV50" i="1"/>
  <c r="BV51" i="1"/>
  <c r="BV52" i="1"/>
  <c r="BV53" i="1"/>
  <c r="BV6" i="1"/>
  <c r="BV55" i="1"/>
  <c r="BV56" i="1"/>
  <c r="BV13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18" i="1"/>
  <c r="BV26" i="1"/>
  <c r="BV72" i="1"/>
  <c r="BV45" i="1"/>
  <c r="BV74" i="1"/>
  <c r="BV129" i="1"/>
  <c r="BV75" i="1"/>
  <c r="BV76" i="1"/>
  <c r="BV77" i="1"/>
  <c r="BV78" i="1"/>
  <c r="BV79" i="1"/>
  <c r="BV80" i="1"/>
  <c r="BV10" i="1"/>
  <c r="BV81" i="1"/>
  <c r="BV82" i="1"/>
  <c r="BV83" i="1"/>
  <c r="BV84" i="1"/>
  <c r="BV85" i="1"/>
  <c r="BV86" i="1"/>
  <c r="BV87" i="1"/>
  <c r="BV88" i="1"/>
  <c r="BV89" i="1"/>
  <c r="BV11" i="1"/>
  <c r="BV91" i="1"/>
  <c r="BV92" i="1"/>
  <c r="BV2" i="1"/>
  <c r="BV48" i="1"/>
  <c r="BV93" i="1"/>
  <c r="BV94" i="1"/>
  <c r="BV17" i="1"/>
  <c r="BV21" i="1"/>
  <c r="BV97" i="1"/>
  <c r="BV71" i="1"/>
  <c r="BV99" i="1"/>
  <c r="BV28" i="1"/>
  <c r="BV30" i="1"/>
  <c r="BV16" i="1"/>
  <c r="BV4" i="1"/>
  <c r="BV102" i="1"/>
  <c r="BV103" i="1"/>
  <c r="BV34" i="1"/>
  <c r="BV105" i="1"/>
  <c r="BV54" i="1"/>
  <c r="BV73" i="1"/>
  <c r="BV108" i="1"/>
  <c r="BV90" i="1"/>
  <c r="BV95" i="1"/>
  <c r="BV96" i="1"/>
  <c r="BV22" i="1"/>
  <c r="BV106" i="1"/>
  <c r="BV15" i="1"/>
  <c r="BV98" i="1"/>
  <c r="BV101" i="1"/>
  <c r="BV100" i="1"/>
  <c r="BV57" i="1"/>
  <c r="BV24" i="1"/>
  <c r="BV36" i="1"/>
  <c r="BV39" i="1"/>
  <c r="BV110" i="1"/>
  <c r="BV9" i="1"/>
  <c r="BV23" i="1"/>
  <c r="BV25" i="1"/>
  <c r="BV37" i="1"/>
  <c r="BV124" i="1"/>
  <c r="BV117" i="1"/>
  <c r="BV43" i="1"/>
  <c r="BV111" i="1"/>
  <c r="BV12" i="1"/>
  <c r="BV14" i="1"/>
  <c r="BV19" i="1"/>
  <c r="BV20" i="1"/>
  <c r="BV32" i="1"/>
  <c r="BV118" i="1"/>
  <c r="BV119" i="1"/>
  <c r="BV125" i="1"/>
  <c r="BV120" i="1"/>
  <c r="BV107" i="1"/>
  <c r="BV70" i="1"/>
  <c r="BV31" i="1"/>
  <c r="BV109" i="1"/>
  <c r="BV27" i="1"/>
  <c r="BV112" i="1"/>
  <c r="BV113" i="1"/>
  <c r="BV114" i="1"/>
  <c r="BV115" i="1"/>
  <c r="BV116" i="1"/>
  <c r="BV122" i="1"/>
  <c r="BV104" i="1"/>
  <c r="BV38" i="1"/>
  <c r="BV126" i="1"/>
  <c r="BV33" i="1"/>
  <c r="BV35" i="1"/>
  <c r="BV121" i="1"/>
  <c r="BV128" i="1"/>
  <c r="BV123" i="1"/>
  <c r="BV130" i="1"/>
  <c r="BV29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40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W95" i="1"/>
  <c r="BW90" i="1"/>
  <c r="BW98" i="1"/>
  <c r="BW96" i="1"/>
  <c r="BX110" i="1"/>
  <c r="BX111" i="1"/>
  <c r="BX12" i="1"/>
  <c r="BX14" i="1"/>
  <c r="BX19" i="1"/>
  <c r="BX20" i="1"/>
  <c r="BX32" i="1"/>
  <c r="BX112" i="1"/>
  <c r="BX113" i="1"/>
  <c r="BX114" i="1"/>
  <c r="BX115" i="1"/>
  <c r="BX116" i="1"/>
  <c r="BX122" i="1"/>
  <c r="BX33" i="1"/>
  <c r="BX35" i="1"/>
  <c r="BX127" i="1"/>
  <c r="BX129" i="1"/>
  <c r="BX44" i="1"/>
  <c r="BX94" i="1"/>
  <c r="BX84" i="1"/>
  <c r="BX93" i="1"/>
  <c r="BX97" i="1"/>
  <c r="BX91" i="1"/>
  <c r="BX102" i="1"/>
  <c r="BX103" i="1"/>
  <c r="BX72" i="1"/>
  <c r="BX54" i="1"/>
  <c r="BW101" i="1" l="1"/>
  <c r="BY27" i="1"/>
  <c r="BV41" i="1"/>
  <c r="CA129" i="1"/>
  <c r="CA127" i="1"/>
  <c r="CA112" i="1"/>
  <c r="CA113" i="1"/>
  <c r="CA114" i="1"/>
  <c r="CA115" i="1"/>
  <c r="CA116" i="1"/>
  <c r="CA122" i="1"/>
  <c r="BW104" i="1"/>
  <c r="BW106" i="1"/>
  <c r="GP192" i="1" l="1"/>
  <c r="AF165" i="1" l="1"/>
  <c r="AH165" i="1"/>
  <c r="AI165" i="1"/>
  <c r="AD35" i="1"/>
  <c r="AD33" i="1"/>
  <c r="AD32" i="1"/>
  <c r="AD20" i="1"/>
  <c r="AD19" i="1"/>
  <c r="AD14" i="1"/>
  <c r="AD12" i="1"/>
  <c r="AD111" i="1"/>
  <c r="AD43" i="1"/>
  <c r="AD117" i="1"/>
  <c r="AD37" i="1"/>
  <c r="AD25" i="1"/>
  <c r="AD23" i="1"/>
  <c r="AD9" i="1"/>
  <c r="AD110" i="1"/>
  <c r="AD39" i="1"/>
  <c r="AD36" i="1"/>
  <c r="AD24" i="1"/>
  <c r="AD22" i="1"/>
  <c r="AS43" i="1" l="1"/>
  <c r="AP43" i="1"/>
  <c r="AR43" i="1"/>
  <c r="AT43" i="1"/>
  <c r="AK76" i="1"/>
  <c r="EB57" i="1" l="1"/>
  <c r="EK57" i="1" s="1"/>
  <c r="EB130" i="1"/>
  <c r="EC130" i="1" s="1"/>
  <c r="M198" i="1" a="1"/>
  <c r="M198" i="1" s="1"/>
  <c r="M200" i="1" a="1"/>
  <c r="M200" i="1" s="1"/>
  <c r="M199" i="1" a="1"/>
  <c r="M199" i="1" s="1"/>
  <c r="M197" i="1" a="1"/>
  <c r="M197" i="1" s="1"/>
  <c r="M196" i="1" a="1"/>
  <c r="M196" i="1" s="1"/>
  <c r="M195" i="1" a="1"/>
  <c r="M195" i="1" s="1"/>
  <c r="AL156" i="1"/>
  <c r="AM156" i="1"/>
  <c r="BM156" i="1"/>
  <c r="BQ156" i="1"/>
  <c r="CE156" i="1"/>
  <c r="CH156" i="1"/>
  <c r="CK156" i="1"/>
  <c r="CN156" i="1"/>
  <c r="CQ156" i="1"/>
  <c r="CV156" i="1"/>
  <c r="CZ156" i="1"/>
  <c r="DA156" i="1"/>
  <c r="DE156" i="1"/>
  <c r="DF156" i="1" s="1"/>
  <c r="DH156" i="1"/>
  <c r="EF156" i="1" s="1"/>
  <c r="DK156" i="1"/>
  <c r="DL156" i="1" s="1"/>
  <c r="DN156" i="1"/>
  <c r="DO156" i="1" s="1"/>
  <c r="DR156" i="1"/>
  <c r="DT156" i="1"/>
  <c r="DU156" i="1" s="1"/>
  <c r="DW156" i="1"/>
  <c r="DX156" i="1" s="1"/>
  <c r="EB156" i="1"/>
  <c r="EC156" i="1" s="1"/>
  <c r="GD156" i="1"/>
  <c r="GI156" i="1"/>
  <c r="GK156" i="1"/>
  <c r="GJ156" i="1" s="1"/>
  <c r="AL157" i="1"/>
  <c r="AM157" i="1"/>
  <c r="BM157" i="1"/>
  <c r="BQ157" i="1"/>
  <c r="CE157" i="1"/>
  <c r="CH157" i="1"/>
  <c r="CK157" i="1"/>
  <c r="CN157" i="1"/>
  <c r="CQ157" i="1"/>
  <c r="CV157" i="1"/>
  <c r="CZ157" i="1"/>
  <c r="DA157" i="1"/>
  <c r="DE157" i="1"/>
  <c r="DF157" i="1" s="1"/>
  <c r="DH157" i="1"/>
  <c r="DI157" i="1" s="1"/>
  <c r="DK157" i="1"/>
  <c r="DL157" i="1" s="1"/>
  <c r="DN157" i="1"/>
  <c r="DO157" i="1" s="1"/>
  <c r="DR157" i="1"/>
  <c r="DT157" i="1"/>
  <c r="DU157" i="1" s="1"/>
  <c r="DW157" i="1"/>
  <c r="DX157" i="1" s="1"/>
  <c r="EB157" i="1"/>
  <c r="EC157" i="1" s="1"/>
  <c r="GD157" i="1"/>
  <c r="GI157" i="1"/>
  <c r="GK157" i="1"/>
  <c r="GN157" i="1" s="1"/>
  <c r="AL158" i="1"/>
  <c r="AM158" i="1"/>
  <c r="BM158" i="1"/>
  <c r="BQ158" i="1"/>
  <c r="CE158" i="1"/>
  <c r="CH158" i="1"/>
  <c r="CK158" i="1"/>
  <c r="CN158" i="1"/>
  <c r="CQ158" i="1"/>
  <c r="CV158" i="1"/>
  <c r="CZ158" i="1"/>
  <c r="DA158" i="1"/>
  <c r="DE158" i="1"/>
  <c r="DF158" i="1" s="1"/>
  <c r="DH158" i="1"/>
  <c r="EF158" i="1" s="1"/>
  <c r="DK158" i="1"/>
  <c r="DL158" i="1" s="1"/>
  <c r="DN158" i="1"/>
  <c r="DO158" i="1" s="1"/>
  <c r="DR158" i="1"/>
  <c r="DT158" i="1"/>
  <c r="DU158" i="1" s="1"/>
  <c r="DW158" i="1"/>
  <c r="DX158" i="1" s="1"/>
  <c r="EB158" i="1"/>
  <c r="EC158" i="1" s="1"/>
  <c r="GD158" i="1"/>
  <c r="GI158" i="1"/>
  <c r="GK158" i="1"/>
  <c r="GJ158" i="1" s="1"/>
  <c r="AL159" i="1"/>
  <c r="AM159" i="1"/>
  <c r="BM159" i="1"/>
  <c r="BQ159" i="1"/>
  <c r="CE159" i="1"/>
  <c r="CH159" i="1"/>
  <c r="CK159" i="1"/>
  <c r="CN159" i="1"/>
  <c r="CQ159" i="1"/>
  <c r="CV159" i="1"/>
  <c r="CZ159" i="1"/>
  <c r="DA159" i="1"/>
  <c r="DE159" i="1"/>
  <c r="DF159" i="1" s="1"/>
  <c r="DH159" i="1"/>
  <c r="DI159" i="1" s="1"/>
  <c r="DK159" i="1"/>
  <c r="DL159" i="1" s="1"/>
  <c r="DN159" i="1"/>
  <c r="DO159" i="1" s="1"/>
  <c r="DR159" i="1"/>
  <c r="DT159" i="1"/>
  <c r="DU159" i="1" s="1"/>
  <c r="DW159" i="1"/>
  <c r="DX159" i="1" s="1"/>
  <c r="EB159" i="1"/>
  <c r="EC159" i="1" s="1"/>
  <c r="GD159" i="1"/>
  <c r="GI159" i="1"/>
  <c r="GK159" i="1"/>
  <c r="GN159" i="1" s="1"/>
  <c r="AD123" i="1"/>
  <c r="AD161" i="1"/>
  <c r="AD162" i="1"/>
  <c r="AD163" i="1"/>
  <c r="S123" i="1"/>
  <c r="T123" i="1"/>
  <c r="U123" i="1"/>
  <c r="S161" i="1"/>
  <c r="T161" i="1"/>
  <c r="U161" i="1"/>
  <c r="S162" i="1"/>
  <c r="T162" i="1"/>
  <c r="U162" i="1"/>
  <c r="S163" i="1"/>
  <c r="T163" i="1"/>
  <c r="U163" i="1"/>
  <c r="HM159" i="1" l="1"/>
  <c r="HM156" i="1"/>
  <c r="GB156" i="1"/>
  <c r="HM157" i="1"/>
  <c r="HM158" i="1"/>
  <c r="GB158" i="1"/>
  <c r="W163" i="1"/>
  <c r="BE163" i="1"/>
  <c r="V162" i="1"/>
  <c r="BE162" i="1"/>
  <c r="AE161" i="1"/>
  <c r="BE161" i="1"/>
  <c r="W123" i="1"/>
  <c r="BE123" i="1"/>
  <c r="GN158" i="1"/>
  <c r="EK156" i="1"/>
  <c r="EC57" i="1"/>
  <c r="EE158" i="1"/>
  <c r="HJ158" i="1" s="1"/>
  <c r="ED158" i="1"/>
  <c r="EK158" i="1"/>
  <c r="Y162" i="1"/>
  <c r="HN158" i="1"/>
  <c r="GN156" i="1"/>
  <c r="GJ159" i="1"/>
  <c r="DC158" i="1"/>
  <c r="GJ157" i="1"/>
  <c r="GB157" i="1" s="1"/>
  <c r="HN156" i="1"/>
  <c r="EF157" i="1"/>
  <c r="DI156" i="1"/>
  <c r="ED156" i="1"/>
  <c r="DC156" i="1"/>
  <c r="EE156" i="1"/>
  <c r="HJ156" i="1" s="1"/>
  <c r="EI156" i="1"/>
  <c r="FK156" i="1"/>
  <c r="BY156" i="1"/>
  <c r="BZ156" i="1" s="1"/>
  <c r="R161" i="1"/>
  <c r="FD157" i="1"/>
  <c r="FD156" i="1"/>
  <c r="AE163" i="1"/>
  <c r="DC157" i="1"/>
  <c r="ED157" i="1"/>
  <c r="EE157" i="1"/>
  <c r="HJ157" i="1" s="1"/>
  <c r="EI157" i="1"/>
  <c r="FK157" i="1"/>
  <c r="AE162" i="1"/>
  <c r="EK157" i="1"/>
  <c r="FD159" i="1"/>
  <c r="HN157" i="1"/>
  <c r="EF159" i="1"/>
  <c r="DI158" i="1"/>
  <c r="EI158" i="1"/>
  <c r="FK158" i="1"/>
  <c r="FD158" i="1"/>
  <c r="DC159" i="1"/>
  <c r="ED159" i="1"/>
  <c r="EE159" i="1"/>
  <c r="HJ159" i="1" s="1"/>
  <c r="EI159" i="1"/>
  <c r="FK159" i="1"/>
  <c r="BY159" i="1"/>
  <c r="BZ159" i="1" s="1"/>
  <c r="V163" i="1"/>
  <c r="R162" i="1"/>
  <c r="EK159" i="1"/>
  <c r="Y161" i="1"/>
  <c r="HN159" i="1"/>
  <c r="W161" i="1"/>
  <c r="R163" i="1"/>
  <c r="AE123" i="1"/>
  <c r="Y123" i="1"/>
  <c r="R123" i="1"/>
  <c r="V123" i="1"/>
  <c r="Y163" i="1"/>
  <c r="W162" i="1"/>
  <c r="V161" i="1"/>
  <c r="IJ157" i="1" l="1"/>
  <c r="GB159" i="1"/>
  <c r="IJ159" i="1" s="1"/>
  <c r="GF156" i="1"/>
  <c r="IJ156" i="1"/>
  <c r="GC158" i="1"/>
  <c r="IJ158" i="1"/>
  <c r="CA159" i="1"/>
  <c r="BX159" i="1"/>
  <c r="CA156" i="1"/>
  <c r="BX156" i="1"/>
  <c r="GR158" i="1"/>
  <c r="GE158" i="1"/>
  <c r="HI158" i="1"/>
  <c r="HH158" i="1"/>
  <c r="EY158" i="1"/>
  <c r="GF158" i="1"/>
  <c r="HK158" i="1"/>
  <c r="GR156" i="1"/>
  <c r="HI156" i="1"/>
  <c r="GE156" i="1"/>
  <c r="HH156" i="1"/>
  <c r="HK157" i="1"/>
  <c r="GC156" i="1"/>
  <c r="EY156" i="1"/>
  <c r="HK156" i="1"/>
  <c r="ES156" i="1"/>
  <c r="EN156" i="1"/>
  <c r="EP156" i="1" s="1"/>
  <c r="EN157" i="1"/>
  <c r="EP157" i="1" s="1"/>
  <c r="ES157" i="1"/>
  <c r="BY157" i="1"/>
  <c r="BZ157" i="1" s="1"/>
  <c r="ES158" i="1"/>
  <c r="BY158" i="1"/>
  <c r="BZ158" i="1" s="1"/>
  <c r="EN158" i="1"/>
  <c r="EP158" i="1" s="1"/>
  <c r="GE157" i="1"/>
  <c r="HI157" i="1"/>
  <c r="GF157" i="1"/>
  <c r="HH157" i="1"/>
  <c r="EY157" i="1"/>
  <c r="GC157" i="1"/>
  <c r="GR157" i="1"/>
  <c r="ES159" i="1"/>
  <c r="EN159" i="1"/>
  <c r="EP159" i="1" s="1"/>
  <c r="O200" i="1" a="1"/>
  <c r="O200" i="1" s="1"/>
  <c r="O199" i="1" a="1"/>
  <c r="O199" i="1" s="1"/>
  <c r="O198" i="1" a="1"/>
  <c r="O198" i="1" s="1"/>
  <c r="O197" i="1" a="1"/>
  <c r="O197" i="1" s="1"/>
  <c r="O196" i="1" a="1"/>
  <c r="O196" i="1" s="1"/>
  <c r="O195" i="1" a="1"/>
  <c r="O195" i="1" s="1"/>
  <c r="O194" i="1" a="1"/>
  <c r="O194" i="1" s="1"/>
  <c r="M194" i="1" a="1"/>
  <c r="M194" i="1" s="1"/>
  <c r="K200" i="1" a="1"/>
  <c r="K200" i="1" s="1"/>
  <c r="K199" i="1" a="1"/>
  <c r="K199" i="1" s="1"/>
  <c r="K198" i="1" a="1"/>
  <c r="K198" i="1" s="1"/>
  <c r="K197" i="1" a="1"/>
  <c r="K197" i="1" s="1"/>
  <c r="K196" i="1" a="1"/>
  <c r="K196" i="1" s="1"/>
  <c r="K195" i="1" a="1"/>
  <c r="K195" i="1" s="1"/>
  <c r="K194" i="1" a="1"/>
  <c r="K194" i="1" s="1"/>
  <c r="I200" i="1" a="1"/>
  <c r="I200" i="1" s="1"/>
  <c r="I199" i="1" a="1"/>
  <c r="I199" i="1" s="1"/>
  <c r="I198" i="1" a="1"/>
  <c r="I198" i="1" s="1"/>
  <c r="I197" i="1" a="1"/>
  <c r="I197" i="1" s="1"/>
  <c r="I196" i="1" a="1"/>
  <c r="I196" i="1" s="1"/>
  <c r="I195" i="1" a="1"/>
  <c r="I195" i="1" s="1"/>
  <c r="I194" i="1" a="1"/>
  <c r="I194" i="1" s="1"/>
  <c r="G200" i="1" a="1"/>
  <c r="G200" i="1" s="1"/>
  <c r="G199" i="1" a="1"/>
  <c r="G199" i="1" s="1"/>
  <c r="G198" i="1" a="1"/>
  <c r="G198" i="1" s="1"/>
  <c r="G197" i="1" a="1"/>
  <c r="G197" i="1" s="1"/>
  <c r="G196" i="1" a="1"/>
  <c r="G196" i="1" s="1"/>
  <c r="G195" i="1" a="1"/>
  <c r="G195" i="1" s="1"/>
  <c r="G194" i="1" a="1"/>
  <c r="G194" i="1" s="1"/>
  <c r="E200" i="1" a="1"/>
  <c r="E200" i="1" s="1"/>
  <c r="E199" i="1" a="1"/>
  <c r="E199" i="1" s="1"/>
  <c r="E198" i="1" a="1"/>
  <c r="E198" i="1" s="1"/>
  <c r="E197" i="1" a="1"/>
  <c r="E197" i="1" s="1"/>
  <c r="E196" i="1" a="1"/>
  <c r="E196" i="1" s="1"/>
  <c r="E195" i="1" a="1"/>
  <c r="E195" i="1" s="1"/>
  <c r="E194" i="1" a="1"/>
  <c r="E194" i="1" s="1"/>
  <c r="C199" i="1" a="1"/>
  <c r="C199" i="1" s="1"/>
  <c r="C198" i="1" a="1"/>
  <c r="C198" i="1" s="1"/>
  <c r="C197" i="1" a="1"/>
  <c r="C197" i="1" s="1"/>
  <c r="C196" i="1" a="1"/>
  <c r="C196" i="1" s="1"/>
  <c r="C195" i="1" a="1"/>
  <c r="C195" i="1" s="1"/>
  <c r="C194" i="1" a="1"/>
  <c r="C194" i="1" s="1"/>
  <c r="B177" i="1"/>
  <c r="I175" i="1" a="1"/>
  <c r="I175" i="1" s="1"/>
  <c r="I174" i="1" a="1"/>
  <c r="I174" i="1" s="1"/>
  <c r="I173" i="1" a="1"/>
  <c r="I173" i="1" s="1"/>
  <c r="I172" i="1" a="1"/>
  <c r="I172" i="1" s="1"/>
  <c r="I171" i="1" a="1"/>
  <c r="I171" i="1" s="1"/>
  <c r="I170" i="1" a="1"/>
  <c r="I170" i="1" s="1"/>
  <c r="I169" i="1" a="1"/>
  <c r="I169" i="1" s="1"/>
  <c r="I168" i="1" a="1"/>
  <c r="I168" i="1" s="1"/>
  <c r="H175" i="1" a="1"/>
  <c r="H175" i="1" s="1"/>
  <c r="H174" i="1" a="1"/>
  <c r="H174" i="1" s="1"/>
  <c r="H173" i="1" a="1"/>
  <c r="H173" i="1" s="1"/>
  <c r="H172" i="1" a="1"/>
  <c r="H172" i="1" s="1"/>
  <c r="H171" i="1" a="1"/>
  <c r="H171" i="1" s="1"/>
  <c r="H170" i="1" a="1"/>
  <c r="H170" i="1" s="1"/>
  <c r="H169" i="1" a="1"/>
  <c r="H169" i="1" s="1"/>
  <c r="H168" i="1" a="1"/>
  <c r="H168" i="1" s="1"/>
  <c r="G175" i="1" a="1"/>
  <c r="G175" i="1" s="1"/>
  <c r="G174" i="1" a="1"/>
  <c r="G174" i="1" s="1"/>
  <c r="G173" i="1" a="1"/>
  <c r="G173" i="1" s="1"/>
  <c r="G172" i="1" a="1"/>
  <c r="G172" i="1" s="1"/>
  <c r="G171" i="1" a="1"/>
  <c r="G171" i="1" s="1"/>
  <c r="G170" i="1" a="1"/>
  <c r="G170" i="1" s="1"/>
  <c r="G169" i="1" a="1"/>
  <c r="G169" i="1" s="1"/>
  <c r="G168" i="1" a="1"/>
  <c r="G168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E175" i="1" a="1"/>
  <c r="E175" i="1" s="1"/>
  <c r="E174" i="1" a="1"/>
  <c r="E174" i="1" s="1"/>
  <c r="E173" i="1" a="1"/>
  <c r="E173" i="1" s="1"/>
  <c r="E172" i="1" a="1"/>
  <c r="E172" i="1" s="1"/>
  <c r="E171" i="1" a="1"/>
  <c r="E171" i="1" s="1"/>
  <c r="E170" i="1" a="1"/>
  <c r="E170" i="1" s="1"/>
  <c r="E169" i="1" a="1"/>
  <c r="E169" i="1" s="1"/>
  <c r="E168" i="1" a="1"/>
  <c r="E168" i="1" s="1"/>
  <c r="D175" i="1" a="1"/>
  <c r="D175" i="1" s="1"/>
  <c r="D174" i="1" a="1"/>
  <c r="D174" i="1" s="1"/>
  <c r="D173" i="1" a="1"/>
  <c r="D173" i="1" s="1"/>
  <c r="D172" i="1" a="1"/>
  <c r="D172" i="1" s="1"/>
  <c r="D171" i="1" a="1"/>
  <c r="D171" i="1" s="1"/>
  <c r="D170" i="1" a="1"/>
  <c r="D170" i="1" s="1"/>
  <c r="D169" i="1" a="1"/>
  <c r="D169" i="1" s="1"/>
  <c r="D168" i="1" a="1"/>
  <c r="D168" i="1" s="1"/>
  <c r="C168" i="1" a="1"/>
  <c r="C168" i="1" s="1"/>
  <c r="C175" i="1" a="1"/>
  <c r="C175" i="1" s="1"/>
  <c r="C174" i="1" a="1"/>
  <c r="C174" i="1" s="1"/>
  <c r="C173" i="1" a="1"/>
  <c r="C173" i="1" s="1"/>
  <c r="C172" i="1" a="1"/>
  <c r="C172" i="1" s="1"/>
  <c r="C171" i="1" a="1"/>
  <c r="C171" i="1" s="1"/>
  <c r="C170" i="1" a="1"/>
  <c r="C170" i="1" s="1"/>
  <c r="C169" i="1" a="1"/>
  <c r="C169" i="1" s="1"/>
  <c r="F165" i="1"/>
  <c r="G165" i="1"/>
  <c r="H165" i="1"/>
  <c r="E165" i="1"/>
  <c r="ES38" i="1"/>
  <c r="ES7" i="1"/>
  <c r="ES27" i="1"/>
  <c r="ES15" i="1"/>
  <c r="ES10" i="1"/>
  <c r="ES31" i="1"/>
  <c r="ES16" i="1"/>
  <c r="ES48" i="1"/>
  <c r="ES2" i="1"/>
  <c r="ES4" i="1"/>
  <c r="GR159" i="1" l="1"/>
  <c r="EY159" i="1"/>
  <c r="GE159" i="1"/>
  <c r="HH159" i="1"/>
  <c r="GF159" i="1"/>
  <c r="HI159" i="1"/>
  <c r="HK159" i="1"/>
  <c r="GC159" i="1"/>
  <c r="CA158" i="1"/>
  <c r="BX158" i="1"/>
  <c r="CA157" i="1"/>
  <c r="BX157" i="1"/>
  <c r="C176" i="1"/>
  <c r="DA11" i="1" l="1"/>
  <c r="CZ11" i="1"/>
  <c r="DN130" i="1" l="1"/>
  <c r="DH130" i="1"/>
  <c r="DK130" i="1"/>
  <c r="BM135" i="1"/>
  <c r="GK163" i="1"/>
  <c r="GN163" i="1" s="1"/>
  <c r="GI163" i="1"/>
  <c r="GD163" i="1"/>
  <c r="EB163" i="1"/>
  <c r="EC163" i="1" s="1"/>
  <c r="DW163" i="1"/>
  <c r="DX163" i="1" s="1"/>
  <c r="DT163" i="1"/>
  <c r="DU163" i="1" s="1"/>
  <c r="DR163" i="1"/>
  <c r="DN163" i="1"/>
  <c r="DO163" i="1" s="1"/>
  <c r="DK163" i="1"/>
  <c r="DL163" i="1" s="1"/>
  <c r="DH163" i="1"/>
  <c r="DI163" i="1" s="1"/>
  <c r="DE163" i="1"/>
  <c r="DF163" i="1" s="1"/>
  <c r="DA163" i="1"/>
  <c r="CZ163" i="1"/>
  <c r="CV163" i="1"/>
  <c r="CQ163" i="1"/>
  <c r="CN163" i="1"/>
  <c r="CK163" i="1"/>
  <c r="CH163" i="1"/>
  <c r="CE163" i="1"/>
  <c r="BQ163" i="1"/>
  <c r="BM163" i="1"/>
  <c r="AM163" i="1"/>
  <c r="AL163" i="1"/>
  <c r="GK162" i="1"/>
  <c r="GJ162" i="1" s="1"/>
  <c r="GI162" i="1"/>
  <c r="GD162" i="1"/>
  <c r="EB162" i="1"/>
  <c r="EK162" i="1" s="1"/>
  <c r="DW162" i="1"/>
  <c r="DX162" i="1" s="1"/>
  <c r="DT162" i="1"/>
  <c r="DU162" i="1" s="1"/>
  <c r="DR162" i="1"/>
  <c r="DN162" i="1"/>
  <c r="DO162" i="1" s="1"/>
  <c r="DK162" i="1"/>
  <c r="DL162" i="1" s="1"/>
  <c r="DH162" i="1"/>
  <c r="DI162" i="1" s="1"/>
  <c r="DE162" i="1"/>
  <c r="DF162" i="1" s="1"/>
  <c r="DA162" i="1"/>
  <c r="CZ162" i="1"/>
  <c r="CV162" i="1"/>
  <c r="CQ162" i="1"/>
  <c r="CN162" i="1"/>
  <c r="CK162" i="1"/>
  <c r="CH162" i="1"/>
  <c r="CE162" i="1"/>
  <c r="BQ162" i="1"/>
  <c r="BM162" i="1"/>
  <c r="AM162" i="1"/>
  <c r="AL162" i="1"/>
  <c r="GK161" i="1"/>
  <c r="GJ161" i="1" s="1"/>
  <c r="GI161" i="1"/>
  <c r="GD161" i="1"/>
  <c r="EB161" i="1"/>
  <c r="EC161" i="1" s="1"/>
  <c r="DW161" i="1"/>
  <c r="DX161" i="1" s="1"/>
  <c r="DT161" i="1"/>
  <c r="DU161" i="1" s="1"/>
  <c r="DR161" i="1"/>
  <c r="DN161" i="1"/>
  <c r="DO161" i="1" s="1"/>
  <c r="DK161" i="1"/>
  <c r="DL161" i="1" s="1"/>
  <c r="DH161" i="1"/>
  <c r="EF161" i="1" s="1"/>
  <c r="DE161" i="1"/>
  <c r="DF161" i="1" s="1"/>
  <c r="DA161" i="1"/>
  <c r="CZ161" i="1"/>
  <c r="CV161" i="1"/>
  <c r="CQ161" i="1"/>
  <c r="CN161" i="1"/>
  <c r="CK161" i="1"/>
  <c r="CH161" i="1"/>
  <c r="CE161" i="1"/>
  <c r="BQ161" i="1"/>
  <c r="BM161" i="1"/>
  <c r="AM161" i="1"/>
  <c r="AL161" i="1"/>
  <c r="GB162" i="1" l="1"/>
  <c r="IJ162" i="1" s="1"/>
  <c r="HM163" i="1"/>
  <c r="HM161" i="1"/>
  <c r="GB161" i="1"/>
  <c r="HN163" i="1"/>
  <c r="GN161" i="1"/>
  <c r="HN161" i="1"/>
  <c r="GN162" i="1"/>
  <c r="EK161" i="1"/>
  <c r="GJ163" i="1"/>
  <c r="GB163" i="1" s="1"/>
  <c r="EF163" i="1"/>
  <c r="FD163" i="1"/>
  <c r="EL161" i="1"/>
  <c r="FK161" i="1"/>
  <c r="EE161" i="1"/>
  <c r="HJ161" i="1" s="1"/>
  <c r="ED161" i="1"/>
  <c r="DC161" i="1"/>
  <c r="EI161" i="1"/>
  <c r="ED163" i="1"/>
  <c r="DC163" i="1"/>
  <c r="EE163" i="1"/>
  <c r="EL163" i="1"/>
  <c r="FK163" i="1"/>
  <c r="EI163" i="1"/>
  <c r="EC162" i="1"/>
  <c r="FD162" i="1"/>
  <c r="HM162" i="1"/>
  <c r="EK163" i="1"/>
  <c r="DI161" i="1"/>
  <c r="EF162" i="1"/>
  <c r="HN162" i="1"/>
  <c r="FD161" i="1"/>
  <c r="BM128" i="1"/>
  <c r="BQ128" i="1"/>
  <c r="CE128" i="1"/>
  <c r="CH128" i="1"/>
  <c r="CK128" i="1"/>
  <c r="CN128" i="1"/>
  <c r="CQ128" i="1"/>
  <c r="CV128" i="1"/>
  <c r="CZ128" i="1"/>
  <c r="DA128" i="1"/>
  <c r="DE128" i="1"/>
  <c r="DF128" i="1" s="1"/>
  <c r="DH128" i="1"/>
  <c r="DI128" i="1" s="1"/>
  <c r="DK128" i="1"/>
  <c r="DL128" i="1" s="1"/>
  <c r="DN128" i="1"/>
  <c r="DO128" i="1" s="1"/>
  <c r="DR128" i="1"/>
  <c r="DT128" i="1"/>
  <c r="DU128" i="1" s="1"/>
  <c r="DW128" i="1"/>
  <c r="DX128" i="1" s="1"/>
  <c r="EB128" i="1"/>
  <c r="EK128" i="1" s="1"/>
  <c r="GD128" i="1"/>
  <c r="GK128" i="1"/>
  <c r="GJ128" i="1" s="1"/>
  <c r="AD128" i="1"/>
  <c r="S128" i="1"/>
  <c r="T128" i="1"/>
  <c r="U128" i="1"/>
  <c r="AL123" i="1"/>
  <c r="AM123" i="1"/>
  <c r="BM123" i="1"/>
  <c r="BQ123" i="1"/>
  <c r="CE123" i="1"/>
  <c r="CH123" i="1"/>
  <c r="CK123" i="1"/>
  <c r="CN123" i="1"/>
  <c r="CQ123" i="1"/>
  <c r="CV123" i="1"/>
  <c r="CZ123" i="1"/>
  <c r="DA123" i="1"/>
  <c r="DE123" i="1"/>
  <c r="DF123" i="1" s="1"/>
  <c r="DH123" i="1"/>
  <c r="EF123" i="1" s="1"/>
  <c r="DK123" i="1"/>
  <c r="DL123" i="1" s="1"/>
  <c r="DN123" i="1"/>
  <c r="DO123" i="1" s="1"/>
  <c r="DR123" i="1"/>
  <c r="DT123" i="1"/>
  <c r="DU123" i="1" s="1"/>
  <c r="DW123" i="1"/>
  <c r="DX123" i="1" s="1"/>
  <c r="EB123" i="1"/>
  <c r="EC123" i="1" s="1"/>
  <c r="GD123" i="1"/>
  <c r="GI123" i="1"/>
  <c r="GK123" i="1"/>
  <c r="GJ123" i="1" s="1"/>
  <c r="GK121" i="1"/>
  <c r="GJ121" i="1" s="1"/>
  <c r="GD121" i="1"/>
  <c r="DH121" i="1"/>
  <c r="EF121" i="1" s="1"/>
  <c r="DK121" i="1"/>
  <c r="DL121" i="1" s="1"/>
  <c r="DN121" i="1"/>
  <c r="DO121" i="1" s="1"/>
  <c r="DR121" i="1"/>
  <c r="DT121" i="1"/>
  <c r="DU121" i="1" s="1"/>
  <c r="DW121" i="1"/>
  <c r="DX121" i="1" s="1"/>
  <c r="EB121" i="1"/>
  <c r="EC121" i="1" s="1"/>
  <c r="EL121" i="1" s="1"/>
  <c r="ES121" i="1" s="1"/>
  <c r="CE121" i="1"/>
  <c r="CH121" i="1"/>
  <c r="CK121" i="1"/>
  <c r="CN121" i="1"/>
  <c r="CQ121" i="1"/>
  <c r="CV121" i="1"/>
  <c r="CZ121" i="1"/>
  <c r="DA121" i="1"/>
  <c r="DE121" i="1"/>
  <c r="DF121" i="1" s="1"/>
  <c r="BQ134" i="1"/>
  <c r="BQ137" i="1"/>
  <c r="BQ136" i="1"/>
  <c r="BQ135" i="1"/>
  <c r="BQ29" i="1"/>
  <c r="BQ143" i="1"/>
  <c r="BQ144" i="1"/>
  <c r="BQ121" i="1"/>
  <c r="BM121" i="1"/>
  <c r="AD121" i="1"/>
  <c r="R121" i="1" s="1"/>
  <c r="S121" i="1"/>
  <c r="T121" i="1"/>
  <c r="U121" i="1"/>
  <c r="GB121" i="1" l="1"/>
  <c r="HN123" i="1"/>
  <c r="GB123" i="1"/>
  <c r="HM128" i="1"/>
  <c r="GB128" i="1"/>
  <c r="AE128" i="1"/>
  <c r="BE128" i="1"/>
  <c r="HH163" i="1"/>
  <c r="IJ163" i="1"/>
  <c r="HH161" i="1"/>
  <c r="IJ161" i="1"/>
  <c r="EY161" i="1"/>
  <c r="GF161" i="1"/>
  <c r="BY163" i="1"/>
  <c r="BZ163" i="1" s="1"/>
  <c r="GC163" i="1"/>
  <c r="GE163" i="1"/>
  <c r="GF163" i="1"/>
  <c r="EY163" i="1"/>
  <c r="HK161" i="1"/>
  <c r="GE161" i="1"/>
  <c r="GR161" i="1"/>
  <c r="HI161" i="1"/>
  <c r="GC161" i="1"/>
  <c r="GR163" i="1"/>
  <c r="HI163" i="1"/>
  <c r="HJ163" i="1"/>
  <c r="HK163" i="1" s="1"/>
  <c r="HI162" i="1"/>
  <c r="HH162" i="1"/>
  <c r="GR162" i="1"/>
  <c r="GC162" i="1"/>
  <c r="EY162" i="1"/>
  <c r="GF162" i="1"/>
  <c r="GE162" i="1"/>
  <c r="EN161" i="1"/>
  <c r="EP161" i="1" s="1"/>
  <c r="BY161" i="1"/>
  <c r="BZ161" i="1" s="1"/>
  <c r="DC162" i="1"/>
  <c r="EL162" i="1"/>
  <c r="EI162" i="1"/>
  <c r="FK162" i="1"/>
  <c r="EE162" i="1"/>
  <c r="ED162" i="1"/>
  <c r="EN163" i="1"/>
  <c r="EP163" i="1" s="1"/>
  <c r="FD128" i="1"/>
  <c r="HM123" i="1"/>
  <c r="GN123" i="1"/>
  <c r="EC128" i="1"/>
  <c r="DC128" i="1" s="1"/>
  <c r="HN128" i="1"/>
  <c r="HB128" i="1"/>
  <c r="Y128" i="1"/>
  <c r="GZ128" i="1"/>
  <c r="GW128" i="1"/>
  <c r="GV128" i="1"/>
  <c r="AM128" i="1"/>
  <c r="AL128" i="1"/>
  <c r="EF128" i="1"/>
  <c r="GN128" i="1"/>
  <c r="W128" i="1"/>
  <c r="V128" i="1"/>
  <c r="R128" i="1"/>
  <c r="DI123" i="1"/>
  <c r="EK121" i="1"/>
  <c r="EN121" i="1" s="1"/>
  <c r="EP121" i="1" s="1"/>
  <c r="FD123" i="1"/>
  <c r="DC123" i="1"/>
  <c r="ED123" i="1"/>
  <c r="EE123" i="1"/>
  <c r="FK123" i="1"/>
  <c r="EI123" i="1"/>
  <c r="EL123" i="1"/>
  <c r="EE121" i="1"/>
  <c r="EK123" i="1"/>
  <c r="AM121" i="1"/>
  <c r="HB121" i="1"/>
  <c r="AL121" i="1"/>
  <c r="GZ121" i="1"/>
  <c r="EI121" i="1"/>
  <c r="GW121" i="1"/>
  <c r="GN121" i="1"/>
  <c r="GV121" i="1"/>
  <c r="FK121" i="1"/>
  <c r="FD121" i="1"/>
  <c r="IJ121" i="1"/>
  <c r="HN121" i="1"/>
  <c r="HM121" i="1"/>
  <c r="DI121" i="1"/>
  <c r="ED121" i="1"/>
  <c r="DC121" i="1"/>
  <c r="BY121" i="1"/>
  <c r="BZ121" i="1" s="1"/>
  <c r="AE121" i="1"/>
  <c r="V121" i="1"/>
  <c r="Y121" i="1"/>
  <c r="W121" i="1"/>
  <c r="GM34" i="1"/>
  <c r="GC128" i="1" l="1"/>
  <c r="IJ128" i="1"/>
  <c r="HH123" i="1"/>
  <c r="IJ123" i="1"/>
  <c r="CA121" i="1"/>
  <c r="BX121" i="1"/>
  <c r="CA163" i="1"/>
  <c r="BX163" i="1"/>
  <c r="CA161" i="1"/>
  <c r="BX161" i="1"/>
  <c r="HJ162" i="1"/>
  <c r="HK162" i="1" s="1"/>
  <c r="EN162" i="1"/>
  <c r="EP162" i="1" s="1"/>
  <c r="BY162" i="1"/>
  <c r="BZ162" i="1" s="1"/>
  <c r="GR123" i="1"/>
  <c r="GF123" i="1"/>
  <c r="FK128" i="1"/>
  <c r="EL128" i="1"/>
  <c r="ED128" i="1"/>
  <c r="GC123" i="1"/>
  <c r="EE128" i="1"/>
  <c r="GE123" i="1"/>
  <c r="GR128" i="1"/>
  <c r="EY123" i="1"/>
  <c r="EI128" i="1"/>
  <c r="HI128" i="1"/>
  <c r="HH128" i="1"/>
  <c r="HC128" i="1"/>
  <c r="EY128" i="1"/>
  <c r="GE128" i="1"/>
  <c r="GF128" i="1"/>
  <c r="HI123" i="1"/>
  <c r="HJ123" i="1" s="1"/>
  <c r="HK123" i="1" s="1"/>
  <c r="EN123" i="1"/>
  <c r="EP123" i="1" s="1"/>
  <c r="BY123" i="1"/>
  <c r="BZ123" i="1" s="1"/>
  <c r="GR121" i="1"/>
  <c r="HH121" i="1"/>
  <c r="HI121" i="1"/>
  <c r="HJ121" i="1" s="1"/>
  <c r="HK121" i="1" s="1"/>
  <c r="HC121" i="1"/>
  <c r="EY121" i="1"/>
  <c r="GF121" i="1"/>
  <c r="GE121" i="1"/>
  <c r="GC121" i="1"/>
  <c r="CA123" i="1" l="1"/>
  <c r="BX123" i="1"/>
  <c r="CA162" i="1"/>
  <c r="BX162" i="1"/>
  <c r="BY128" i="1"/>
  <c r="BZ128" i="1" s="1"/>
  <c r="ES128" i="1"/>
  <c r="HJ128" i="1"/>
  <c r="HK128" i="1" s="1"/>
  <c r="EN128" i="1"/>
  <c r="EP128" i="1" s="1"/>
  <c r="CA128" i="1" l="1"/>
  <c r="BX128" i="1"/>
  <c r="GD42" i="1"/>
  <c r="GD3" i="1"/>
  <c r="GD46" i="1"/>
  <c r="GD47" i="1"/>
  <c r="GD7" i="1"/>
  <c r="GD38" i="1"/>
  <c r="GD27" i="1"/>
  <c r="GD15" i="1"/>
  <c r="GD59" i="1"/>
  <c r="GD5" i="1"/>
  <c r="GD50" i="1"/>
  <c r="GD51" i="1"/>
  <c r="GD55" i="1"/>
  <c r="GD56" i="1"/>
  <c r="GD13" i="1"/>
  <c r="GD58" i="1"/>
  <c r="GD6" i="1"/>
  <c r="GD52" i="1"/>
  <c r="GD53" i="1"/>
  <c r="GD49" i="1"/>
  <c r="GD68" i="1"/>
  <c r="GD69" i="1"/>
  <c r="GD26" i="1"/>
  <c r="GD18" i="1"/>
  <c r="GD65" i="1"/>
  <c r="GD61" i="1"/>
  <c r="GD66" i="1"/>
  <c r="GD62" i="1"/>
  <c r="GD67" i="1"/>
  <c r="GD60" i="1"/>
  <c r="GD63" i="1"/>
  <c r="GD64" i="1"/>
  <c r="GD75" i="1"/>
  <c r="GD76" i="1"/>
  <c r="GD10" i="1"/>
  <c r="GD31" i="1"/>
  <c r="GD74" i="1"/>
  <c r="GD78" i="1"/>
  <c r="GD83" i="1"/>
  <c r="GD79" i="1"/>
  <c r="GD80" i="1"/>
  <c r="GD88" i="1"/>
  <c r="GD81" i="1"/>
  <c r="GD77" i="1"/>
  <c r="GD16" i="1"/>
  <c r="GD82" i="1"/>
  <c r="GD85" i="1"/>
  <c r="GD86" i="1"/>
  <c r="GD87" i="1"/>
  <c r="GD73" i="1"/>
  <c r="GD89" i="1"/>
  <c r="GD48" i="1"/>
  <c r="GD44" i="1"/>
  <c r="GD91" i="1"/>
  <c r="GD71" i="1"/>
  <c r="GD94" i="1"/>
  <c r="GD21" i="1"/>
  <c r="GD97" i="1"/>
  <c r="GD34" i="1"/>
  <c r="GD57" i="1"/>
  <c r="GD72" i="1"/>
  <c r="GD92" i="1"/>
  <c r="GD28" i="1"/>
  <c r="GD30" i="1"/>
  <c r="GD54" i="1"/>
  <c r="GD105" i="1"/>
  <c r="GD108" i="1"/>
  <c r="GD102" i="1"/>
  <c r="GD70" i="1"/>
  <c r="GD90" i="1"/>
  <c r="GD95" i="1"/>
  <c r="GD96" i="1"/>
  <c r="GD98" i="1"/>
  <c r="GD100" i="1"/>
  <c r="GD101" i="1"/>
  <c r="GD104" i="1"/>
  <c r="GD106" i="1"/>
  <c r="GD9" i="1"/>
  <c r="GD12" i="1"/>
  <c r="GD14" i="1"/>
  <c r="GD19" i="1"/>
  <c r="GD20" i="1"/>
  <c r="GD22" i="1"/>
  <c r="GD23" i="1"/>
  <c r="GD117" i="1"/>
  <c r="GD24" i="1"/>
  <c r="GD25" i="1"/>
  <c r="GD32" i="1"/>
  <c r="GD33" i="1"/>
  <c r="GD35" i="1"/>
  <c r="GD36" i="1"/>
  <c r="GD37" i="1"/>
  <c r="GD39" i="1"/>
  <c r="GD43" i="1"/>
  <c r="GD118" i="1"/>
  <c r="GD119" i="1"/>
  <c r="GD120" i="1"/>
  <c r="GD107" i="1"/>
  <c r="GD109" i="1"/>
  <c r="GD110" i="1"/>
  <c r="GD111" i="1"/>
  <c r="GD112" i="1"/>
  <c r="GD113" i="1"/>
  <c r="GD114" i="1"/>
  <c r="GD115" i="1"/>
  <c r="GD116" i="1"/>
  <c r="GD122" i="1"/>
  <c r="GD124" i="1"/>
  <c r="GD125" i="1"/>
  <c r="GD126" i="1"/>
  <c r="GD127" i="1"/>
  <c r="GD140" i="1"/>
  <c r="GD138" i="1"/>
  <c r="GD130" i="1"/>
  <c r="GD141" i="1"/>
  <c r="GD139" i="1"/>
  <c r="GD131" i="1"/>
  <c r="GD142" i="1"/>
  <c r="GD132" i="1"/>
  <c r="GD133" i="1"/>
  <c r="GD134" i="1"/>
  <c r="GD137" i="1"/>
  <c r="GD136" i="1"/>
  <c r="GD135" i="1"/>
  <c r="GD29" i="1"/>
  <c r="GD143" i="1"/>
  <c r="GD144" i="1"/>
  <c r="GD40" i="1"/>
  <c r="GD145" i="1"/>
  <c r="GD146" i="1"/>
  <c r="GD147" i="1"/>
  <c r="GD148" i="1"/>
  <c r="GD149" i="1"/>
  <c r="GD150" i="1"/>
  <c r="GD151" i="1"/>
  <c r="GD152" i="1"/>
  <c r="GD153" i="1"/>
  <c r="GD154" i="1"/>
  <c r="GD155" i="1"/>
  <c r="GD160" i="1"/>
  <c r="GD41" i="1"/>
  <c r="HM135" i="1" l="1"/>
  <c r="GK135" i="1"/>
  <c r="HM29" i="1"/>
  <c r="GK29" i="1"/>
  <c r="GJ29" i="1" s="1"/>
  <c r="GB29" i="1" s="1"/>
  <c r="HM143" i="1"/>
  <c r="GK143" i="1"/>
  <c r="GJ143" i="1" s="1"/>
  <c r="GB143" i="1" s="1"/>
  <c r="HM144" i="1"/>
  <c r="GK144" i="1"/>
  <c r="GJ144" i="1" s="1"/>
  <c r="GB144" i="1" s="1"/>
  <c r="HM40" i="1"/>
  <c r="GK40" i="1"/>
  <c r="HM145" i="1"/>
  <c r="GK145" i="1"/>
  <c r="GJ145" i="1" s="1"/>
  <c r="HM146" i="1"/>
  <c r="GK146" i="1"/>
  <c r="GJ146" i="1" s="1"/>
  <c r="HM147" i="1"/>
  <c r="GK147" i="1"/>
  <c r="GJ147" i="1" s="1"/>
  <c r="GB147" i="1" s="1"/>
  <c r="HM148" i="1"/>
  <c r="GK148" i="1"/>
  <c r="HM149" i="1"/>
  <c r="GK149" i="1"/>
  <c r="GJ149" i="1" s="1"/>
  <c r="GB149" i="1" s="1"/>
  <c r="HM150" i="1"/>
  <c r="GK150" i="1"/>
  <c r="GJ150" i="1" s="1"/>
  <c r="GB150" i="1" s="1"/>
  <c r="HM151" i="1"/>
  <c r="GK151" i="1"/>
  <c r="GJ151" i="1" s="1"/>
  <c r="GB151" i="1" s="1"/>
  <c r="HM152" i="1"/>
  <c r="GK152" i="1"/>
  <c r="HM153" i="1"/>
  <c r="GK153" i="1"/>
  <c r="GJ153" i="1" s="1"/>
  <c r="GB153" i="1" s="1"/>
  <c r="HN154" i="1"/>
  <c r="GK154" i="1"/>
  <c r="GJ154" i="1" s="1"/>
  <c r="GB154" i="1" s="1"/>
  <c r="HN155" i="1"/>
  <c r="GK155" i="1"/>
  <c r="GJ155" i="1" s="1"/>
  <c r="GB155" i="1" s="1"/>
  <c r="HN160" i="1"/>
  <c r="GK160" i="1"/>
  <c r="EB137" i="1"/>
  <c r="EC137" i="1" s="1"/>
  <c r="DC137" i="1" s="1"/>
  <c r="EB136" i="1"/>
  <c r="EC136" i="1" s="1"/>
  <c r="ED136" i="1" s="1"/>
  <c r="EB135" i="1"/>
  <c r="EC135" i="1" s="1"/>
  <c r="EB29" i="1"/>
  <c r="EK29" i="1" s="1"/>
  <c r="EB143" i="1"/>
  <c r="EC143" i="1" s="1"/>
  <c r="EL143" i="1" s="1"/>
  <c r="EB144" i="1"/>
  <c r="EC144" i="1" s="1"/>
  <c r="DC144" i="1" s="1"/>
  <c r="EB40" i="1"/>
  <c r="EK40" i="1" s="1"/>
  <c r="EB145" i="1"/>
  <c r="EC145" i="1" s="1"/>
  <c r="EB146" i="1"/>
  <c r="EC146" i="1" s="1"/>
  <c r="EL146" i="1" s="1"/>
  <c r="EB147" i="1"/>
  <c r="EC147" i="1" s="1"/>
  <c r="EI147" i="1" s="1"/>
  <c r="EB148" i="1"/>
  <c r="EK148" i="1" s="1"/>
  <c r="EB149" i="1"/>
  <c r="EK149" i="1" s="1"/>
  <c r="EB150" i="1"/>
  <c r="EC150" i="1" s="1"/>
  <c r="EI150" i="1" s="1"/>
  <c r="EB151" i="1"/>
  <c r="EC151" i="1" s="1"/>
  <c r="FK151" i="1" s="1"/>
  <c r="EB152" i="1"/>
  <c r="EK152" i="1" s="1"/>
  <c r="EB153" i="1"/>
  <c r="EK153" i="1" s="1"/>
  <c r="EB154" i="1"/>
  <c r="EC154" i="1" s="1"/>
  <c r="EL154" i="1" s="1"/>
  <c r="EB155" i="1"/>
  <c r="EC155" i="1" s="1"/>
  <c r="ED155" i="1" s="1"/>
  <c r="EB160" i="1"/>
  <c r="EC160" i="1" s="1"/>
  <c r="DT137" i="1"/>
  <c r="DU137" i="1" s="1"/>
  <c r="DW137" i="1"/>
  <c r="DX137" i="1" s="1"/>
  <c r="DT136" i="1"/>
  <c r="DU136" i="1" s="1"/>
  <c r="DW136" i="1"/>
  <c r="DX136" i="1" s="1"/>
  <c r="DT135" i="1"/>
  <c r="DU135" i="1" s="1"/>
  <c r="DW135" i="1"/>
  <c r="DX135" i="1" s="1"/>
  <c r="DT29" i="1"/>
  <c r="DU29" i="1" s="1"/>
  <c r="DW29" i="1"/>
  <c r="DX29" i="1" s="1"/>
  <c r="DT143" i="1"/>
  <c r="DU143" i="1" s="1"/>
  <c r="DW143" i="1"/>
  <c r="DX143" i="1" s="1"/>
  <c r="DT144" i="1"/>
  <c r="DU144" i="1" s="1"/>
  <c r="DW144" i="1"/>
  <c r="DX144" i="1" s="1"/>
  <c r="DT40" i="1"/>
  <c r="DU40" i="1" s="1"/>
  <c r="DW40" i="1"/>
  <c r="DX40" i="1" s="1"/>
  <c r="DT145" i="1"/>
  <c r="DU145" i="1" s="1"/>
  <c r="DW145" i="1"/>
  <c r="DX145" i="1" s="1"/>
  <c r="DT146" i="1"/>
  <c r="DU146" i="1" s="1"/>
  <c r="DW146" i="1"/>
  <c r="DX146" i="1" s="1"/>
  <c r="DT147" i="1"/>
  <c r="DU147" i="1" s="1"/>
  <c r="DW147" i="1"/>
  <c r="DX147" i="1" s="1"/>
  <c r="DT148" i="1"/>
  <c r="DU148" i="1" s="1"/>
  <c r="DW148" i="1"/>
  <c r="DX148" i="1" s="1"/>
  <c r="DT149" i="1"/>
  <c r="DU149" i="1" s="1"/>
  <c r="DW149" i="1"/>
  <c r="DX149" i="1" s="1"/>
  <c r="DT150" i="1"/>
  <c r="DU150" i="1" s="1"/>
  <c r="DW150" i="1"/>
  <c r="DX150" i="1" s="1"/>
  <c r="DT151" i="1"/>
  <c r="DU151" i="1" s="1"/>
  <c r="DW151" i="1"/>
  <c r="DX151" i="1" s="1"/>
  <c r="DT152" i="1"/>
  <c r="DU152" i="1" s="1"/>
  <c r="DW152" i="1"/>
  <c r="DX152" i="1" s="1"/>
  <c r="DT153" i="1"/>
  <c r="DU153" i="1" s="1"/>
  <c r="DW153" i="1"/>
  <c r="DX153" i="1" s="1"/>
  <c r="DT154" i="1"/>
  <c r="DU154" i="1" s="1"/>
  <c r="DW154" i="1"/>
  <c r="DX154" i="1" s="1"/>
  <c r="DT155" i="1"/>
  <c r="DU155" i="1" s="1"/>
  <c r="DW155" i="1"/>
  <c r="DX155" i="1" s="1"/>
  <c r="DT160" i="1"/>
  <c r="DU160" i="1" s="1"/>
  <c r="DW160" i="1"/>
  <c r="DX160" i="1" s="1"/>
  <c r="DN137" i="1"/>
  <c r="DO137" i="1" s="1"/>
  <c r="DR137" i="1"/>
  <c r="DN136" i="1"/>
  <c r="DO136" i="1" s="1"/>
  <c r="DR136" i="1"/>
  <c r="DN135" i="1"/>
  <c r="DO135" i="1" s="1"/>
  <c r="DR135" i="1"/>
  <c r="DN29" i="1"/>
  <c r="DO29" i="1" s="1"/>
  <c r="DR29" i="1"/>
  <c r="DN143" i="1"/>
  <c r="DO143" i="1" s="1"/>
  <c r="DR143" i="1"/>
  <c r="DN144" i="1"/>
  <c r="DO144" i="1" s="1"/>
  <c r="DR144" i="1"/>
  <c r="DN40" i="1"/>
  <c r="DO40" i="1" s="1"/>
  <c r="DR40" i="1"/>
  <c r="DN145" i="1"/>
  <c r="DO145" i="1" s="1"/>
  <c r="DR145" i="1"/>
  <c r="DN146" i="1"/>
  <c r="DO146" i="1" s="1"/>
  <c r="DR146" i="1"/>
  <c r="DN147" i="1"/>
  <c r="DO147" i="1" s="1"/>
  <c r="DR147" i="1"/>
  <c r="DN148" i="1"/>
  <c r="DO148" i="1" s="1"/>
  <c r="DR148" i="1"/>
  <c r="DN149" i="1"/>
  <c r="DO149" i="1" s="1"/>
  <c r="DR149" i="1"/>
  <c r="DN150" i="1"/>
  <c r="DO150" i="1" s="1"/>
  <c r="DR150" i="1"/>
  <c r="DN151" i="1"/>
  <c r="DO151" i="1" s="1"/>
  <c r="DR151" i="1"/>
  <c r="DN152" i="1"/>
  <c r="DO152" i="1" s="1"/>
  <c r="DR152" i="1"/>
  <c r="DN153" i="1"/>
  <c r="DO153" i="1" s="1"/>
  <c r="DR153" i="1"/>
  <c r="DN154" i="1"/>
  <c r="DO154" i="1" s="1"/>
  <c r="DR154" i="1"/>
  <c r="DN155" i="1"/>
  <c r="DO155" i="1" s="1"/>
  <c r="DR155" i="1"/>
  <c r="DN160" i="1"/>
  <c r="DO160" i="1" s="1"/>
  <c r="DR160" i="1"/>
  <c r="DH137" i="1"/>
  <c r="DI137" i="1" s="1"/>
  <c r="DK137" i="1"/>
  <c r="DL137" i="1" s="1"/>
  <c r="DH136" i="1"/>
  <c r="DI136" i="1" s="1"/>
  <c r="DK136" i="1"/>
  <c r="DL136" i="1" s="1"/>
  <c r="DH135" i="1"/>
  <c r="DI135" i="1" s="1"/>
  <c r="DK135" i="1"/>
  <c r="DL135" i="1" s="1"/>
  <c r="DH29" i="1"/>
  <c r="DI29" i="1" s="1"/>
  <c r="DK29" i="1"/>
  <c r="DL29" i="1" s="1"/>
  <c r="DH143" i="1"/>
  <c r="DI143" i="1" s="1"/>
  <c r="DK143" i="1"/>
  <c r="DL143" i="1" s="1"/>
  <c r="DH144" i="1"/>
  <c r="DI144" i="1" s="1"/>
  <c r="DK144" i="1"/>
  <c r="DL144" i="1" s="1"/>
  <c r="DH40" i="1"/>
  <c r="DI40" i="1" s="1"/>
  <c r="DK40" i="1"/>
  <c r="DL40" i="1" s="1"/>
  <c r="DH145" i="1"/>
  <c r="DI145" i="1" s="1"/>
  <c r="DK145" i="1"/>
  <c r="DL145" i="1" s="1"/>
  <c r="DH146" i="1"/>
  <c r="DI146" i="1" s="1"/>
  <c r="DK146" i="1"/>
  <c r="DL146" i="1" s="1"/>
  <c r="DH147" i="1"/>
  <c r="DI147" i="1" s="1"/>
  <c r="DK147" i="1"/>
  <c r="DL147" i="1" s="1"/>
  <c r="DH148" i="1"/>
  <c r="DI148" i="1" s="1"/>
  <c r="DK148" i="1"/>
  <c r="DL148" i="1" s="1"/>
  <c r="DH149" i="1"/>
  <c r="DI149" i="1" s="1"/>
  <c r="DK149" i="1"/>
  <c r="DL149" i="1" s="1"/>
  <c r="DH150" i="1"/>
  <c r="DI150" i="1" s="1"/>
  <c r="DK150" i="1"/>
  <c r="DL150" i="1" s="1"/>
  <c r="DH151" i="1"/>
  <c r="DI151" i="1" s="1"/>
  <c r="DK151" i="1"/>
  <c r="DL151" i="1" s="1"/>
  <c r="DH152" i="1"/>
  <c r="DI152" i="1" s="1"/>
  <c r="DK152" i="1"/>
  <c r="DL152" i="1" s="1"/>
  <c r="DH153" i="1"/>
  <c r="DI153" i="1" s="1"/>
  <c r="DK153" i="1"/>
  <c r="DL153" i="1" s="1"/>
  <c r="DH154" i="1"/>
  <c r="DI154" i="1" s="1"/>
  <c r="DK154" i="1"/>
  <c r="DL154" i="1" s="1"/>
  <c r="DH155" i="1"/>
  <c r="DI155" i="1" s="1"/>
  <c r="DK155" i="1"/>
  <c r="DL155" i="1" s="1"/>
  <c r="DH160" i="1"/>
  <c r="DI160" i="1" s="1"/>
  <c r="DK160" i="1"/>
  <c r="DL160" i="1" s="1"/>
  <c r="DA144" i="1"/>
  <c r="DE144" i="1"/>
  <c r="DF144" i="1" s="1"/>
  <c r="DA40" i="1"/>
  <c r="DE40" i="1"/>
  <c r="DF40" i="1" s="1"/>
  <c r="DA145" i="1"/>
  <c r="DE145" i="1"/>
  <c r="DF145" i="1" s="1"/>
  <c r="DA146" i="1"/>
  <c r="DE146" i="1"/>
  <c r="DF146" i="1" s="1"/>
  <c r="DA147" i="1"/>
  <c r="DE147" i="1"/>
  <c r="DF147" i="1" s="1"/>
  <c r="DA148" i="1"/>
  <c r="DE148" i="1"/>
  <c r="DF148" i="1" s="1"/>
  <c r="DA149" i="1"/>
  <c r="DE149" i="1"/>
  <c r="DF149" i="1" s="1"/>
  <c r="DA150" i="1"/>
  <c r="DE150" i="1"/>
  <c r="DF150" i="1" s="1"/>
  <c r="DA151" i="1"/>
  <c r="DE151" i="1"/>
  <c r="DF151" i="1" s="1"/>
  <c r="DA152" i="1"/>
  <c r="DE152" i="1"/>
  <c r="DF152" i="1" s="1"/>
  <c r="DA153" i="1"/>
  <c r="DE153" i="1"/>
  <c r="DF153" i="1" s="1"/>
  <c r="DA154" i="1"/>
  <c r="DE154" i="1"/>
  <c r="DF154" i="1" s="1"/>
  <c r="DA155" i="1"/>
  <c r="DE155" i="1"/>
  <c r="DF155" i="1" s="1"/>
  <c r="DA160" i="1"/>
  <c r="DE160" i="1"/>
  <c r="DF160" i="1" s="1"/>
  <c r="DA137" i="1"/>
  <c r="DE137" i="1"/>
  <c r="DF137" i="1" s="1"/>
  <c r="DA136" i="1"/>
  <c r="DE136" i="1"/>
  <c r="DF136" i="1" s="1"/>
  <c r="DA135" i="1"/>
  <c r="DE135" i="1"/>
  <c r="DF135" i="1" s="1"/>
  <c r="DA29" i="1"/>
  <c r="DE29" i="1"/>
  <c r="DF29" i="1" s="1"/>
  <c r="DA143" i="1"/>
  <c r="DE143" i="1"/>
  <c r="DF143" i="1" s="1"/>
  <c r="CZ135" i="1"/>
  <c r="CZ29" i="1"/>
  <c r="CE133" i="1"/>
  <c r="CH133" i="1"/>
  <c r="CK133" i="1"/>
  <c r="CN133" i="1"/>
  <c r="CQ133" i="1"/>
  <c r="CV133" i="1"/>
  <c r="CE134" i="1"/>
  <c r="CH134" i="1"/>
  <c r="CK134" i="1"/>
  <c r="CN134" i="1"/>
  <c r="CQ134" i="1"/>
  <c r="CV134" i="1"/>
  <c r="CE137" i="1"/>
  <c r="CH137" i="1"/>
  <c r="CK137" i="1"/>
  <c r="CN137" i="1"/>
  <c r="CQ137" i="1"/>
  <c r="CV137" i="1"/>
  <c r="CE136" i="1"/>
  <c r="CH136" i="1"/>
  <c r="CK136" i="1"/>
  <c r="CN136" i="1"/>
  <c r="CQ136" i="1"/>
  <c r="CV136" i="1"/>
  <c r="CE135" i="1"/>
  <c r="CH135" i="1"/>
  <c r="CK135" i="1"/>
  <c r="CN135" i="1"/>
  <c r="CQ135" i="1"/>
  <c r="CV135" i="1"/>
  <c r="CE29" i="1"/>
  <c r="CH29" i="1"/>
  <c r="CK29" i="1"/>
  <c r="CN29" i="1"/>
  <c r="CQ29" i="1"/>
  <c r="CV29" i="1"/>
  <c r="CE143" i="1"/>
  <c r="CH143" i="1"/>
  <c r="CK143" i="1"/>
  <c r="CN143" i="1"/>
  <c r="CQ143" i="1"/>
  <c r="CV143" i="1"/>
  <c r="CE144" i="1"/>
  <c r="CH144" i="1"/>
  <c r="CK144" i="1"/>
  <c r="CN144" i="1"/>
  <c r="CQ144" i="1"/>
  <c r="CV144" i="1"/>
  <c r="CE40" i="1"/>
  <c r="CH40" i="1"/>
  <c r="CK40" i="1"/>
  <c r="CN40" i="1"/>
  <c r="CQ40" i="1"/>
  <c r="CV40" i="1"/>
  <c r="CE145" i="1"/>
  <c r="CH145" i="1"/>
  <c r="CK145" i="1"/>
  <c r="CN145" i="1"/>
  <c r="CQ145" i="1"/>
  <c r="CV145" i="1"/>
  <c r="CE146" i="1"/>
  <c r="CH146" i="1"/>
  <c r="CK146" i="1"/>
  <c r="CN146" i="1"/>
  <c r="CQ146" i="1"/>
  <c r="CV146" i="1"/>
  <c r="CE147" i="1"/>
  <c r="CH147" i="1"/>
  <c r="CK147" i="1"/>
  <c r="CN147" i="1"/>
  <c r="CQ147" i="1"/>
  <c r="CV147" i="1"/>
  <c r="CE148" i="1"/>
  <c r="CH148" i="1"/>
  <c r="CK148" i="1"/>
  <c r="CN148" i="1"/>
  <c r="CQ148" i="1"/>
  <c r="CV148" i="1"/>
  <c r="CE149" i="1"/>
  <c r="CH149" i="1"/>
  <c r="CK149" i="1"/>
  <c r="CN149" i="1"/>
  <c r="CQ149" i="1"/>
  <c r="CV149" i="1"/>
  <c r="CE150" i="1"/>
  <c r="CH150" i="1"/>
  <c r="CK150" i="1"/>
  <c r="CN150" i="1"/>
  <c r="CQ150" i="1"/>
  <c r="CV150" i="1"/>
  <c r="CE151" i="1"/>
  <c r="CH151" i="1"/>
  <c r="CK151" i="1"/>
  <c r="CN151" i="1"/>
  <c r="CQ151" i="1"/>
  <c r="CV151" i="1"/>
  <c r="CE152" i="1"/>
  <c r="CH152" i="1"/>
  <c r="CK152" i="1"/>
  <c r="CN152" i="1"/>
  <c r="CQ152" i="1"/>
  <c r="CV152" i="1"/>
  <c r="CE153" i="1"/>
  <c r="CH153" i="1"/>
  <c r="CK153" i="1"/>
  <c r="CN153" i="1"/>
  <c r="CQ153" i="1"/>
  <c r="CV153" i="1"/>
  <c r="CE154" i="1"/>
  <c r="CH154" i="1"/>
  <c r="CK154" i="1"/>
  <c r="CN154" i="1"/>
  <c r="CQ154" i="1"/>
  <c r="CV154" i="1"/>
  <c r="CE155" i="1"/>
  <c r="CH155" i="1"/>
  <c r="CK155" i="1"/>
  <c r="CN155" i="1"/>
  <c r="CQ155" i="1"/>
  <c r="CV155" i="1"/>
  <c r="CE160" i="1"/>
  <c r="CH160" i="1"/>
  <c r="CK160" i="1"/>
  <c r="CN160" i="1"/>
  <c r="CQ160" i="1"/>
  <c r="CV160" i="1"/>
  <c r="AD135" i="1"/>
  <c r="GI135" i="1" l="1"/>
  <c r="BE135" i="1"/>
  <c r="HN145" i="1"/>
  <c r="EC149" i="1"/>
  <c r="FK149" i="1" s="1"/>
  <c r="EE154" i="1"/>
  <c r="EK147" i="1"/>
  <c r="EI146" i="1"/>
  <c r="HM154" i="1"/>
  <c r="HN146" i="1"/>
  <c r="EC148" i="1"/>
  <c r="FK148" i="1" s="1"/>
  <c r="EC40" i="1"/>
  <c r="ED40" i="1" s="1"/>
  <c r="ED154" i="1"/>
  <c r="EE147" i="1"/>
  <c r="HN153" i="1"/>
  <c r="HN151" i="1"/>
  <c r="ED144" i="1"/>
  <c r="EI151" i="1"/>
  <c r="HN144" i="1"/>
  <c r="ED151" i="1"/>
  <c r="EK151" i="1"/>
  <c r="ED137" i="1"/>
  <c r="EE150" i="1"/>
  <c r="EK143" i="1"/>
  <c r="EN143" i="1" s="1"/>
  <c r="EP143" i="1" s="1"/>
  <c r="HN150" i="1"/>
  <c r="EC153" i="1"/>
  <c r="EI153" i="1" s="1"/>
  <c r="EE143" i="1"/>
  <c r="HM160" i="1"/>
  <c r="HN143" i="1"/>
  <c r="EK154" i="1"/>
  <c r="EN154" i="1" s="1"/>
  <c r="EP154" i="1" s="1"/>
  <c r="EK135" i="1"/>
  <c r="HN147" i="1"/>
  <c r="HN29" i="1"/>
  <c r="EI154" i="1"/>
  <c r="EL147" i="1"/>
  <c r="FK147" i="1"/>
  <c r="FK135" i="1"/>
  <c r="EL135" i="1"/>
  <c r="DC135" i="1"/>
  <c r="ED135" i="1"/>
  <c r="EE135" i="1"/>
  <c r="EI135" i="1"/>
  <c r="ED145" i="1"/>
  <c r="EE145" i="1"/>
  <c r="EI145" i="1"/>
  <c r="FK145" i="1"/>
  <c r="EL145" i="1"/>
  <c r="FK160" i="1"/>
  <c r="EE160" i="1"/>
  <c r="EI160" i="1"/>
  <c r="EL160" i="1"/>
  <c r="ED160" i="1"/>
  <c r="EL155" i="1"/>
  <c r="FK155" i="1"/>
  <c r="FK136" i="1"/>
  <c r="HN148" i="1"/>
  <c r="ED150" i="1"/>
  <c r="ED143" i="1"/>
  <c r="EK155" i="1"/>
  <c r="EL151" i="1"/>
  <c r="EE146" i="1"/>
  <c r="EI143" i="1"/>
  <c r="FK154" i="1"/>
  <c r="FK146" i="1"/>
  <c r="EI155" i="1"/>
  <c r="EE155" i="1"/>
  <c r="EK145" i="1"/>
  <c r="EL144" i="1"/>
  <c r="EC152" i="1"/>
  <c r="EC29" i="1"/>
  <c r="ED147" i="1"/>
  <c r="EK160" i="1"/>
  <c r="EE151" i="1"/>
  <c r="EK144" i="1"/>
  <c r="FK144" i="1"/>
  <c r="HM155" i="1"/>
  <c r="HN152" i="1"/>
  <c r="HN149" i="1"/>
  <c r="HN40" i="1"/>
  <c r="HN135" i="1"/>
  <c r="ED146" i="1"/>
  <c r="EL150" i="1"/>
  <c r="EI144" i="1"/>
  <c r="FK150" i="1"/>
  <c r="FK143" i="1"/>
  <c r="EK150" i="1"/>
  <c r="EE144" i="1"/>
  <c r="GN135" i="1"/>
  <c r="EK146" i="1"/>
  <c r="EN146" i="1" s="1"/>
  <c r="EP146" i="1" s="1"/>
  <c r="GJ160" i="1"/>
  <c r="GJ152" i="1"/>
  <c r="GJ148" i="1"/>
  <c r="GJ40" i="1"/>
  <c r="GJ135" i="1"/>
  <c r="FD155" i="1"/>
  <c r="FD147" i="1"/>
  <c r="FD154" i="1"/>
  <c r="FD146" i="1"/>
  <c r="FD153" i="1"/>
  <c r="FD145" i="1"/>
  <c r="FD152" i="1"/>
  <c r="FD40" i="1"/>
  <c r="FD151" i="1"/>
  <c r="FD144" i="1"/>
  <c r="FD150" i="1"/>
  <c r="FD143" i="1"/>
  <c r="FD149" i="1"/>
  <c r="FD29" i="1"/>
  <c r="FD160" i="1"/>
  <c r="FD148" i="1"/>
  <c r="FD135" i="1"/>
  <c r="EF153" i="1"/>
  <c r="EF149" i="1"/>
  <c r="EF145" i="1"/>
  <c r="EF29" i="1"/>
  <c r="EF154" i="1"/>
  <c r="EF150" i="1"/>
  <c r="EF146" i="1"/>
  <c r="EF143" i="1"/>
  <c r="EF155" i="1"/>
  <c r="EF151" i="1"/>
  <c r="EF147" i="1"/>
  <c r="EF144" i="1"/>
  <c r="EF160" i="1"/>
  <c r="EF152" i="1"/>
  <c r="EF148" i="1"/>
  <c r="EF40" i="1"/>
  <c r="EF135" i="1"/>
  <c r="AM135" i="1"/>
  <c r="AL135" i="1"/>
  <c r="GB135" i="1" l="1"/>
  <c r="IJ135" i="1" s="1"/>
  <c r="GB40" i="1"/>
  <c r="IJ40" i="1" s="1"/>
  <c r="GB148" i="1"/>
  <c r="IJ148" i="1" s="1"/>
  <c r="GB152" i="1"/>
  <c r="IJ152" i="1" s="1"/>
  <c r="GB160" i="1"/>
  <c r="IJ160" i="1" s="1"/>
  <c r="GE155" i="1"/>
  <c r="IJ155" i="1"/>
  <c r="GE144" i="1"/>
  <c r="IJ144" i="1"/>
  <c r="HH149" i="1"/>
  <c r="IJ149" i="1"/>
  <c r="HI153" i="1"/>
  <c r="IJ153" i="1"/>
  <c r="EY143" i="1"/>
  <c r="IJ143" i="1"/>
  <c r="EY151" i="1"/>
  <c r="IJ151" i="1"/>
  <c r="HI154" i="1"/>
  <c r="IJ154" i="1"/>
  <c r="HH29" i="1"/>
  <c r="IJ29" i="1"/>
  <c r="EY147" i="1"/>
  <c r="IJ147" i="1"/>
  <c r="HI150" i="1"/>
  <c r="IJ150" i="1"/>
  <c r="EY29" i="1"/>
  <c r="BY155" i="1"/>
  <c r="BZ155" i="1" s="1"/>
  <c r="BY160" i="1"/>
  <c r="BZ160" i="1" s="1"/>
  <c r="GR143" i="1"/>
  <c r="HH143" i="1"/>
  <c r="EN147" i="1"/>
  <c r="EP147" i="1" s="1"/>
  <c r="GE149" i="1"/>
  <c r="GR149" i="1"/>
  <c r="GC149" i="1"/>
  <c r="EY149" i="1"/>
  <c r="GE143" i="1"/>
  <c r="HI143" i="1"/>
  <c r="HJ143" i="1" s="1"/>
  <c r="HK143" i="1" s="1"/>
  <c r="GC29" i="1"/>
  <c r="HI29" i="1"/>
  <c r="EY150" i="1"/>
  <c r="GE29" i="1"/>
  <c r="GR29" i="1"/>
  <c r="GE150" i="1"/>
  <c r="EE40" i="1"/>
  <c r="EY144" i="1"/>
  <c r="FK40" i="1"/>
  <c r="GR144" i="1"/>
  <c r="EL40" i="1"/>
  <c r="GC143" i="1"/>
  <c r="FK153" i="1"/>
  <c r="EL149" i="1"/>
  <c r="EY154" i="1"/>
  <c r="EE149" i="1"/>
  <c r="GR154" i="1"/>
  <c r="EI149" i="1"/>
  <c r="GE154" i="1"/>
  <c r="HH150" i="1"/>
  <c r="GR150" i="1"/>
  <c r="ED149" i="1"/>
  <c r="HI149" i="1"/>
  <c r="ED153" i="1"/>
  <c r="GC150" i="1"/>
  <c r="GC154" i="1"/>
  <c r="HH154" i="1"/>
  <c r="EE153" i="1"/>
  <c r="HJ153" i="1" s="1"/>
  <c r="HK153" i="1" s="1"/>
  <c r="HJ154" i="1"/>
  <c r="HK154" i="1" s="1"/>
  <c r="GR147" i="1"/>
  <c r="EI40" i="1"/>
  <c r="HH153" i="1"/>
  <c r="GE147" i="1"/>
  <c r="EY153" i="1"/>
  <c r="EN151" i="1"/>
  <c r="EP151" i="1" s="1"/>
  <c r="EI148" i="1"/>
  <c r="GE153" i="1"/>
  <c r="EL148" i="1"/>
  <c r="EY155" i="1"/>
  <c r="GR153" i="1"/>
  <c r="EE148" i="1"/>
  <c r="GC155" i="1"/>
  <c r="GC153" i="1"/>
  <c r="ED148" i="1"/>
  <c r="HJ150" i="1"/>
  <c r="HK150" i="1" s="1"/>
  <c r="GC144" i="1"/>
  <c r="GR155" i="1"/>
  <c r="DC153" i="1"/>
  <c r="EL153" i="1"/>
  <c r="EN160" i="1"/>
  <c r="EP160" i="1" s="1"/>
  <c r="GE151" i="1"/>
  <c r="GR151" i="1"/>
  <c r="EN150" i="1"/>
  <c r="EP150" i="1" s="1"/>
  <c r="HH144" i="1"/>
  <c r="HI144" i="1"/>
  <c r="HJ144" i="1" s="1"/>
  <c r="HK144" i="1" s="1"/>
  <c r="EN155" i="1"/>
  <c r="EP155" i="1" s="1"/>
  <c r="EN145" i="1"/>
  <c r="EP145" i="1" s="1"/>
  <c r="FK29" i="1"/>
  <c r="EE29" i="1"/>
  <c r="EI29" i="1"/>
  <c r="EL29" i="1"/>
  <c r="ED29" i="1"/>
  <c r="GC151" i="1"/>
  <c r="HI147" i="1"/>
  <c r="HJ147" i="1" s="1"/>
  <c r="HK147" i="1" s="1"/>
  <c r="HH147" i="1"/>
  <c r="EN135" i="1"/>
  <c r="EP135" i="1" s="1"/>
  <c r="BY135" i="1"/>
  <c r="BZ135" i="1" s="1"/>
  <c r="GC147" i="1"/>
  <c r="HI155" i="1"/>
  <c r="HJ155" i="1" s="1"/>
  <c r="HK155" i="1" s="1"/>
  <c r="HH155" i="1"/>
  <c r="EE152" i="1"/>
  <c r="ED152" i="1"/>
  <c r="EI152" i="1"/>
  <c r="EL152" i="1"/>
  <c r="FK152" i="1"/>
  <c r="HH151" i="1"/>
  <c r="HI151" i="1"/>
  <c r="HJ151" i="1" s="1"/>
  <c r="HK151" i="1" s="1"/>
  <c r="EN144" i="1"/>
  <c r="EP144" i="1" s="1"/>
  <c r="GE152" i="1"/>
  <c r="EY152" i="1" l="1"/>
  <c r="HI152" i="1"/>
  <c r="HI40" i="1"/>
  <c r="HI148" i="1"/>
  <c r="GC152" i="1"/>
  <c r="GE148" i="1"/>
  <c r="EY148" i="1"/>
  <c r="GR152" i="1"/>
  <c r="GC160" i="1"/>
  <c r="GE160" i="1"/>
  <c r="HI160" i="1"/>
  <c r="HJ160" i="1" s="1"/>
  <c r="HK160" i="1" s="1"/>
  <c r="GR160" i="1"/>
  <c r="GC40" i="1"/>
  <c r="GC135" i="1"/>
  <c r="GR148" i="1"/>
  <c r="GR135" i="1"/>
  <c r="GC148" i="1"/>
  <c r="HH148" i="1"/>
  <c r="HH135" i="1"/>
  <c r="EY40" i="1"/>
  <c r="GE40" i="1"/>
  <c r="GR40" i="1"/>
  <c r="HH40" i="1"/>
  <c r="EY135" i="1"/>
  <c r="HI135" i="1"/>
  <c r="HJ135" i="1" s="1"/>
  <c r="HK135" i="1" s="1"/>
  <c r="GF135" i="1"/>
  <c r="GE135" i="1"/>
  <c r="HH152" i="1"/>
  <c r="HH160" i="1"/>
  <c r="EY160" i="1"/>
  <c r="CA135" i="1"/>
  <c r="BX135" i="1"/>
  <c r="CA160" i="1"/>
  <c r="BX160" i="1"/>
  <c r="CA155" i="1"/>
  <c r="BX155" i="1"/>
  <c r="EN152" i="1"/>
  <c r="EP152" i="1" s="1"/>
  <c r="EN148" i="1"/>
  <c r="EP148" i="1" s="1"/>
  <c r="EN40" i="1"/>
  <c r="EP40" i="1" s="1"/>
  <c r="ES40" i="1"/>
  <c r="EN149" i="1"/>
  <c r="EP149" i="1" s="1"/>
  <c r="EN29" i="1"/>
  <c r="EP29" i="1" s="1"/>
  <c r="ES29" i="1"/>
  <c r="EN153" i="1"/>
  <c r="EP153" i="1" s="1"/>
  <c r="HJ40" i="1"/>
  <c r="HK40" i="1" s="1"/>
  <c r="HJ29" i="1"/>
  <c r="HK29" i="1" s="1"/>
  <c r="HJ149" i="1"/>
  <c r="HK149" i="1" s="1"/>
  <c r="HJ148" i="1"/>
  <c r="HK148" i="1" s="1"/>
  <c r="HJ152" i="1"/>
  <c r="HK152" i="1" s="1"/>
  <c r="EB132" i="1" l="1"/>
  <c r="EC132" i="1" s="1"/>
  <c r="DW132" i="1"/>
  <c r="DX132" i="1" s="1"/>
  <c r="DT132" i="1"/>
  <c r="DU132" i="1" s="1"/>
  <c r="DR132" i="1"/>
  <c r="DN132" i="1"/>
  <c r="DO132" i="1" s="1"/>
  <c r="DK132" i="1"/>
  <c r="DL132" i="1" s="1"/>
  <c r="DH132" i="1"/>
  <c r="DI132" i="1" s="1"/>
  <c r="DE132" i="1"/>
  <c r="DF132" i="1" s="1"/>
  <c r="EB131" i="1"/>
  <c r="EC131" i="1" s="1"/>
  <c r="DW131" i="1"/>
  <c r="DX131" i="1" s="1"/>
  <c r="DT131" i="1"/>
  <c r="DU131" i="1" s="1"/>
  <c r="DR131" i="1"/>
  <c r="DN131" i="1"/>
  <c r="DO131" i="1" s="1"/>
  <c r="DK131" i="1"/>
  <c r="DL131" i="1" s="1"/>
  <c r="DH131" i="1"/>
  <c r="DI131" i="1" s="1"/>
  <c r="DE131" i="1"/>
  <c r="DF131" i="1" s="1"/>
  <c r="DC136" i="1"/>
  <c r="EB133" i="1"/>
  <c r="EC133" i="1" s="1"/>
  <c r="DW133" i="1"/>
  <c r="DX133" i="1" s="1"/>
  <c r="DT133" i="1"/>
  <c r="DU133" i="1" s="1"/>
  <c r="DR133" i="1"/>
  <c r="DN133" i="1"/>
  <c r="DO133" i="1" s="1"/>
  <c r="DK133" i="1"/>
  <c r="DL133" i="1" s="1"/>
  <c r="DH133" i="1"/>
  <c r="DI133" i="1" s="1"/>
  <c r="DE133" i="1"/>
  <c r="DF133" i="1" s="1"/>
  <c r="EB134" i="1"/>
  <c r="EC134" i="1" s="1"/>
  <c r="ED134" i="1" s="1"/>
  <c r="DW134" i="1"/>
  <c r="DX134" i="1" s="1"/>
  <c r="DT134" i="1"/>
  <c r="DU134" i="1" s="1"/>
  <c r="DR134" i="1"/>
  <c r="DN134" i="1"/>
  <c r="DO134" i="1" s="1"/>
  <c r="DK134" i="1"/>
  <c r="DL134" i="1" s="1"/>
  <c r="DH134" i="1"/>
  <c r="DI134" i="1" s="1"/>
  <c r="DE134" i="1"/>
  <c r="DF134" i="1" s="1"/>
  <c r="DA132" i="1"/>
  <c r="DA131" i="1"/>
  <c r="DA133" i="1"/>
  <c r="DA134" i="1"/>
  <c r="EB115" i="1"/>
  <c r="EC115" i="1" s="1"/>
  <c r="EL44" i="1"/>
  <c r="DC132" i="1" l="1"/>
  <c r="ED132" i="1"/>
  <c r="DC133" i="1"/>
  <c r="ED133" i="1"/>
  <c r="DC134" i="1"/>
  <c r="DC131" i="1"/>
  <c r="ED131" i="1"/>
  <c r="GJ44" i="1" l="1"/>
  <c r="GB44" i="1" s="1"/>
  <c r="GJ2" i="1"/>
  <c r="GJ4" i="1"/>
  <c r="GJ94" i="1"/>
  <c r="GB94" i="1" s="1"/>
  <c r="GJ91" i="1"/>
  <c r="GB91" i="1" s="1"/>
  <c r="GJ93" i="1"/>
  <c r="GJ97" i="1"/>
  <c r="GB97" i="1" s="1"/>
  <c r="GJ84" i="1"/>
  <c r="GJ103" i="1"/>
  <c r="GJ102" i="1"/>
  <c r="GB102" i="1" s="1"/>
  <c r="GJ72" i="1"/>
  <c r="GB72" i="1" s="1"/>
  <c r="GJ54" i="1"/>
  <c r="GB54" i="1" s="1"/>
  <c r="GJ12" i="1"/>
  <c r="GB12" i="1" s="1"/>
  <c r="GJ14" i="1"/>
  <c r="GB14" i="1" s="1"/>
  <c r="GJ19" i="1"/>
  <c r="GB19" i="1" s="1"/>
  <c r="GJ20" i="1"/>
  <c r="GB20" i="1" s="1"/>
  <c r="GJ32" i="1"/>
  <c r="GB32" i="1" s="1"/>
  <c r="GJ33" i="1"/>
  <c r="GB33" i="1" s="1"/>
  <c r="GJ35" i="1"/>
  <c r="GB35" i="1" s="1"/>
  <c r="CJ12" i="1" l="1"/>
  <c r="EQ105" i="1" l="1"/>
  <c r="EQ106" i="1" l="1"/>
  <c r="EQ71" i="1"/>
  <c r="EQ88" i="1"/>
  <c r="EQ89" i="1"/>
  <c r="EQ70" i="1"/>
  <c r="EQ99" i="1"/>
  <c r="EQ83" i="1"/>
  <c r="EQ104" i="1"/>
  <c r="FK80" i="1" l="1"/>
  <c r="FK131" i="1"/>
  <c r="FK132" i="1"/>
  <c r="FK130" i="1"/>
  <c r="FK55" i="1"/>
  <c r="FK50" i="1"/>
  <c r="CZ87" i="1"/>
  <c r="DA87" i="1"/>
  <c r="DC87" i="1"/>
  <c r="DF87" i="1"/>
  <c r="DI87" i="1"/>
  <c r="DK87" i="1"/>
  <c r="DL87" i="1" s="1"/>
  <c r="DN87" i="1"/>
  <c r="DO87" i="1" s="1"/>
  <c r="DQ87" i="1"/>
  <c r="DR87" i="1" s="1"/>
  <c r="DT87" i="1"/>
  <c r="DU87" i="1" s="1"/>
  <c r="DW87" i="1"/>
  <c r="DX87" i="1" s="1"/>
  <c r="EB87" i="1"/>
  <c r="ED87" i="1" s="1"/>
  <c r="EE87" i="1"/>
  <c r="EF87" i="1"/>
  <c r="CZ94" i="1"/>
  <c r="DA94" i="1"/>
  <c r="DC94" i="1"/>
  <c r="DE94" i="1"/>
  <c r="DF94" i="1" s="1"/>
  <c r="DH94" i="1"/>
  <c r="DI94" i="1" s="1"/>
  <c r="DK94" i="1"/>
  <c r="DL94" i="1" s="1"/>
  <c r="DN94" i="1"/>
  <c r="DO94" i="1" s="1"/>
  <c r="DR94" i="1"/>
  <c r="DT94" i="1"/>
  <c r="DU94" i="1" s="1"/>
  <c r="DW94" i="1"/>
  <c r="DX94" i="1" s="1"/>
  <c r="EB94" i="1"/>
  <c r="EK94" i="1" s="1"/>
  <c r="EE94" i="1"/>
  <c r="CZ91" i="1"/>
  <c r="DA91" i="1"/>
  <c r="DC91" i="1"/>
  <c r="DE91" i="1"/>
  <c r="DF91" i="1" s="1"/>
  <c r="DH91" i="1"/>
  <c r="DI91" i="1" s="1"/>
  <c r="DK91" i="1"/>
  <c r="DL91" i="1" s="1"/>
  <c r="DN91" i="1"/>
  <c r="DO91" i="1" s="1"/>
  <c r="DR91" i="1"/>
  <c r="DT91" i="1"/>
  <c r="DU91" i="1" s="1"/>
  <c r="DW91" i="1"/>
  <c r="DX91" i="1" s="1"/>
  <c r="EB91" i="1"/>
  <c r="ED91" i="1" s="1"/>
  <c r="EE91" i="1"/>
  <c r="CZ93" i="1"/>
  <c r="DA93" i="1"/>
  <c r="DC93" i="1"/>
  <c r="DE93" i="1"/>
  <c r="DF93" i="1" s="1"/>
  <c r="DH93" i="1"/>
  <c r="DI93" i="1" s="1"/>
  <c r="DK93" i="1"/>
  <c r="DL93" i="1" s="1"/>
  <c r="DN93" i="1"/>
  <c r="DO93" i="1" s="1"/>
  <c r="DR93" i="1"/>
  <c r="DT93" i="1"/>
  <c r="DU93" i="1" s="1"/>
  <c r="DW93" i="1"/>
  <c r="DX93" i="1" s="1"/>
  <c r="EB93" i="1"/>
  <c r="EK93" i="1" s="1"/>
  <c r="EE93" i="1"/>
  <c r="CZ70" i="1"/>
  <c r="DA70" i="1"/>
  <c r="DC70" i="1"/>
  <c r="DF70" i="1"/>
  <c r="DI70" i="1"/>
  <c r="DK70" i="1"/>
  <c r="DL70" i="1" s="1"/>
  <c r="DN70" i="1"/>
  <c r="DO70" i="1" s="1"/>
  <c r="DQ70" i="1"/>
  <c r="DR70" i="1" s="1"/>
  <c r="DT70" i="1"/>
  <c r="DU70" i="1" s="1"/>
  <c r="DW70" i="1"/>
  <c r="DX70" i="1" s="1"/>
  <c r="EB70" i="1"/>
  <c r="ED70" i="1" s="1"/>
  <c r="EE70" i="1"/>
  <c r="EF70" i="1"/>
  <c r="CZ97" i="1"/>
  <c r="DA97" i="1"/>
  <c r="DC97" i="1"/>
  <c r="DE97" i="1"/>
  <c r="DF97" i="1" s="1"/>
  <c r="DH97" i="1"/>
  <c r="DI97" i="1" s="1"/>
  <c r="DK97" i="1"/>
  <c r="DL97" i="1" s="1"/>
  <c r="DN97" i="1"/>
  <c r="DO97" i="1" s="1"/>
  <c r="DR97" i="1"/>
  <c r="DT97" i="1"/>
  <c r="DU97" i="1" s="1"/>
  <c r="DW97" i="1"/>
  <c r="DX97" i="1" s="1"/>
  <c r="EB97" i="1"/>
  <c r="EK97" i="1" s="1"/>
  <c r="EE97" i="1"/>
  <c r="CZ84" i="1"/>
  <c r="DA84" i="1"/>
  <c r="DC84" i="1"/>
  <c r="DE84" i="1"/>
  <c r="DF84" i="1" s="1"/>
  <c r="DH84" i="1"/>
  <c r="EF84" i="1" s="1"/>
  <c r="DK84" i="1"/>
  <c r="DL84" i="1" s="1"/>
  <c r="DN84" i="1"/>
  <c r="DO84" i="1" s="1"/>
  <c r="DR84" i="1"/>
  <c r="DT84" i="1"/>
  <c r="DU84" i="1" s="1"/>
  <c r="DW84" i="1"/>
  <c r="DX84" i="1" s="1"/>
  <c r="EB84" i="1"/>
  <c r="ED84" i="1" s="1"/>
  <c r="EE84" i="1"/>
  <c r="CZ83" i="1"/>
  <c r="DA83" i="1"/>
  <c r="DC83" i="1"/>
  <c r="DF83" i="1"/>
  <c r="DI83" i="1"/>
  <c r="DK83" i="1"/>
  <c r="DL83" i="1" s="1"/>
  <c r="DO83" i="1"/>
  <c r="DR83" i="1"/>
  <c r="DT83" i="1"/>
  <c r="DU83" i="1" s="1"/>
  <c r="DX83" i="1"/>
  <c r="EB83" i="1"/>
  <c r="ED83" i="1" s="1"/>
  <c r="EE83" i="1"/>
  <c r="EF83" i="1"/>
  <c r="CZ88" i="1"/>
  <c r="DA88" i="1"/>
  <c r="DC88" i="1"/>
  <c r="DF88" i="1"/>
  <c r="DI88" i="1"/>
  <c r="DK88" i="1"/>
  <c r="DL88" i="1" s="1"/>
  <c r="DO88" i="1"/>
  <c r="DR88" i="1"/>
  <c r="DT88" i="1"/>
  <c r="DU88" i="1" s="1"/>
  <c r="DX88" i="1"/>
  <c r="EB88" i="1"/>
  <c r="ED88" i="1" s="1"/>
  <c r="EE88" i="1"/>
  <c r="EF88" i="1"/>
  <c r="CZ103" i="1"/>
  <c r="DA103" i="1"/>
  <c r="DC103" i="1"/>
  <c r="DE103" i="1"/>
  <c r="DF103" i="1" s="1"/>
  <c r="DH103" i="1"/>
  <c r="DI103" i="1" s="1"/>
  <c r="DK103" i="1"/>
  <c r="DL103" i="1" s="1"/>
  <c r="DN103" i="1"/>
  <c r="DO103" i="1" s="1"/>
  <c r="DR103" i="1"/>
  <c r="DT103" i="1"/>
  <c r="DU103" i="1" s="1"/>
  <c r="DW103" i="1"/>
  <c r="DX103" i="1" s="1"/>
  <c r="ED103" i="1"/>
  <c r="EE103" i="1"/>
  <c r="EK103" i="1"/>
  <c r="CZ102" i="1"/>
  <c r="DA102" i="1"/>
  <c r="DE102" i="1"/>
  <c r="DF102" i="1" s="1"/>
  <c r="DH102" i="1"/>
  <c r="DI102" i="1" s="1"/>
  <c r="DK102" i="1"/>
  <c r="DL102" i="1" s="1"/>
  <c r="DN102" i="1"/>
  <c r="DO102" i="1" s="1"/>
  <c r="DR102" i="1"/>
  <c r="DT102" i="1"/>
  <c r="DU102" i="1" s="1"/>
  <c r="DW102" i="1"/>
  <c r="DX102" i="1" s="1"/>
  <c r="EB102" i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71" i="1"/>
  <c r="DA71" i="1"/>
  <c r="DE71" i="1"/>
  <c r="DF71" i="1" s="1"/>
  <c r="DI71" i="1"/>
  <c r="DK71" i="1"/>
  <c r="DL71" i="1" s="1"/>
  <c r="DN71" i="1"/>
  <c r="DO71" i="1" s="1"/>
  <c r="DQ71" i="1"/>
  <c r="DR71" i="1" s="1"/>
  <c r="DT71" i="1"/>
  <c r="DU71" i="1" s="1"/>
  <c r="DW71" i="1"/>
  <c r="DX71" i="1" s="1"/>
  <c r="EB71" i="1"/>
  <c r="EF71" i="1"/>
  <c r="CZ99" i="1"/>
  <c r="DA99" i="1"/>
  <c r="DE99" i="1"/>
  <c r="DF99" i="1" s="1"/>
  <c r="DH99" i="1"/>
  <c r="DI99" i="1" s="1"/>
  <c r="DK99" i="1"/>
  <c r="DL99" i="1" s="1"/>
  <c r="DN99" i="1"/>
  <c r="DO99" i="1" s="1"/>
  <c r="DQ99" i="1"/>
  <c r="DR99" i="1" s="1"/>
  <c r="DT99" i="1"/>
  <c r="DU99" i="1" s="1"/>
  <c r="DW99" i="1"/>
  <c r="DX99" i="1" s="1"/>
  <c r="EB99" i="1"/>
  <c r="CZ54" i="1"/>
  <c r="DA54" i="1"/>
  <c r="DC54" i="1"/>
  <c r="DE54" i="1"/>
  <c r="DF54" i="1" s="1"/>
  <c r="DH54" i="1"/>
  <c r="DI54" i="1" s="1"/>
  <c r="DK54" i="1"/>
  <c r="DL54" i="1" s="1"/>
  <c r="DN54" i="1"/>
  <c r="DO54" i="1" s="1"/>
  <c r="DR54" i="1"/>
  <c r="DT54" i="1"/>
  <c r="DU54" i="1" s="1"/>
  <c r="DW54" i="1"/>
  <c r="DX54" i="1" s="1"/>
  <c r="EB54" i="1"/>
  <c r="ED54" i="1" s="1"/>
  <c r="EE54" i="1"/>
  <c r="CZ105" i="1"/>
  <c r="DA105" i="1"/>
  <c r="DE105" i="1"/>
  <c r="DF105" i="1" s="1"/>
  <c r="DG105" i="1"/>
  <c r="DH105" i="1" s="1"/>
  <c r="EF105" i="1" s="1"/>
  <c r="DK105" i="1"/>
  <c r="DL105" i="1" s="1"/>
  <c r="DN105" i="1"/>
  <c r="DO105" i="1" s="1"/>
  <c r="DR105" i="1"/>
  <c r="DT105" i="1"/>
  <c r="DU105" i="1" s="1"/>
  <c r="DW105" i="1"/>
  <c r="DX105" i="1" s="1"/>
  <c r="EB105" i="1"/>
  <c r="CZ89" i="1"/>
  <c r="DA89" i="1"/>
  <c r="DE89" i="1"/>
  <c r="DF89" i="1" s="1"/>
  <c r="DI89" i="1"/>
  <c r="DK89" i="1"/>
  <c r="DL89" i="1" s="1"/>
  <c r="DN89" i="1"/>
  <c r="DO89" i="1" s="1"/>
  <c r="DR89" i="1"/>
  <c r="DT89" i="1"/>
  <c r="DU89" i="1" s="1"/>
  <c r="DW89" i="1"/>
  <c r="DX89" i="1" s="1"/>
  <c r="EB89" i="1"/>
  <c r="EC89" i="1" s="1"/>
  <c r="EF89" i="1"/>
  <c r="DE24" i="1"/>
  <c r="DF24" i="1" s="1"/>
  <c r="EB24" i="1"/>
  <c r="EL54" i="1"/>
  <c r="EL97" i="1"/>
  <c r="EL94" i="1"/>
  <c r="EL93" i="1"/>
  <c r="EL103" i="1"/>
  <c r="EL72" i="1"/>
  <c r="EN70" i="1" l="1"/>
  <c r="ES70" i="1"/>
  <c r="EC71" i="1"/>
  <c r="EL71" i="1" s="1"/>
  <c r="EK99" i="1"/>
  <c r="EC99" i="1"/>
  <c r="EL99" i="1" s="1"/>
  <c r="EC105" i="1"/>
  <c r="ED105" i="1" s="1"/>
  <c r="EC102" i="1"/>
  <c r="DC102" i="1" s="1"/>
  <c r="EK72" i="1"/>
  <c r="EK102" i="1"/>
  <c r="EK83" i="1"/>
  <c r="ED97" i="1"/>
  <c r="ED93" i="1"/>
  <c r="EK91" i="1"/>
  <c r="EK89" i="1"/>
  <c r="EK54" i="1"/>
  <c r="ED89" i="1"/>
  <c r="DC89" i="1"/>
  <c r="EE89" i="1"/>
  <c r="EK105" i="1"/>
  <c r="EK88" i="1"/>
  <c r="EF91" i="1"/>
  <c r="ED94" i="1"/>
  <c r="EK87" i="1"/>
  <c r="EF94" i="1"/>
  <c r="DI84" i="1"/>
  <c r="EF99" i="1"/>
  <c r="EF72" i="1"/>
  <c r="DI105" i="1"/>
  <c r="EK84" i="1"/>
  <c r="EK71" i="1"/>
  <c r="EF102" i="1"/>
  <c r="EF54" i="1"/>
  <c r="EF97" i="1"/>
  <c r="EF93" i="1"/>
  <c r="EF103" i="1"/>
  <c r="GU103" i="1"/>
  <c r="GD103" i="1" s="1"/>
  <c r="GB103" i="1" s="1"/>
  <c r="ED71" i="1" l="1"/>
  <c r="DC71" i="1"/>
  <c r="EE71" i="1"/>
  <c r="DC99" i="1"/>
  <c r="EL105" i="1"/>
  <c r="DC105" i="1"/>
  <c r="EE105" i="1"/>
  <c r="EE102" i="1"/>
  <c r="ED102" i="1"/>
  <c r="EE99" i="1"/>
  <c r="ED99" i="1"/>
  <c r="GU93" i="1"/>
  <c r="GD93" i="1" s="1"/>
  <c r="GB93" i="1" s="1"/>
  <c r="GU84" i="1" l="1"/>
  <c r="GD84" i="1" s="1"/>
  <c r="GB84" i="1" s="1"/>
  <c r="CM12" i="1" l="1"/>
  <c r="FD89" i="1" l="1"/>
  <c r="BY153" i="1" l="1"/>
  <c r="BZ153" i="1" s="1"/>
  <c r="AD84" i="1"/>
  <c r="AD97" i="1"/>
  <c r="AD99" i="1"/>
  <c r="AD93" i="1"/>
  <c r="AD53" i="1"/>
  <c r="AD49" i="1"/>
  <c r="AD73" i="1"/>
  <c r="AD80" i="1"/>
  <c r="AD103" i="1"/>
  <c r="AD102" i="1"/>
  <c r="AD2" i="1"/>
  <c r="AD72" i="1"/>
  <c r="AD105" i="1"/>
  <c r="AD17" i="1"/>
  <c r="AD28" i="1"/>
  <c r="AD4" i="1"/>
  <c r="AD92" i="1"/>
  <c r="AD63" i="1"/>
  <c r="AD21" i="1"/>
  <c r="AD34" i="1"/>
  <c r="AD30" i="1"/>
  <c r="AD11" i="1"/>
  <c r="AD13" i="1"/>
  <c r="AD6" i="1"/>
  <c r="BE39" i="1"/>
  <c r="AD70" i="1"/>
  <c r="AD118" i="1"/>
  <c r="AD119" i="1"/>
  <c r="AD120" i="1"/>
  <c r="AD54" i="1"/>
  <c r="AD107" i="1"/>
  <c r="AD109" i="1"/>
  <c r="AD124" i="1"/>
  <c r="AD125" i="1"/>
  <c r="AD126" i="1"/>
  <c r="AD127" i="1"/>
  <c r="AD129" i="1"/>
  <c r="AD112" i="1"/>
  <c r="AD113" i="1"/>
  <c r="AD114" i="1"/>
  <c r="AD115" i="1"/>
  <c r="AD29" i="1"/>
  <c r="AD116" i="1"/>
  <c r="AD122" i="1"/>
  <c r="AD140" i="1"/>
  <c r="BE140" i="1" s="1"/>
  <c r="AD138" i="1"/>
  <c r="BE138" i="1" s="1"/>
  <c r="AD130" i="1"/>
  <c r="BE130" i="1" s="1"/>
  <c r="AD141" i="1"/>
  <c r="BE141" i="1" s="1"/>
  <c r="AD139" i="1"/>
  <c r="BE139" i="1" s="1"/>
  <c r="AD142" i="1"/>
  <c r="BE142" i="1" s="1"/>
  <c r="AD131" i="1"/>
  <c r="BE131" i="1" s="1"/>
  <c r="AD132" i="1"/>
  <c r="BE132" i="1" s="1"/>
  <c r="AD137" i="1"/>
  <c r="BE137" i="1" s="1"/>
  <c r="AD133" i="1"/>
  <c r="BE133" i="1" s="1"/>
  <c r="AD134" i="1"/>
  <c r="BE134" i="1" s="1"/>
  <c r="AD136" i="1"/>
  <c r="BE136" i="1" s="1"/>
  <c r="AD143" i="1"/>
  <c r="BE143" i="1" s="1"/>
  <c r="AD144" i="1"/>
  <c r="BE144" i="1" s="1"/>
  <c r="AD40" i="1"/>
  <c r="AD145" i="1"/>
  <c r="BE145" i="1" s="1"/>
  <c r="AD146" i="1"/>
  <c r="BE146" i="1" s="1"/>
  <c r="AD147" i="1"/>
  <c r="BE147" i="1" s="1"/>
  <c r="AD148" i="1"/>
  <c r="BE148" i="1" s="1"/>
  <c r="AD149" i="1"/>
  <c r="BE149" i="1" s="1"/>
  <c r="AD150" i="1"/>
  <c r="BE150" i="1" s="1"/>
  <c r="AD151" i="1"/>
  <c r="BE151" i="1" s="1"/>
  <c r="AD152" i="1"/>
  <c r="BE152" i="1" s="1"/>
  <c r="AD153" i="1"/>
  <c r="BE153" i="1" s="1"/>
  <c r="AD154" i="1"/>
  <c r="BE154" i="1" s="1"/>
  <c r="AD155" i="1"/>
  <c r="BE155" i="1" s="1"/>
  <c r="AD160" i="1"/>
  <c r="BE160" i="1" s="1"/>
  <c r="AD60" i="1"/>
  <c r="AD75" i="1"/>
  <c r="AD108" i="1"/>
  <c r="AD104" i="1"/>
  <c r="AD106" i="1"/>
  <c r="AD100" i="1"/>
  <c r="AD96" i="1"/>
  <c r="AD98" i="1"/>
  <c r="AD101" i="1"/>
  <c r="AD90" i="1"/>
  <c r="AD95" i="1"/>
  <c r="AD41" i="1"/>
  <c r="AD42" i="1"/>
  <c r="AD3" i="1"/>
  <c r="AD46" i="1"/>
  <c r="AD47" i="1"/>
  <c r="AD7" i="1"/>
  <c r="AD87" i="1"/>
  <c r="AD38" i="1"/>
  <c r="AD27" i="1"/>
  <c r="AD15" i="1"/>
  <c r="AD59" i="1"/>
  <c r="AD50" i="1"/>
  <c r="AD68" i="1"/>
  <c r="AD69" i="1"/>
  <c r="AD26" i="1"/>
  <c r="AD51" i="1"/>
  <c r="AD65" i="1"/>
  <c r="AD44" i="1"/>
  <c r="AD66" i="1"/>
  <c r="AD61" i="1"/>
  <c r="AD62" i="1"/>
  <c r="AD67" i="1"/>
  <c r="AD5" i="1"/>
  <c r="AD64" i="1"/>
  <c r="AD55" i="1"/>
  <c r="AD74" i="1"/>
  <c r="AD18" i="1"/>
  <c r="AD31" i="1"/>
  <c r="AD10" i="1"/>
  <c r="AD45" i="1"/>
  <c r="AD71" i="1"/>
  <c r="AD78" i="1"/>
  <c r="AD79" i="1"/>
  <c r="AD56" i="1"/>
  <c r="AD77" i="1"/>
  <c r="AD81" i="1"/>
  <c r="AD82" i="1"/>
  <c r="AD83" i="1"/>
  <c r="AD48" i="1"/>
  <c r="AD85" i="1"/>
  <c r="AD88" i="1"/>
  <c r="AD86" i="1"/>
  <c r="AD58" i="1"/>
  <c r="AD89" i="1"/>
  <c r="AD8" i="1"/>
  <c r="AD52" i="1"/>
  <c r="AD91" i="1"/>
  <c r="AD94" i="1"/>
  <c r="CA153" i="1" l="1"/>
  <c r="BX153" i="1"/>
  <c r="GI147" i="1"/>
  <c r="GN147" i="1"/>
  <c r="GF147" i="1"/>
  <c r="GI154" i="1"/>
  <c r="GN154" i="1"/>
  <c r="GF154" i="1"/>
  <c r="GI146" i="1"/>
  <c r="GN146" i="1"/>
  <c r="GI145" i="1"/>
  <c r="GN145" i="1"/>
  <c r="GI152" i="1"/>
  <c r="GN152" i="1"/>
  <c r="GF152" i="1"/>
  <c r="GI40" i="1"/>
  <c r="GN40" i="1"/>
  <c r="GF40" i="1"/>
  <c r="GI155" i="1"/>
  <c r="GN155" i="1"/>
  <c r="GF155" i="1"/>
  <c r="GI153" i="1"/>
  <c r="GN153" i="1"/>
  <c r="GF153" i="1"/>
  <c r="GI151" i="1"/>
  <c r="GN151" i="1"/>
  <c r="GF151" i="1"/>
  <c r="GI144" i="1"/>
  <c r="GN144" i="1"/>
  <c r="GF144" i="1"/>
  <c r="GI29" i="1"/>
  <c r="GN29" i="1"/>
  <c r="GF29" i="1"/>
  <c r="GI150" i="1"/>
  <c r="GF150" i="1"/>
  <c r="GN150" i="1"/>
  <c r="GI143" i="1"/>
  <c r="GF143" i="1"/>
  <c r="GN143" i="1"/>
  <c r="GI149" i="1"/>
  <c r="GN149" i="1"/>
  <c r="GF149" i="1"/>
  <c r="GI160" i="1"/>
  <c r="GN160" i="1"/>
  <c r="GF160" i="1"/>
  <c r="GI148" i="1"/>
  <c r="GN148" i="1"/>
  <c r="GF148" i="1"/>
  <c r="U24" i="1"/>
  <c r="U22" i="1"/>
  <c r="U23" i="1"/>
  <c r="GM43" i="1"/>
  <c r="GK43" i="1" s="1"/>
  <c r="GJ43" i="1" s="1"/>
  <c r="GB43" i="1" s="1"/>
  <c r="BC119" i="1"/>
  <c r="BC125" i="1"/>
  <c r="BC118" i="1"/>
  <c r="BC124" i="1"/>
  <c r="BC120" i="1"/>
  <c r="BC126" i="1"/>
  <c r="GK109" i="1"/>
  <c r="BC109" i="1"/>
  <c r="BD109" i="1"/>
  <c r="GK9" i="1"/>
  <c r="GJ9" i="1" s="1"/>
  <c r="GB9" i="1" s="1"/>
  <c r="EB9" i="1"/>
  <c r="EK9" i="1" s="1"/>
  <c r="DW9" i="1"/>
  <c r="DX9" i="1" s="1"/>
  <c r="DT9" i="1"/>
  <c r="DU9" i="1" s="1"/>
  <c r="DR9" i="1"/>
  <c r="DN9" i="1"/>
  <c r="DO9" i="1" s="1"/>
  <c r="DK9" i="1"/>
  <c r="DL9" i="1" s="1"/>
  <c r="DH9" i="1"/>
  <c r="DI9" i="1" s="1"/>
  <c r="DE9" i="1"/>
  <c r="DF9" i="1" s="1"/>
  <c r="DA9" i="1"/>
  <c r="CZ9" i="1"/>
  <c r="CV9" i="1"/>
  <c r="CP9" i="1"/>
  <c r="CQ9" i="1" s="1"/>
  <c r="CM9" i="1"/>
  <c r="CN9" i="1" s="1"/>
  <c r="CJ9" i="1"/>
  <c r="CK9" i="1" s="1"/>
  <c r="CH9" i="1"/>
  <c r="CE9" i="1"/>
  <c r="BQ9" i="1"/>
  <c r="BM9" i="1"/>
  <c r="R9" i="1"/>
  <c r="U9" i="1"/>
  <c r="T9" i="1"/>
  <c r="S9" i="1"/>
  <c r="AE9" i="1"/>
  <c r="GK24" i="1"/>
  <c r="EB109" i="1"/>
  <c r="EC109" i="1" s="1"/>
  <c r="EB107" i="1"/>
  <c r="EC107" i="1" s="1"/>
  <c r="DC107" i="1" s="1"/>
  <c r="EB39" i="1"/>
  <c r="EC39" i="1" s="1"/>
  <c r="DC39" i="1" s="1"/>
  <c r="EB37" i="1"/>
  <c r="EC37" i="1" s="1"/>
  <c r="EL37" i="1" s="1"/>
  <c r="ES37" i="1" s="1"/>
  <c r="EB36" i="1"/>
  <c r="EC36" i="1" s="1"/>
  <c r="EB25" i="1"/>
  <c r="EC25" i="1" s="1"/>
  <c r="EI25" i="1" s="1"/>
  <c r="EC24" i="1"/>
  <c r="DW43" i="1"/>
  <c r="DX43" i="1" s="1"/>
  <c r="DW109" i="1"/>
  <c r="DX109" i="1" s="1"/>
  <c r="DW107" i="1"/>
  <c r="DX107" i="1" s="1"/>
  <c r="DW39" i="1"/>
  <c r="DX39" i="1" s="1"/>
  <c r="DW37" i="1"/>
  <c r="DX37" i="1" s="1"/>
  <c r="DW36" i="1"/>
  <c r="DX36" i="1" s="1"/>
  <c r="DW25" i="1"/>
  <c r="DX25" i="1" s="1"/>
  <c r="DW24" i="1"/>
  <c r="DX24" i="1" s="1"/>
  <c r="DT109" i="1"/>
  <c r="DU109" i="1" s="1"/>
  <c r="DT107" i="1"/>
  <c r="DU107" i="1" s="1"/>
  <c r="DT39" i="1"/>
  <c r="DU39" i="1" s="1"/>
  <c r="DT37" i="1"/>
  <c r="DU37" i="1" s="1"/>
  <c r="DT36" i="1"/>
  <c r="DU36" i="1" s="1"/>
  <c r="DT25" i="1"/>
  <c r="DU25" i="1" s="1"/>
  <c r="DT24" i="1"/>
  <c r="DU24" i="1" s="1"/>
  <c r="DR43" i="1"/>
  <c r="DN43" i="1"/>
  <c r="DO43" i="1" s="1"/>
  <c r="DR109" i="1"/>
  <c r="DN109" i="1"/>
  <c r="DO109" i="1" s="1"/>
  <c r="DR107" i="1"/>
  <c r="DN107" i="1"/>
  <c r="DO107" i="1" s="1"/>
  <c r="DR39" i="1"/>
  <c r="DN39" i="1"/>
  <c r="DO39" i="1" s="1"/>
  <c r="DR37" i="1"/>
  <c r="DN37" i="1"/>
  <c r="DO37" i="1" s="1"/>
  <c r="DR36" i="1"/>
  <c r="DN36" i="1"/>
  <c r="DO36" i="1" s="1"/>
  <c r="DR25" i="1"/>
  <c r="DN25" i="1"/>
  <c r="DO25" i="1" s="1"/>
  <c r="DR24" i="1"/>
  <c r="DN24" i="1"/>
  <c r="DO24" i="1" s="1"/>
  <c r="DR117" i="1"/>
  <c r="DN117" i="1"/>
  <c r="DO117" i="1" s="1"/>
  <c r="DK118" i="1"/>
  <c r="DL118" i="1" s="1"/>
  <c r="DH118" i="1"/>
  <c r="DI118" i="1" s="1"/>
  <c r="DK43" i="1"/>
  <c r="DL43" i="1" s="1"/>
  <c r="DH43" i="1"/>
  <c r="DK109" i="1"/>
  <c r="DL109" i="1" s="1"/>
  <c r="DH109" i="1"/>
  <c r="EF109" i="1" s="1"/>
  <c r="DK107" i="1"/>
  <c r="DL107" i="1" s="1"/>
  <c r="DH107" i="1"/>
  <c r="DI107" i="1" s="1"/>
  <c r="DK39" i="1"/>
  <c r="DL39" i="1" s="1"/>
  <c r="DH39" i="1"/>
  <c r="DI39" i="1" s="1"/>
  <c r="DK37" i="1"/>
  <c r="DL37" i="1" s="1"/>
  <c r="DH37" i="1"/>
  <c r="FD37" i="1" s="1"/>
  <c r="DK36" i="1"/>
  <c r="DL36" i="1" s="1"/>
  <c r="DH36" i="1"/>
  <c r="EF36" i="1" s="1"/>
  <c r="DK25" i="1"/>
  <c r="DL25" i="1" s="1"/>
  <c r="DH25" i="1"/>
  <c r="DI25" i="1" s="1"/>
  <c r="DK24" i="1"/>
  <c r="DL24" i="1" s="1"/>
  <c r="DH24" i="1"/>
  <c r="EF24" i="1" s="1"/>
  <c r="DA43" i="1"/>
  <c r="DA109" i="1"/>
  <c r="DA107" i="1"/>
  <c r="DA39" i="1"/>
  <c r="DA37" i="1"/>
  <c r="DA36" i="1"/>
  <c r="DA25" i="1"/>
  <c r="DA24" i="1"/>
  <c r="DA117" i="1"/>
  <c r="CZ109" i="1"/>
  <c r="CZ107" i="1"/>
  <c r="CZ39" i="1"/>
  <c r="CZ37" i="1"/>
  <c r="CZ36" i="1"/>
  <c r="CZ25" i="1"/>
  <c r="CZ24" i="1"/>
  <c r="CV43" i="1"/>
  <c r="CV109" i="1"/>
  <c r="CV107" i="1"/>
  <c r="CV39" i="1"/>
  <c r="CV37" i="1"/>
  <c r="CV36" i="1"/>
  <c r="CV25" i="1"/>
  <c r="CV24" i="1"/>
  <c r="CQ109" i="1"/>
  <c r="CQ107" i="1"/>
  <c r="CQ37" i="1"/>
  <c r="CQ36" i="1"/>
  <c r="CQ25" i="1"/>
  <c r="CQ24" i="1"/>
  <c r="BQ109" i="1"/>
  <c r="BM109" i="1"/>
  <c r="BQ107" i="1"/>
  <c r="BM107" i="1"/>
  <c r="BQ39" i="1"/>
  <c r="BM39" i="1"/>
  <c r="BQ37" i="1"/>
  <c r="BM37" i="1"/>
  <c r="BQ36" i="1"/>
  <c r="BM36" i="1"/>
  <c r="BQ25" i="1"/>
  <c r="BM25" i="1"/>
  <c r="BQ24" i="1"/>
  <c r="BM24" i="1"/>
  <c r="P24" i="1"/>
  <c r="GV170" i="1"/>
  <c r="GK126" i="1"/>
  <c r="EB126" i="1"/>
  <c r="DW126" i="1"/>
  <c r="DX126" i="1" s="1"/>
  <c r="DT126" i="1"/>
  <c r="DU126" i="1" s="1"/>
  <c r="DR126" i="1"/>
  <c r="DN126" i="1"/>
  <c r="DO126" i="1" s="1"/>
  <c r="DK126" i="1"/>
  <c r="DL126" i="1" s="1"/>
  <c r="DH126" i="1"/>
  <c r="DE126" i="1"/>
  <c r="DF126" i="1" s="1"/>
  <c r="DA126" i="1"/>
  <c r="CZ126" i="1"/>
  <c r="CV126" i="1"/>
  <c r="CQ126" i="1"/>
  <c r="CN126" i="1"/>
  <c r="CK126" i="1"/>
  <c r="CH126" i="1"/>
  <c r="CE126" i="1"/>
  <c r="BQ126" i="1"/>
  <c r="BM126" i="1"/>
  <c r="BD126" i="1"/>
  <c r="U126" i="1"/>
  <c r="T126" i="1"/>
  <c r="S126" i="1"/>
  <c r="GK125" i="1"/>
  <c r="GJ125" i="1" s="1"/>
  <c r="GB125" i="1" s="1"/>
  <c r="EB125" i="1"/>
  <c r="EK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FD125" i="1" s="1"/>
  <c r="DE125" i="1"/>
  <c r="DF125" i="1" s="1"/>
  <c r="DA125" i="1"/>
  <c r="CZ125" i="1"/>
  <c r="CV125" i="1"/>
  <c r="CQ125" i="1"/>
  <c r="CN125" i="1"/>
  <c r="CK125" i="1"/>
  <c r="CH125" i="1"/>
  <c r="CE125" i="1"/>
  <c r="BQ125" i="1"/>
  <c r="BM125" i="1"/>
  <c r="BD125" i="1"/>
  <c r="GI125" i="1"/>
  <c r="U125" i="1"/>
  <c r="T125" i="1"/>
  <c r="S125" i="1"/>
  <c r="GK120" i="1"/>
  <c r="GJ120" i="1" s="1"/>
  <c r="GB120" i="1" s="1"/>
  <c r="EB120" i="1"/>
  <c r="EC120" i="1" s="1"/>
  <c r="FK120" i="1" s="1"/>
  <c r="DW120" i="1"/>
  <c r="DX120" i="1" s="1"/>
  <c r="DT120" i="1"/>
  <c r="DU120" i="1" s="1"/>
  <c r="DR120" i="1"/>
  <c r="DN120" i="1"/>
  <c r="DO120" i="1" s="1"/>
  <c r="DK120" i="1"/>
  <c r="DL120" i="1" s="1"/>
  <c r="DH120" i="1"/>
  <c r="DE120" i="1"/>
  <c r="DF120" i="1" s="1"/>
  <c r="DA120" i="1"/>
  <c r="CZ120" i="1"/>
  <c r="CV120" i="1"/>
  <c r="CP120" i="1"/>
  <c r="CQ120" i="1" s="1"/>
  <c r="CM120" i="1"/>
  <c r="CN120" i="1" s="1"/>
  <c r="CJ120" i="1"/>
  <c r="CK120" i="1" s="1"/>
  <c r="CH120" i="1"/>
  <c r="CE120" i="1"/>
  <c r="BQ120" i="1"/>
  <c r="BM120" i="1"/>
  <c r="BD120" i="1"/>
  <c r="W120" i="1"/>
  <c r="U120" i="1"/>
  <c r="T120" i="1"/>
  <c r="S120" i="1"/>
  <c r="GK119" i="1"/>
  <c r="EB119" i="1"/>
  <c r="DW119" i="1"/>
  <c r="DX119" i="1" s="1"/>
  <c r="DT119" i="1"/>
  <c r="DU119" i="1" s="1"/>
  <c r="DR119" i="1"/>
  <c r="DN119" i="1"/>
  <c r="DO119" i="1" s="1"/>
  <c r="DK119" i="1"/>
  <c r="DL119" i="1" s="1"/>
  <c r="DH119" i="1"/>
  <c r="EF119" i="1" s="1"/>
  <c r="DE119" i="1"/>
  <c r="DF119" i="1" s="1"/>
  <c r="DA119" i="1"/>
  <c r="CZ119" i="1"/>
  <c r="CV119" i="1"/>
  <c r="CP119" i="1"/>
  <c r="CQ119" i="1" s="1"/>
  <c r="CM119" i="1"/>
  <c r="CN119" i="1" s="1"/>
  <c r="CJ119" i="1"/>
  <c r="CK119" i="1" s="1"/>
  <c r="CH119" i="1"/>
  <c r="CE119" i="1"/>
  <c r="BQ119" i="1"/>
  <c r="BM119" i="1"/>
  <c r="BD119" i="1"/>
  <c r="U119" i="1"/>
  <c r="T119" i="1"/>
  <c r="S119" i="1"/>
  <c r="GV119" i="1"/>
  <c r="S124" i="1"/>
  <c r="T124" i="1"/>
  <c r="U124" i="1"/>
  <c r="S127" i="1"/>
  <c r="T127" i="1"/>
  <c r="U127" i="1"/>
  <c r="S129" i="1"/>
  <c r="T129" i="1"/>
  <c r="U129" i="1"/>
  <c r="GK129" i="1"/>
  <c r="GJ129" i="1" s="1"/>
  <c r="GB129" i="1" s="1"/>
  <c r="EB129" i="1"/>
  <c r="EK129" i="1" s="1"/>
  <c r="DW129" i="1"/>
  <c r="DX129" i="1" s="1"/>
  <c r="DT129" i="1"/>
  <c r="DU129" i="1" s="1"/>
  <c r="DR129" i="1"/>
  <c r="DN129" i="1"/>
  <c r="DO129" i="1" s="1"/>
  <c r="DK129" i="1"/>
  <c r="DL129" i="1" s="1"/>
  <c r="DH129" i="1"/>
  <c r="DI129" i="1" s="1"/>
  <c r="DE129" i="1"/>
  <c r="DF129" i="1" s="1"/>
  <c r="DA129" i="1"/>
  <c r="CZ129" i="1"/>
  <c r="CV129" i="1"/>
  <c r="BD129" i="1"/>
  <c r="BC129" i="1"/>
  <c r="GI129" i="1"/>
  <c r="U109" i="1"/>
  <c r="T111" i="1"/>
  <c r="S111" i="1"/>
  <c r="T110" i="1"/>
  <c r="S110" i="1"/>
  <c r="T109" i="1"/>
  <c r="S109" i="1"/>
  <c r="T122" i="1"/>
  <c r="S122" i="1"/>
  <c r="O107" i="1"/>
  <c r="T107" i="1" s="1"/>
  <c r="S36" i="1"/>
  <c r="AM109" i="1"/>
  <c r="U36" i="1"/>
  <c r="U107" i="1"/>
  <c r="T36" i="1"/>
  <c r="BM132" i="1"/>
  <c r="BQ132" i="1"/>
  <c r="CE132" i="1"/>
  <c r="CH132" i="1"/>
  <c r="CK132" i="1"/>
  <c r="CN132" i="1"/>
  <c r="CQ132" i="1"/>
  <c r="CV132" i="1"/>
  <c r="CZ132" i="1"/>
  <c r="EE132" i="1"/>
  <c r="EF132" i="1"/>
  <c r="EI132" i="1"/>
  <c r="EK132" i="1"/>
  <c r="EL132" i="1"/>
  <c r="GK132" i="1"/>
  <c r="FD132" i="1"/>
  <c r="GI131" i="1"/>
  <c r="BM131" i="1"/>
  <c r="BQ131" i="1"/>
  <c r="CE131" i="1"/>
  <c r="CH131" i="1"/>
  <c r="CK131" i="1"/>
  <c r="CN131" i="1"/>
  <c r="CQ131" i="1"/>
  <c r="CV131" i="1"/>
  <c r="CZ131" i="1"/>
  <c r="EE131" i="1"/>
  <c r="EF131" i="1"/>
  <c r="EI131" i="1"/>
  <c r="EK131" i="1"/>
  <c r="EL131" i="1"/>
  <c r="GK131" i="1"/>
  <c r="FD131" i="1"/>
  <c r="AL136" i="1"/>
  <c r="BM136" i="1"/>
  <c r="CZ136" i="1"/>
  <c r="EE136" i="1"/>
  <c r="EF136" i="1"/>
  <c r="EI136" i="1"/>
  <c r="EK136" i="1"/>
  <c r="EL136" i="1"/>
  <c r="GK136" i="1"/>
  <c r="GJ136" i="1" s="1"/>
  <c r="GB136" i="1" s="1"/>
  <c r="FD136" i="1"/>
  <c r="BM133" i="1"/>
  <c r="BQ133" i="1"/>
  <c r="CZ133" i="1"/>
  <c r="EE133" i="1"/>
  <c r="EF133" i="1"/>
  <c r="EI133" i="1"/>
  <c r="EK133" i="1"/>
  <c r="EL133" i="1"/>
  <c r="GK133" i="1"/>
  <c r="FD133" i="1"/>
  <c r="FK133" i="1"/>
  <c r="BM134" i="1"/>
  <c r="CZ134" i="1"/>
  <c r="EE134" i="1"/>
  <c r="EF134" i="1"/>
  <c r="EI134" i="1"/>
  <c r="EK134" i="1"/>
  <c r="EL134" i="1"/>
  <c r="GK134" i="1"/>
  <c r="GJ134" i="1" s="1"/>
  <c r="GB134" i="1" s="1"/>
  <c r="FD134" i="1"/>
  <c r="FK134" i="1"/>
  <c r="GK127" i="1"/>
  <c r="GJ116" i="1"/>
  <c r="GB116" i="1" s="1"/>
  <c r="GJ114" i="1"/>
  <c r="GB114" i="1" s="1"/>
  <c r="GJ122" i="1"/>
  <c r="GB122" i="1" s="1"/>
  <c r="GK138" i="1"/>
  <c r="HF138" i="1"/>
  <c r="R127" i="1"/>
  <c r="GI115" i="1"/>
  <c r="GI114" i="1"/>
  <c r="GK124" i="1"/>
  <c r="GJ124" i="1" s="1"/>
  <c r="GB124" i="1" s="1"/>
  <c r="EK115" i="1"/>
  <c r="EB113" i="1"/>
  <c r="EB112" i="1"/>
  <c r="EB116" i="1"/>
  <c r="EK116" i="1" s="1"/>
  <c r="EB114" i="1"/>
  <c r="EB122" i="1"/>
  <c r="EC122" i="1" s="1"/>
  <c r="DH115" i="1"/>
  <c r="DI115" i="1" s="1"/>
  <c r="DH113" i="1"/>
  <c r="EF113" i="1" s="1"/>
  <c r="DH112" i="1"/>
  <c r="FD112" i="1" s="1"/>
  <c r="DH116" i="1"/>
  <c r="EF116" i="1" s="1"/>
  <c r="DH114" i="1"/>
  <c r="DI114" i="1" s="1"/>
  <c r="DH122" i="1"/>
  <c r="FD122" i="1" s="1"/>
  <c r="EB124" i="1"/>
  <c r="EC124" i="1" s="1"/>
  <c r="DC124" i="1" s="1"/>
  <c r="EB127" i="1"/>
  <c r="EK127" i="1" s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CZ127" i="1"/>
  <c r="DA127" i="1"/>
  <c r="DE127" i="1"/>
  <c r="DF127" i="1" s="1"/>
  <c r="DH127" i="1"/>
  <c r="DI127" i="1" s="1"/>
  <c r="DK127" i="1"/>
  <c r="DL127" i="1" s="1"/>
  <c r="DN127" i="1"/>
  <c r="DO127" i="1" s="1"/>
  <c r="DR127" i="1"/>
  <c r="DT127" i="1"/>
  <c r="DU127" i="1" s="1"/>
  <c r="DW127" i="1"/>
  <c r="DX127" i="1" s="1"/>
  <c r="CZ115" i="1"/>
  <c r="DA115" i="1"/>
  <c r="DE115" i="1"/>
  <c r="DF115" i="1" s="1"/>
  <c r="DK115" i="1"/>
  <c r="DL115" i="1" s="1"/>
  <c r="DN115" i="1"/>
  <c r="DO115" i="1" s="1"/>
  <c r="DR115" i="1"/>
  <c r="DT115" i="1"/>
  <c r="DU115" i="1" s="1"/>
  <c r="DW115" i="1"/>
  <c r="DX115" i="1" s="1"/>
  <c r="CZ113" i="1"/>
  <c r="DA113" i="1"/>
  <c r="DE113" i="1"/>
  <c r="DF113" i="1" s="1"/>
  <c r="DK113" i="1"/>
  <c r="DL113" i="1" s="1"/>
  <c r="DN113" i="1"/>
  <c r="DO113" i="1" s="1"/>
  <c r="DR113" i="1"/>
  <c r="DT113" i="1"/>
  <c r="DU113" i="1" s="1"/>
  <c r="DW113" i="1"/>
  <c r="DX113" i="1" s="1"/>
  <c r="CZ112" i="1"/>
  <c r="DA112" i="1"/>
  <c r="DE112" i="1"/>
  <c r="DF112" i="1" s="1"/>
  <c r="DK112" i="1"/>
  <c r="DL112" i="1" s="1"/>
  <c r="DN112" i="1"/>
  <c r="DO112" i="1" s="1"/>
  <c r="DR112" i="1"/>
  <c r="DT112" i="1"/>
  <c r="DU112" i="1" s="1"/>
  <c r="DW112" i="1"/>
  <c r="DX112" i="1" s="1"/>
  <c r="CZ116" i="1"/>
  <c r="DA116" i="1"/>
  <c r="DE116" i="1"/>
  <c r="DF116" i="1" s="1"/>
  <c r="DK116" i="1"/>
  <c r="DL116" i="1" s="1"/>
  <c r="DN116" i="1"/>
  <c r="DO116" i="1" s="1"/>
  <c r="DR116" i="1"/>
  <c r="DT116" i="1"/>
  <c r="DU116" i="1" s="1"/>
  <c r="DW116" i="1"/>
  <c r="DX116" i="1" s="1"/>
  <c r="CZ114" i="1"/>
  <c r="DA114" i="1"/>
  <c r="DE114" i="1"/>
  <c r="DF114" i="1" s="1"/>
  <c r="DK114" i="1"/>
  <c r="DL114" i="1" s="1"/>
  <c r="DN114" i="1"/>
  <c r="DO114" i="1" s="1"/>
  <c r="DR114" i="1"/>
  <c r="DT114" i="1"/>
  <c r="DU114" i="1" s="1"/>
  <c r="DW114" i="1"/>
  <c r="DX114" i="1" s="1"/>
  <c r="CZ122" i="1"/>
  <c r="DA122" i="1"/>
  <c r="DE122" i="1"/>
  <c r="DF122" i="1" s="1"/>
  <c r="DK122" i="1"/>
  <c r="DL122" i="1" s="1"/>
  <c r="DN122" i="1"/>
  <c r="DO122" i="1" s="1"/>
  <c r="DR122" i="1"/>
  <c r="DT122" i="1"/>
  <c r="DU122" i="1" s="1"/>
  <c r="DW122" i="1"/>
  <c r="DX122" i="1" s="1"/>
  <c r="GK101" i="1"/>
  <c r="GK110" i="1"/>
  <c r="EB110" i="1"/>
  <c r="EK110" i="1" s="1"/>
  <c r="DW110" i="1"/>
  <c r="DX110" i="1" s="1"/>
  <c r="DT110" i="1"/>
  <c r="DU110" i="1" s="1"/>
  <c r="DR110" i="1"/>
  <c r="DN110" i="1"/>
  <c r="DO110" i="1" s="1"/>
  <c r="DK110" i="1"/>
  <c r="DL110" i="1" s="1"/>
  <c r="DH110" i="1"/>
  <c r="DI110" i="1" s="1"/>
  <c r="DE110" i="1"/>
  <c r="DF110" i="1" s="1"/>
  <c r="DA110" i="1"/>
  <c r="CZ110" i="1"/>
  <c r="CV110" i="1"/>
  <c r="CQ110" i="1"/>
  <c r="CN110" i="1"/>
  <c r="CK110" i="1"/>
  <c r="CH110" i="1"/>
  <c r="CE110" i="1"/>
  <c r="BQ110" i="1"/>
  <c r="BM110" i="1"/>
  <c r="BD110" i="1"/>
  <c r="BC110" i="1"/>
  <c r="BC57" i="1"/>
  <c r="BC40" i="1"/>
  <c r="BC29" i="1"/>
  <c r="BC127" i="1"/>
  <c r="BC111" i="1"/>
  <c r="BC107" i="1"/>
  <c r="BC36" i="1"/>
  <c r="BC37" i="1"/>
  <c r="BC43" i="1"/>
  <c r="BD40" i="1"/>
  <c r="BD29" i="1"/>
  <c r="BD127" i="1"/>
  <c r="BD124" i="1"/>
  <c r="BD107" i="1"/>
  <c r="BD36" i="1"/>
  <c r="BD118" i="1"/>
  <c r="BD37" i="1"/>
  <c r="BD43" i="1"/>
  <c r="BD39" i="1"/>
  <c r="BC39" i="1"/>
  <c r="GK130" i="1"/>
  <c r="GJ130" i="1" s="1"/>
  <c r="GB130" i="1" s="1"/>
  <c r="GK142" i="1"/>
  <c r="GJ142" i="1" s="1"/>
  <c r="GB142" i="1" s="1"/>
  <c r="GK141" i="1"/>
  <c r="GK139" i="1"/>
  <c r="GK137" i="1"/>
  <c r="GJ137" i="1" s="1"/>
  <c r="GB137" i="1" s="1"/>
  <c r="GK140" i="1"/>
  <c r="GK25" i="1"/>
  <c r="GK111" i="1"/>
  <c r="GK107" i="1"/>
  <c r="GK36" i="1"/>
  <c r="GJ36" i="1" s="1"/>
  <c r="GB36" i="1" s="1"/>
  <c r="GK118" i="1"/>
  <c r="GJ118" i="1" s="1"/>
  <c r="GB118" i="1" s="1"/>
  <c r="GK37" i="1"/>
  <c r="GK23" i="1"/>
  <c r="GK22" i="1"/>
  <c r="GK117" i="1"/>
  <c r="GK39" i="1"/>
  <c r="GJ39" i="1" s="1"/>
  <c r="GB39" i="1" s="1"/>
  <c r="HN22" i="1"/>
  <c r="FK137" i="1"/>
  <c r="EL130" i="1"/>
  <c r="EK130" i="1"/>
  <c r="EI130" i="1"/>
  <c r="EL137" i="1"/>
  <c r="EK137" i="1"/>
  <c r="EI137" i="1"/>
  <c r="DE39" i="1"/>
  <c r="DF39" i="1" s="1"/>
  <c r="CZ43" i="1"/>
  <c r="DE43" i="1"/>
  <c r="DF43" i="1" s="1"/>
  <c r="DT43" i="1"/>
  <c r="DU43" i="1" s="1"/>
  <c r="EB43" i="1"/>
  <c r="EK43" i="1" s="1"/>
  <c r="CV130" i="1"/>
  <c r="CV142" i="1"/>
  <c r="CV141" i="1"/>
  <c r="CV139" i="1"/>
  <c r="CV138" i="1"/>
  <c r="CV140" i="1"/>
  <c r="CV127" i="1"/>
  <c r="CV124" i="1"/>
  <c r="CV111" i="1"/>
  <c r="CV118" i="1"/>
  <c r="CV23" i="1"/>
  <c r="CV22" i="1"/>
  <c r="CP43" i="1"/>
  <c r="CQ43" i="1" s="1"/>
  <c r="CM43" i="1"/>
  <c r="CN43" i="1" s="1"/>
  <c r="CJ43" i="1"/>
  <c r="CK43" i="1" s="1"/>
  <c r="CP39" i="1"/>
  <c r="CQ39" i="1" s="1"/>
  <c r="CM39" i="1"/>
  <c r="CN39" i="1" s="1"/>
  <c r="CJ39" i="1"/>
  <c r="CK39" i="1" s="1"/>
  <c r="CH43" i="1"/>
  <c r="CE43" i="1"/>
  <c r="CH39" i="1"/>
  <c r="CE39" i="1"/>
  <c r="BQ43" i="1"/>
  <c r="BM43" i="1"/>
  <c r="S43" i="1"/>
  <c r="T43" i="1"/>
  <c r="U43" i="1"/>
  <c r="GV43" i="1"/>
  <c r="U39" i="1"/>
  <c r="S39" i="1"/>
  <c r="T39" i="1"/>
  <c r="GI39" i="1"/>
  <c r="HT15" i="1"/>
  <c r="HS15" i="1" s="1"/>
  <c r="II15" i="1" s="1"/>
  <c r="HR15" i="1"/>
  <c r="HR41" i="1"/>
  <c r="HD41" i="1"/>
  <c r="EL84" i="1"/>
  <c r="EL91" i="1"/>
  <c r="EL57" i="1"/>
  <c r="EB23" i="1"/>
  <c r="EK23" i="1" s="1"/>
  <c r="DW23" i="1"/>
  <c r="DX23" i="1" s="1"/>
  <c r="DT23" i="1"/>
  <c r="DU23" i="1" s="1"/>
  <c r="DR23" i="1"/>
  <c r="DN23" i="1"/>
  <c r="DO23" i="1" s="1"/>
  <c r="DK23" i="1"/>
  <c r="DL23" i="1" s="1"/>
  <c r="DH23" i="1"/>
  <c r="EF23" i="1" s="1"/>
  <c r="EB22" i="1"/>
  <c r="EC22" i="1" s="1"/>
  <c r="FK22" i="1" s="1"/>
  <c r="DW22" i="1"/>
  <c r="DX22" i="1" s="1"/>
  <c r="DT22" i="1"/>
  <c r="DU22" i="1" s="1"/>
  <c r="DR22" i="1"/>
  <c r="DN22" i="1"/>
  <c r="DO22" i="1" s="1"/>
  <c r="DK22" i="1"/>
  <c r="DL22" i="1" s="1"/>
  <c r="DH22" i="1"/>
  <c r="FD22" i="1" s="1"/>
  <c r="EB111" i="1"/>
  <c r="EC111" i="1" s="1"/>
  <c r="DW111" i="1"/>
  <c r="DX111" i="1" s="1"/>
  <c r="DT111" i="1"/>
  <c r="DU111" i="1" s="1"/>
  <c r="DR111" i="1"/>
  <c r="DN111" i="1"/>
  <c r="DO111" i="1" s="1"/>
  <c r="DK111" i="1"/>
  <c r="DL111" i="1" s="1"/>
  <c r="DH111" i="1"/>
  <c r="FD111" i="1" s="1"/>
  <c r="EB118" i="1"/>
  <c r="EC118" i="1" s="1"/>
  <c r="EI118" i="1" s="1"/>
  <c r="DW118" i="1"/>
  <c r="DX118" i="1" s="1"/>
  <c r="DT118" i="1"/>
  <c r="DU118" i="1" s="1"/>
  <c r="DR118" i="1"/>
  <c r="DN118" i="1"/>
  <c r="DO118" i="1" s="1"/>
  <c r="DE107" i="1"/>
  <c r="DF107" i="1" s="1"/>
  <c r="DE36" i="1"/>
  <c r="DF36" i="1" s="1"/>
  <c r="DE25" i="1"/>
  <c r="DF25" i="1" s="1"/>
  <c r="DE23" i="1"/>
  <c r="DF23" i="1" s="1"/>
  <c r="DE22" i="1"/>
  <c r="DF22" i="1" s="1"/>
  <c r="DE111" i="1"/>
  <c r="DF111" i="1" s="1"/>
  <c r="DE118" i="1"/>
  <c r="DF118" i="1" s="1"/>
  <c r="DE37" i="1"/>
  <c r="DF37" i="1" s="1"/>
  <c r="HB36" i="1"/>
  <c r="FD42" i="1"/>
  <c r="FD27" i="1"/>
  <c r="FD7" i="1"/>
  <c r="FD46" i="1"/>
  <c r="FD15" i="1"/>
  <c r="FD47" i="1"/>
  <c r="FD38" i="1"/>
  <c r="FD3" i="1"/>
  <c r="FD52" i="1"/>
  <c r="FD53" i="1"/>
  <c r="FD59" i="1"/>
  <c r="FD51" i="1"/>
  <c r="FD55" i="1"/>
  <c r="FD49" i="1"/>
  <c r="FD50" i="1"/>
  <c r="FD13" i="1"/>
  <c r="FD58" i="1"/>
  <c r="FD5" i="1"/>
  <c r="FD56" i="1"/>
  <c r="FD6" i="1"/>
  <c r="FD62" i="1"/>
  <c r="FD69" i="1"/>
  <c r="FD67" i="1"/>
  <c r="FD64" i="1"/>
  <c r="FD26" i="1"/>
  <c r="FD18" i="1"/>
  <c r="FD61" i="1"/>
  <c r="FD68" i="1"/>
  <c r="FD63" i="1"/>
  <c r="FD60" i="1"/>
  <c r="FD65" i="1"/>
  <c r="FD66" i="1"/>
  <c r="FD74" i="1"/>
  <c r="FD10" i="1"/>
  <c r="FD76" i="1"/>
  <c r="FD31" i="1"/>
  <c r="FD75" i="1"/>
  <c r="FD45" i="1"/>
  <c r="FD81" i="1"/>
  <c r="FD77" i="1"/>
  <c r="FD79" i="1"/>
  <c r="FD80" i="1"/>
  <c r="FD78" i="1"/>
  <c r="FD16" i="1"/>
  <c r="FD48" i="1"/>
  <c r="FD85" i="1"/>
  <c r="FD82" i="1"/>
  <c r="FD2" i="1"/>
  <c r="FD4" i="1"/>
  <c r="FD86" i="1"/>
  <c r="FD70" i="1"/>
  <c r="FD87" i="1"/>
  <c r="FD83" i="1"/>
  <c r="FD88" i="1"/>
  <c r="FD137" i="1"/>
  <c r="FD130" i="1"/>
  <c r="FD41" i="1"/>
  <c r="CK12" i="1"/>
  <c r="EP70" i="1"/>
  <c r="BM41" i="1"/>
  <c r="BM42" i="1"/>
  <c r="BM72" i="1"/>
  <c r="BM101" i="1"/>
  <c r="BM106" i="1"/>
  <c r="BM90" i="1"/>
  <c r="BM96" i="1"/>
  <c r="BM104" i="1"/>
  <c r="BM22" i="1"/>
  <c r="BM111" i="1"/>
  <c r="BM141" i="1"/>
  <c r="BM100" i="1"/>
  <c r="BM95" i="1"/>
  <c r="BM98" i="1"/>
  <c r="BM118" i="1"/>
  <c r="BM8" i="1"/>
  <c r="BM23" i="1"/>
  <c r="BM124" i="1"/>
  <c r="BM138" i="1"/>
  <c r="BM144" i="1"/>
  <c r="BM140" i="1"/>
  <c r="BM137" i="1"/>
  <c r="BM143" i="1"/>
  <c r="BM40" i="1"/>
  <c r="BM139" i="1"/>
  <c r="BM142" i="1"/>
  <c r="BM130" i="1"/>
  <c r="BM145" i="1"/>
  <c r="BM146" i="1"/>
  <c r="BM147" i="1"/>
  <c r="BM148" i="1"/>
  <c r="BM149" i="1"/>
  <c r="BM150" i="1"/>
  <c r="BM151" i="1"/>
  <c r="BM152" i="1"/>
  <c r="BM154" i="1"/>
  <c r="BM155" i="1"/>
  <c r="BM153" i="1"/>
  <c r="BM160" i="1"/>
  <c r="BM117" i="1"/>
  <c r="BM29" i="1"/>
  <c r="BM12" i="1"/>
  <c r="BM14" i="1"/>
  <c r="BM19" i="1"/>
  <c r="BM20" i="1"/>
  <c r="BM32" i="1"/>
  <c r="BM33" i="1"/>
  <c r="BM35" i="1"/>
  <c r="BM27" i="1"/>
  <c r="BM7" i="1"/>
  <c r="BM46" i="1"/>
  <c r="BM15" i="1"/>
  <c r="BM47" i="1"/>
  <c r="BM38" i="1"/>
  <c r="BM3" i="1"/>
  <c r="BM52" i="1"/>
  <c r="BM53" i="1"/>
  <c r="BM59" i="1"/>
  <c r="BM51" i="1"/>
  <c r="BM55" i="1"/>
  <c r="BM49" i="1"/>
  <c r="BM50" i="1"/>
  <c r="BM13" i="1"/>
  <c r="BM58" i="1"/>
  <c r="BM5" i="1"/>
  <c r="BM56" i="1"/>
  <c r="BM6" i="1"/>
  <c r="BM62" i="1"/>
  <c r="BM69" i="1"/>
  <c r="BM67" i="1"/>
  <c r="BM64" i="1"/>
  <c r="BM26" i="1"/>
  <c r="BM18" i="1"/>
  <c r="BM61" i="1"/>
  <c r="BM68" i="1"/>
  <c r="BM63" i="1"/>
  <c r="BM60" i="1"/>
  <c r="BM65" i="1"/>
  <c r="BM66" i="1"/>
  <c r="BM74" i="1"/>
  <c r="BM10" i="1"/>
  <c r="BM76" i="1"/>
  <c r="BM31" i="1"/>
  <c r="BM75" i="1"/>
  <c r="BM45" i="1"/>
  <c r="BM81" i="1"/>
  <c r="BM77" i="1"/>
  <c r="BM82" i="1"/>
  <c r="BM79" i="1"/>
  <c r="BM80" i="1"/>
  <c r="BM78" i="1"/>
  <c r="BM16" i="1"/>
  <c r="BM83" i="1"/>
  <c r="BM88" i="1"/>
  <c r="BM48" i="1"/>
  <c r="BM85" i="1"/>
  <c r="BM87" i="1"/>
  <c r="BM73" i="1"/>
  <c r="BM11" i="1"/>
  <c r="BM89" i="1"/>
  <c r="BM86" i="1"/>
  <c r="BM70" i="1"/>
  <c r="BM71" i="1"/>
  <c r="BM34" i="1"/>
  <c r="BM21" i="1"/>
  <c r="BM57" i="1"/>
  <c r="BM44" i="1"/>
  <c r="BM84" i="1"/>
  <c r="BM93" i="1"/>
  <c r="BM99" i="1"/>
  <c r="BM2" i="1"/>
  <c r="BM94" i="1"/>
  <c r="BM91" i="1"/>
  <c r="BM97" i="1"/>
  <c r="BM4" i="1"/>
  <c r="BM92" i="1"/>
  <c r="BM28" i="1"/>
  <c r="BM108" i="1"/>
  <c r="BM105" i="1"/>
  <c r="BM30" i="1"/>
  <c r="BM103" i="1"/>
  <c r="BM54" i="1"/>
  <c r="BM102" i="1"/>
  <c r="BM17" i="1"/>
  <c r="HC94" i="1"/>
  <c r="HC97" i="1"/>
  <c r="HC54" i="1"/>
  <c r="HC32" i="1"/>
  <c r="HC33" i="1"/>
  <c r="HC35" i="1"/>
  <c r="HC102" i="1"/>
  <c r="HC44" i="1"/>
  <c r="HC72" i="1"/>
  <c r="HC84" i="1"/>
  <c r="HC91" i="1"/>
  <c r="HC103" i="1"/>
  <c r="HC93" i="1"/>
  <c r="HG21" i="1"/>
  <c r="ED130" i="1"/>
  <c r="ED57" i="1"/>
  <c r="BQ17" i="1"/>
  <c r="BQ21" i="1"/>
  <c r="BQ73" i="1"/>
  <c r="BQ28" i="1"/>
  <c r="BQ30" i="1"/>
  <c r="BQ34" i="1"/>
  <c r="BQ11" i="1"/>
  <c r="BQ106" i="1"/>
  <c r="BQ104" i="1"/>
  <c r="BQ96" i="1"/>
  <c r="BQ98" i="1"/>
  <c r="BQ90" i="1"/>
  <c r="BQ95" i="1"/>
  <c r="BQ100" i="1"/>
  <c r="BQ101" i="1"/>
  <c r="BQ57" i="1"/>
  <c r="BQ12" i="1"/>
  <c r="BQ14" i="1"/>
  <c r="BQ19" i="1"/>
  <c r="BQ117" i="1"/>
  <c r="BQ20" i="1"/>
  <c r="BQ8" i="1"/>
  <c r="BQ32" i="1"/>
  <c r="BQ33" i="1"/>
  <c r="BQ35" i="1"/>
  <c r="BQ118" i="1"/>
  <c r="BQ111" i="1"/>
  <c r="BQ22" i="1"/>
  <c r="BQ23" i="1"/>
  <c r="BQ140" i="1"/>
  <c r="BQ141" i="1"/>
  <c r="BQ40" i="1"/>
  <c r="BQ139" i="1"/>
  <c r="BQ142" i="1"/>
  <c r="BQ146" i="1"/>
  <c r="BQ145" i="1"/>
  <c r="BQ147" i="1"/>
  <c r="BQ148" i="1"/>
  <c r="BQ149" i="1"/>
  <c r="BQ150" i="1"/>
  <c r="BQ151" i="1"/>
  <c r="BQ152" i="1"/>
  <c r="BQ154" i="1"/>
  <c r="BQ155" i="1"/>
  <c r="BQ160" i="1"/>
  <c r="BQ138" i="1"/>
  <c r="BQ124" i="1"/>
  <c r="BQ130" i="1"/>
  <c r="BQ153" i="1"/>
  <c r="BQ92" i="1"/>
  <c r="BQ72" i="1"/>
  <c r="BQ103" i="1"/>
  <c r="BQ54" i="1"/>
  <c r="BQ102" i="1"/>
  <c r="BQ89" i="1"/>
  <c r="BQ105" i="1"/>
  <c r="BQ44" i="1"/>
  <c r="BQ76" i="1"/>
  <c r="BQ2" i="1"/>
  <c r="BQ4" i="1"/>
  <c r="BQ16" i="1"/>
  <c r="BQ70" i="1"/>
  <c r="BQ99" i="1"/>
  <c r="BQ71" i="1"/>
  <c r="BQ87" i="1"/>
  <c r="BQ83" i="1"/>
  <c r="BQ88" i="1"/>
  <c r="BQ81" i="1"/>
  <c r="BQ97" i="1"/>
  <c r="BQ86" i="1"/>
  <c r="BQ94" i="1"/>
  <c r="BQ82" i="1"/>
  <c r="BQ91" i="1"/>
  <c r="BQ93" i="1"/>
  <c r="BQ79" i="1"/>
  <c r="BQ80" i="1"/>
  <c r="BQ45" i="1"/>
  <c r="BQ66" i="1"/>
  <c r="BQ31" i="1"/>
  <c r="BQ74" i="1"/>
  <c r="BQ48" i="1"/>
  <c r="BQ85" i="1"/>
  <c r="BQ77" i="1"/>
  <c r="BQ75" i="1"/>
  <c r="BQ78" i="1"/>
  <c r="BQ84" i="1"/>
  <c r="BQ67" i="1"/>
  <c r="BQ26" i="1"/>
  <c r="BQ62" i="1"/>
  <c r="BQ63" i="1"/>
  <c r="BQ64" i="1"/>
  <c r="BQ60" i="1"/>
  <c r="BQ65" i="1"/>
  <c r="BQ61" i="1"/>
  <c r="BQ10" i="1"/>
  <c r="BQ68" i="1"/>
  <c r="BQ69" i="1"/>
  <c r="BQ18" i="1"/>
  <c r="DR95" i="1"/>
  <c r="DT95" i="1"/>
  <c r="DU95" i="1" s="1"/>
  <c r="DA23" i="1"/>
  <c r="DA22" i="1"/>
  <c r="DA111" i="1"/>
  <c r="GU4" i="1"/>
  <c r="GD4" i="1" s="1"/>
  <c r="GU2" i="1"/>
  <c r="GD2" i="1" s="1"/>
  <c r="EB73" i="1"/>
  <c r="EC73" i="1" s="1"/>
  <c r="EL73" i="1" s="1"/>
  <c r="EB21" i="1"/>
  <c r="EK21" i="1" s="1"/>
  <c r="EB11" i="1"/>
  <c r="EB28" i="1"/>
  <c r="EC28" i="1" s="1"/>
  <c r="EE28" i="1" s="1"/>
  <c r="EB30" i="1"/>
  <c r="EB34" i="1"/>
  <c r="EB96" i="1"/>
  <c r="EB98" i="1"/>
  <c r="EC98" i="1" s="1"/>
  <c r="EL98" i="1" s="1"/>
  <c r="ES98" i="1" s="1"/>
  <c r="EB106" i="1"/>
  <c r="ES106" i="1" s="1"/>
  <c r="EB101" i="1"/>
  <c r="EC101" i="1" s="1"/>
  <c r="DC101" i="1" s="1"/>
  <c r="EB90" i="1"/>
  <c r="EB95" i="1"/>
  <c r="EC95" i="1" s="1"/>
  <c r="EL95" i="1" s="1"/>
  <c r="ES95" i="1" s="1"/>
  <c r="EB104" i="1"/>
  <c r="EB100" i="1"/>
  <c r="EC100" i="1" s="1"/>
  <c r="FK100" i="1" s="1"/>
  <c r="CQ92" i="1"/>
  <c r="CQ108" i="1"/>
  <c r="CQ130" i="1"/>
  <c r="CQ23" i="1"/>
  <c r="CQ22" i="1"/>
  <c r="CQ111" i="1"/>
  <c r="CQ142" i="1"/>
  <c r="CQ141" i="1"/>
  <c r="CQ139" i="1"/>
  <c r="CQ124" i="1"/>
  <c r="CQ138" i="1"/>
  <c r="CQ140" i="1"/>
  <c r="CQ100" i="1"/>
  <c r="CQ104" i="1"/>
  <c r="CQ95" i="1"/>
  <c r="CQ90" i="1"/>
  <c r="CQ101" i="1"/>
  <c r="CQ106" i="1"/>
  <c r="CQ98" i="1"/>
  <c r="CQ96" i="1"/>
  <c r="CQ66" i="1"/>
  <c r="CQ31" i="1"/>
  <c r="CQ45" i="1"/>
  <c r="CQ74" i="1"/>
  <c r="CQ48" i="1"/>
  <c r="CQ85" i="1"/>
  <c r="CQ77" i="1"/>
  <c r="CQ75" i="1"/>
  <c r="CQ78" i="1"/>
  <c r="CQ76" i="1"/>
  <c r="CQ79" i="1"/>
  <c r="CQ80" i="1"/>
  <c r="CQ16" i="1"/>
  <c r="CQ81" i="1"/>
  <c r="CQ82" i="1"/>
  <c r="CQ2" i="1"/>
  <c r="CQ86" i="1"/>
  <c r="CQ70" i="1"/>
  <c r="CQ87" i="1"/>
  <c r="CQ83" i="1"/>
  <c r="CQ88" i="1"/>
  <c r="CQ91" i="1"/>
  <c r="CQ97" i="1"/>
  <c r="CQ99" i="1"/>
  <c r="CQ71" i="1"/>
  <c r="CQ89" i="1"/>
  <c r="CQ17" i="1"/>
  <c r="CQ105" i="1"/>
  <c r="CQ73" i="1"/>
  <c r="CQ21" i="1"/>
  <c r="CQ11" i="1"/>
  <c r="CQ28" i="1"/>
  <c r="CQ30" i="1"/>
  <c r="CQ34" i="1"/>
  <c r="CN92" i="1"/>
  <c r="CN108" i="1"/>
  <c r="CN130" i="1"/>
  <c r="CN23" i="1"/>
  <c r="CN22" i="1"/>
  <c r="CN37" i="1"/>
  <c r="CN25" i="1"/>
  <c r="CN111" i="1"/>
  <c r="CN142" i="1"/>
  <c r="CN141" i="1"/>
  <c r="CN139" i="1"/>
  <c r="CN124" i="1"/>
  <c r="CN138" i="1"/>
  <c r="CN140" i="1"/>
  <c r="CN100" i="1"/>
  <c r="CN104" i="1"/>
  <c r="CN95" i="1"/>
  <c r="CN90" i="1"/>
  <c r="CN101" i="1"/>
  <c r="CN106" i="1"/>
  <c r="CN98" i="1"/>
  <c r="CN96" i="1"/>
  <c r="CN31" i="1"/>
  <c r="CN45" i="1"/>
  <c r="CN74" i="1"/>
  <c r="CN48" i="1"/>
  <c r="CN85" i="1"/>
  <c r="CN77" i="1"/>
  <c r="CN75" i="1"/>
  <c r="CN78" i="1"/>
  <c r="CN76" i="1"/>
  <c r="CN79" i="1"/>
  <c r="CN80" i="1"/>
  <c r="CN16" i="1"/>
  <c r="CN81" i="1"/>
  <c r="CN82" i="1"/>
  <c r="CN2" i="1"/>
  <c r="CN86" i="1"/>
  <c r="CN70" i="1"/>
  <c r="CN87" i="1"/>
  <c r="CN83" i="1"/>
  <c r="CN88" i="1"/>
  <c r="CN91" i="1"/>
  <c r="CN97" i="1"/>
  <c r="CN99" i="1"/>
  <c r="CN71" i="1"/>
  <c r="CN89" i="1"/>
  <c r="CN17" i="1"/>
  <c r="CN105" i="1"/>
  <c r="CN73" i="1"/>
  <c r="CN21" i="1"/>
  <c r="CN11" i="1"/>
  <c r="CN28" i="1"/>
  <c r="CN30" i="1"/>
  <c r="CN34" i="1"/>
  <c r="CN57" i="1"/>
  <c r="CK92" i="1"/>
  <c r="CK108" i="1"/>
  <c r="CK130" i="1"/>
  <c r="CK23" i="1"/>
  <c r="CK22" i="1"/>
  <c r="CK37" i="1"/>
  <c r="CK25" i="1"/>
  <c r="CK111" i="1"/>
  <c r="CK142" i="1"/>
  <c r="CK141" i="1"/>
  <c r="CK139" i="1"/>
  <c r="CK124" i="1"/>
  <c r="CK138" i="1"/>
  <c r="CK140" i="1"/>
  <c r="CK100" i="1"/>
  <c r="CK104" i="1"/>
  <c r="CK95" i="1"/>
  <c r="CK90" i="1"/>
  <c r="CK101" i="1"/>
  <c r="CK106" i="1"/>
  <c r="CK98" i="1"/>
  <c r="CK96" i="1"/>
  <c r="CK64" i="1"/>
  <c r="CK60" i="1"/>
  <c r="CK65" i="1"/>
  <c r="CK61" i="1"/>
  <c r="CK10" i="1"/>
  <c r="CK68" i="1"/>
  <c r="CK69" i="1"/>
  <c r="CK66" i="1"/>
  <c r="CK31" i="1"/>
  <c r="CK45" i="1"/>
  <c r="CK74" i="1"/>
  <c r="CK48" i="1"/>
  <c r="CK85" i="1"/>
  <c r="CK77" i="1"/>
  <c r="CK75" i="1"/>
  <c r="CK78" i="1"/>
  <c r="CK76" i="1"/>
  <c r="CK79" i="1"/>
  <c r="CK80" i="1"/>
  <c r="CK16" i="1"/>
  <c r="CK81" i="1"/>
  <c r="CK82" i="1"/>
  <c r="CK2" i="1"/>
  <c r="CK4" i="1"/>
  <c r="CK86" i="1"/>
  <c r="CK70" i="1"/>
  <c r="CK87" i="1"/>
  <c r="CK83" i="1"/>
  <c r="CK88" i="1"/>
  <c r="CK44" i="1"/>
  <c r="CK84" i="1"/>
  <c r="CK91" i="1"/>
  <c r="CK93" i="1"/>
  <c r="CK94" i="1"/>
  <c r="CK97" i="1"/>
  <c r="CK99" i="1"/>
  <c r="CK71" i="1"/>
  <c r="CK89" i="1"/>
  <c r="CK17" i="1"/>
  <c r="CK105" i="1"/>
  <c r="CK73" i="1"/>
  <c r="CK21" i="1"/>
  <c r="CK11" i="1"/>
  <c r="CK28" i="1"/>
  <c r="CK30" i="1"/>
  <c r="CK34" i="1"/>
  <c r="CK57" i="1"/>
  <c r="CH92" i="1"/>
  <c r="CH108" i="1"/>
  <c r="CH130" i="1"/>
  <c r="CH23" i="1"/>
  <c r="CH22" i="1"/>
  <c r="CH37" i="1"/>
  <c r="CH25" i="1"/>
  <c r="CH118" i="1"/>
  <c r="CH111" i="1"/>
  <c r="CH142" i="1"/>
  <c r="CH141" i="1"/>
  <c r="CH139" i="1"/>
  <c r="CH124" i="1"/>
  <c r="CH138" i="1"/>
  <c r="CH140" i="1"/>
  <c r="CH35" i="1"/>
  <c r="CH33" i="1"/>
  <c r="CH32" i="1"/>
  <c r="CH8" i="1"/>
  <c r="CH20" i="1"/>
  <c r="CH117" i="1"/>
  <c r="CH19" i="1"/>
  <c r="CH14" i="1"/>
  <c r="CH12" i="1"/>
  <c r="CH100" i="1"/>
  <c r="CH104" i="1"/>
  <c r="CH95" i="1"/>
  <c r="CH90" i="1"/>
  <c r="CH101" i="1"/>
  <c r="CH106" i="1"/>
  <c r="CH98" i="1"/>
  <c r="CH96" i="1"/>
  <c r="CH89" i="1"/>
  <c r="CH17" i="1"/>
  <c r="CH105" i="1"/>
  <c r="CH73" i="1"/>
  <c r="CH21" i="1"/>
  <c r="CH11" i="1"/>
  <c r="CH28" i="1"/>
  <c r="CH30" i="1"/>
  <c r="CH34" i="1"/>
  <c r="CH86" i="1"/>
  <c r="CH70" i="1"/>
  <c r="CH87" i="1"/>
  <c r="CH83" i="1"/>
  <c r="CH88" i="1"/>
  <c r="CH44" i="1"/>
  <c r="CH84" i="1"/>
  <c r="CH91" i="1"/>
  <c r="CH93" i="1"/>
  <c r="CH94" i="1"/>
  <c r="CH97" i="1"/>
  <c r="CH99" i="1"/>
  <c r="CH71" i="1"/>
  <c r="CH4" i="1"/>
  <c r="CH31" i="1"/>
  <c r="CH45" i="1"/>
  <c r="CH74" i="1"/>
  <c r="CH48" i="1"/>
  <c r="CH85" i="1"/>
  <c r="CH77" i="1"/>
  <c r="CH75" i="1"/>
  <c r="CH78" i="1"/>
  <c r="CH76" i="1"/>
  <c r="CH79" i="1"/>
  <c r="CH80" i="1"/>
  <c r="CH16" i="1"/>
  <c r="CH81" i="1"/>
  <c r="CH82" i="1"/>
  <c r="CH2" i="1"/>
  <c r="CE92" i="1"/>
  <c r="CE108" i="1"/>
  <c r="CE130" i="1"/>
  <c r="CE23" i="1"/>
  <c r="CE22" i="1"/>
  <c r="CE37" i="1"/>
  <c r="CE25" i="1"/>
  <c r="CE118" i="1"/>
  <c r="CE111" i="1"/>
  <c r="CE142" i="1"/>
  <c r="CE141" i="1"/>
  <c r="CE139" i="1"/>
  <c r="CE124" i="1"/>
  <c r="CE138" i="1"/>
  <c r="CE140" i="1"/>
  <c r="CE35" i="1"/>
  <c r="CE33" i="1"/>
  <c r="CE32" i="1"/>
  <c r="CE8" i="1"/>
  <c r="CE20" i="1"/>
  <c r="CE117" i="1"/>
  <c r="CE19" i="1"/>
  <c r="CE14" i="1"/>
  <c r="CE12" i="1"/>
  <c r="CE100" i="1"/>
  <c r="CE104" i="1"/>
  <c r="CE95" i="1"/>
  <c r="CE90" i="1"/>
  <c r="CE101" i="1"/>
  <c r="CE106" i="1"/>
  <c r="CE98" i="1"/>
  <c r="CE96" i="1"/>
  <c r="CE57" i="1"/>
  <c r="CE34" i="1"/>
  <c r="CE30" i="1"/>
  <c r="CE28" i="1"/>
  <c r="CE11" i="1"/>
  <c r="CE21" i="1"/>
  <c r="CE73" i="1"/>
  <c r="CE105" i="1"/>
  <c r="CE17" i="1"/>
  <c r="CE89" i="1"/>
  <c r="CE102" i="1"/>
  <c r="CE54" i="1"/>
  <c r="CE103" i="1"/>
  <c r="CE72" i="1"/>
  <c r="CE99" i="1"/>
  <c r="CE53" i="1"/>
  <c r="CE58" i="1"/>
  <c r="CE59" i="1"/>
  <c r="CE5" i="1"/>
  <c r="CE55" i="1"/>
  <c r="CE6" i="1"/>
  <c r="CE13" i="1"/>
  <c r="CE18" i="1"/>
  <c r="CE26" i="1"/>
  <c r="CE62" i="1"/>
  <c r="CE63" i="1"/>
  <c r="CE64" i="1"/>
  <c r="CE60" i="1"/>
  <c r="CE65" i="1"/>
  <c r="CE61" i="1"/>
  <c r="CE10" i="1"/>
  <c r="CE68" i="1"/>
  <c r="CE69" i="1"/>
  <c r="CE66" i="1"/>
  <c r="CE31" i="1"/>
  <c r="CE45" i="1"/>
  <c r="CE74" i="1"/>
  <c r="CE48" i="1"/>
  <c r="CE85" i="1"/>
  <c r="CE77" i="1"/>
  <c r="CE75" i="1"/>
  <c r="CE78" i="1"/>
  <c r="CE76" i="1"/>
  <c r="CE79" i="1"/>
  <c r="CE80" i="1"/>
  <c r="CE16" i="1"/>
  <c r="CE81" i="1"/>
  <c r="CE82" i="1"/>
  <c r="CE2" i="1"/>
  <c r="CE4" i="1"/>
  <c r="CE86" i="1"/>
  <c r="CE70" i="1"/>
  <c r="CE87" i="1"/>
  <c r="CE83" i="1"/>
  <c r="CE88" i="1"/>
  <c r="CE44" i="1"/>
  <c r="HL30" i="1"/>
  <c r="HG28" i="1"/>
  <c r="HG11" i="1"/>
  <c r="HG105" i="1"/>
  <c r="GU17" i="1"/>
  <c r="GD17" i="1" s="1"/>
  <c r="GK104" i="1"/>
  <c r="GJ104" i="1" s="1"/>
  <c r="GB104" i="1" s="1"/>
  <c r="GK106" i="1"/>
  <c r="GJ106" i="1" s="1"/>
  <c r="GK98" i="1"/>
  <c r="GJ98" i="1" s="1"/>
  <c r="GK96" i="1"/>
  <c r="GK100" i="1"/>
  <c r="EE130" i="1"/>
  <c r="EE137" i="1"/>
  <c r="HG87" i="1"/>
  <c r="HG81" i="1"/>
  <c r="HG76" i="1"/>
  <c r="HL86" i="1"/>
  <c r="EE4" i="1"/>
  <c r="EE44" i="1"/>
  <c r="EE2" i="1"/>
  <c r="EE86" i="1"/>
  <c r="EE48" i="1"/>
  <c r="EE85" i="1"/>
  <c r="EE16" i="1"/>
  <c r="EE82" i="1"/>
  <c r="EE81" i="1"/>
  <c r="EE80" i="1"/>
  <c r="EE79" i="1"/>
  <c r="EE77" i="1"/>
  <c r="EE78" i="1"/>
  <c r="EE74" i="1"/>
  <c r="EE31" i="1"/>
  <c r="EE75" i="1"/>
  <c r="EE76" i="1"/>
  <c r="HL57" i="1"/>
  <c r="GU99" i="1"/>
  <c r="GD99" i="1" s="1"/>
  <c r="HL108" i="1"/>
  <c r="IJ84" i="1"/>
  <c r="AL92" i="1"/>
  <c r="BD15" i="1"/>
  <c r="BC7" i="1"/>
  <c r="EB17" i="1"/>
  <c r="EK17" i="1" s="1"/>
  <c r="HF85" i="1"/>
  <c r="EU77" i="1"/>
  <c r="CV34" i="1"/>
  <c r="CV89" i="1"/>
  <c r="CV73" i="1"/>
  <c r="CV105" i="1"/>
  <c r="CV17" i="1"/>
  <c r="CV28" i="1"/>
  <c r="CV11" i="1"/>
  <c r="CV90" i="1"/>
  <c r="CV95" i="1"/>
  <c r="CV96" i="1"/>
  <c r="CV98" i="1"/>
  <c r="CV104" i="1"/>
  <c r="CV106" i="1"/>
  <c r="CV100" i="1"/>
  <c r="CV101" i="1"/>
  <c r="CV30" i="1"/>
  <c r="CV92" i="1"/>
  <c r="CV108" i="1"/>
  <c r="CZ111" i="1"/>
  <c r="CZ118" i="1"/>
  <c r="CZ144" i="1"/>
  <c r="CZ22" i="1"/>
  <c r="CZ23" i="1"/>
  <c r="CZ130" i="1"/>
  <c r="CZ153" i="1"/>
  <c r="CZ137" i="1"/>
  <c r="EF130" i="1"/>
  <c r="EF137" i="1"/>
  <c r="EF4" i="1"/>
  <c r="EF86" i="1"/>
  <c r="EF2" i="1"/>
  <c r="EF76" i="1"/>
  <c r="EF81" i="1"/>
  <c r="EF82" i="1"/>
  <c r="EF77" i="1"/>
  <c r="EF79" i="1"/>
  <c r="EF85" i="1"/>
  <c r="EF78" i="1"/>
  <c r="EF75" i="1"/>
  <c r="EF16" i="1"/>
  <c r="EV79" i="1"/>
  <c r="GW150" i="1"/>
  <c r="AL153" i="1"/>
  <c r="S144" i="1"/>
  <c r="T144" i="1"/>
  <c r="U144" i="1"/>
  <c r="AE144" i="1"/>
  <c r="GV37" i="1"/>
  <c r="S37" i="1"/>
  <c r="T37" i="1"/>
  <c r="U37" i="1"/>
  <c r="U29" i="1"/>
  <c r="O29" i="1"/>
  <c r="Y29" i="1" s="1"/>
  <c r="O137" i="1"/>
  <c r="S137" i="1" s="1"/>
  <c r="U137" i="1"/>
  <c r="U25" i="1"/>
  <c r="V137" i="1"/>
  <c r="GK90" i="1"/>
  <c r="GJ90" i="1" s="1"/>
  <c r="GB90" i="1" s="1"/>
  <c r="GK95" i="1"/>
  <c r="GJ95" i="1" s="1"/>
  <c r="GB95" i="1" s="1"/>
  <c r="BC96" i="1"/>
  <c r="BC106" i="1"/>
  <c r="BC104" i="1"/>
  <c r="BC100" i="1"/>
  <c r="BC98" i="1"/>
  <c r="BC95" i="1"/>
  <c r="BC90" i="1"/>
  <c r="BC70" i="1"/>
  <c r="BC16" i="1"/>
  <c r="BC10" i="1"/>
  <c r="BC48" i="1"/>
  <c r="BC31" i="1"/>
  <c r="BC15" i="1"/>
  <c r="BC38" i="1"/>
  <c r="BC27" i="1"/>
  <c r="BD100" i="1"/>
  <c r="CZ117" i="1"/>
  <c r="CV117" i="1"/>
  <c r="CZ35" i="1"/>
  <c r="CV35" i="1"/>
  <c r="CZ14" i="1"/>
  <c r="CV14" i="1"/>
  <c r="CZ33" i="1"/>
  <c r="CV33" i="1"/>
  <c r="CZ8" i="1"/>
  <c r="CV8" i="1"/>
  <c r="CP118" i="1"/>
  <c r="CQ118" i="1" s="1"/>
  <c r="CM118" i="1"/>
  <c r="CN118" i="1" s="1"/>
  <c r="CJ118" i="1"/>
  <c r="CK118" i="1" s="1"/>
  <c r="CP117" i="1"/>
  <c r="CQ117" i="1" s="1"/>
  <c r="CN117" i="1"/>
  <c r="CK117" i="1"/>
  <c r="CP35" i="1"/>
  <c r="CQ35" i="1" s="1"/>
  <c r="CN35" i="1"/>
  <c r="CK35" i="1"/>
  <c r="CP14" i="1"/>
  <c r="CQ14" i="1" s="1"/>
  <c r="CN14" i="1"/>
  <c r="CK14" i="1"/>
  <c r="CP33" i="1"/>
  <c r="CQ33" i="1" s="1"/>
  <c r="CN33" i="1"/>
  <c r="CK33" i="1"/>
  <c r="CP8" i="1"/>
  <c r="CQ8" i="1" s="1"/>
  <c r="CN8" i="1"/>
  <c r="CJ8" i="1"/>
  <c r="CK8" i="1" s="1"/>
  <c r="BY85" i="1"/>
  <c r="BZ85" i="1" s="1"/>
  <c r="BW4" i="1"/>
  <c r="BS4" i="1"/>
  <c r="BS2" i="1"/>
  <c r="BW2" i="1"/>
  <c r="AG76" i="1"/>
  <c r="AE92" i="1"/>
  <c r="BW48" i="1"/>
  <c r="BW87" i="1"/>
  <c r="BW70" i="1"/>
  <c r="BW86" i="1"/>
  <c r="BW85" i="1"/>
  <c r="BW76" i="1"/>
  <c r="BW16" i="1"/>
  <c r="BW81" i="1"/>
  <c r="BW82" i="1"/>
  <c r="BW79" i="1"/>
  <c r="BW77" i="1"/>
  <c r="BW10" i="1"/>
  <c r="BW75" i="1"/>
  <c r="BW80" i="1"/>
  <c r="BW45" i="1"/>
  <c r="BW74" i="1"/>
  <c r="BW64" i="1"/>
  <c r="BW61" i="1"/>
  <c r="BW62" i="1"/>
  <c r="BW26" i="1"/>
  <c r="BW67" i="1"/>
  <c r="BW18" i="1"/>
  <c r="BW65" i="1"/>
  <c r="BS58" i="1"/>
  <c r="BS49" i="1"/>
  <c r="BS59" i="1"/>
  <c r="BS56" i="1"/>
  <c r="BS51" i="1"/>
  <c r="BS6" i="1"/>
  <c r="BS13" i="1"/>
  <c r="BS52" i="1"/>
  <c r="BS53" i="1"/>
  <c r="BS55" i="1"/>
  <c r="BS5" i="1"/>
  <c r="BW49" i="1"/>
  <c r="BS103" i="1"/>
  <c r="BS97" i="1"/>
  <c r="BS54" i="1"/>
  <c r="BS94" i="1"/>
  <c r="BS44" i="1"/>
  <c r="BS84" i="1"/>
  <c r="GK8" i="1"/>
  <c r="GJ8" i="1" s="1"/>
  <c r="GB8" i="1" s="1"/>
  <c r="CZ140" i="1"/>
  <c r="DA140" i="1"/>
  <c r="DE140" i="1"/>
  <c r="DF140" i="1" s="1"/>
  <c r="DH140" i="1"/>
  <c r="DI140" i="1" s="1"/>
  <c r="DK140" i="1"/>
  <c r="DL140" i="1" s="1"/>
  <c r="DN140" i="1"/>
  <c r="DO140" i="1" s="1"/>
  <c r="DR140" i="1"/>
  <c r="DT140" i="1"/>
  <c r="DU140" i="1" s="1"/>
  <c r="DW140" i="1"/>
  <c r="DX140" i="1" s="1"/>
  <c r="EB140" i="1"/>
  <c r="DA118" i="1"/>
  <c r="DA8" i="1"/>
  <c r="DE8" i="1"/>
  <c r="DF8" i="1" s="1"/>
  <c r="DH8" i="1"/>
  <c r="DI8" i="1" s="1"/>
  <c r="DK8" i="1"/>
  <c r="DL8" i="1" s="1"/>
  <c r="DN8" i="1"/>
  <c r="DO8" i="1" s="1"/>
  <c r="DR8" i="1"/>
  <c r="DT8" i="1"/>
  <c r="DU8" i="1" s="1"/>
  <c r="DW8" i="1"/>
  <c r="DX8" i="1" s="1"/>
  <c r="EB8" i="1"/>
  <c r="EK8" i="1" s="1"/>
  <c r="CZ95" i="1"/>
  <c r="DA95" i="1"/>
  <c r="DE95" i="1"/>
  <c r="DF95" i="1" s="1"/>
  <c r="DH95" i="1"/>
  <c r="EF95" i="1" s="1"/>
  <c r="DW95" i="1"/>
  <c r="DX95" i="1" s="1"/>
  <c r="DN95" i="1"/>
  <c r="DO95" i="1" s="1"/>
  <c r="DK95" i="1"/>
  <c r="BD117" i="1"/>
  <c r="BD90" i="1"/>
  <c r="BD95" i="1"/>
  <c r="AE95" i="1"/>
  <c r="S95" i="1"/>
  <c r="T95" i="1"/>
  <c r="U95" i="1"/>
  <c r="BD104" i="1"/>
  <c r="BB101" i="1"/>
  <c r="BW105" i="1"/>
  <c r="S8" i="1"/>
  <c r="U118" i="1"/>
  <c r="U8" i="1"/>
  <c r="T8" i="1"/>
  <c r="DG30" i="1"/>
  <c r="DH30" i="1" s="1"/>
  <c r="EF30" i="1" s="1"/>
  <c r="DG28" i="1"/>
  <c r="DH28" i="1" s="1"/>
  <c r="DG17" i="1"/>
  <c r="DH17" i="1" s="1"/>
  <c r="EF17" i="1" s="1"/>
  <c r="FD105" i="1"/>
  <c r="DG21" i="1"/>
  <c r="DH21" i="1" s="1"/>
  <c r="EF21" i="1" s="1"/>
  <c r="DG34" i="1"/>
  <c r="DH34" i="1" s="1"/>
  <c r="DG11" i="1"/>
  <c r="DH11" i="1" s="1"/>
  <c r="DI11" i="1" s="1"/>
  <c r="DG73" i="1"/>
  <c r="DH73" i="1" s="1"/>
  <c r="EF73" i="1" s="1"/>
  <c r="EL102" i="1"/>
  <c r="EB44" i="1"/>
  <c r="GK77" i="1"/>
  <c r="GJ77" i="1" s="1"/>
  <c r="GB77" i="1" s="1"/>
  <c r="BW78" i="1"/>
  <c r="EO82" i="1"/>
  <c r="EO81" i="1"/>
  <c r="EO80" i="1"/>
  <c r="EO79" i="1"/>
  <c r="EO16" i="1"/>
  <c r="EN88" i="1"/>
  <c r="DA4" i="1"/>
  <c r="DQ86" i="1"/>
  <c r="DR86" i="1" s="1"/>
  <c r="AM92" i="1"/>
  <c r="BZ27" i="1"/>
  <c r="BY46" i="1"/>
  <c r="BZ46" i="1" s="1"/>
  <c r="BY50" i="1"/>
  <c r="BY49" i="1"/>
  <c r="CK19" i="1"/>
  <c r="CK20" i="1"/>
  <c r="CK32" i="1"/>
  <c r="CN12" i="1"/>
  <c r="CN19" i="1"/>
  <c r="CN20" i="1"/>
  <c r="CN32" i="1"/>
  <c r="CM4" i="1"/>
  <c r="CN4" i="1" s="1"/>
  <c r="CP4" i="1"/>
  <c r="CQ4" i="1" s="1"/>
  <c r="CP12" i="1"/>
  <c r="CQ12" i="1" s="1"/>
  <c r="CP19" i="1"/>
  <c r="CQ19" i="1" s="1"/>
  <c r="CP20" i="1"/>
  <c r="CQ20" i="1" s="1"/>
  <c r="CP32" i="1"/>
  <c r="CQ32" i="1" s="1"/>
  <c r="CV4" i="1"/>
  <c r="CV12" i="1"/>
  <c r="CV19" i="1"/>
  <c r="CV20" i="1"/>
  <c r="CV32" i="1"/>
  <c r="CV31" i="1"/>
  <c r="CV74" i="1"/>
  <c r="CV75" i="1"/>
  <c r="CV77" i="1"/>
  <c r="CV78" i="1"/>
  <c r="CV16" i="1"/>
  <c r="CV82" i="1"/>
  <c r="CZ101" i="1"/>
  <c r="CZ96" i="1"/>
  <c r="CZ98" i="1"/>
  <c r="CZ106" i="1"/>
  <c r="CZ90" i="1"/>
  <c r="CZ104" i="1"/>
  <c r="CZ100" i="1"/>
  <c r="CZ12" i="1"/>
  <c r="CZ19" i="1"/>
  <c r="CZ20" i="1"/>
  <c r="CZ32" i="1"/>
  <c r="CZ138" i="1"/>
  <c r="CZ139" i="1"/>
  <c r="CZ141" i="1"/>
  <c r="CZ143" i="1"/>
  <c r="CZ40" i="1"/>
  <c r="CZ142" i="1"/>
  <c r="CZ146" i="1"/>
  <c r="CZ145" i="1"/>
  <c r="CZ147" i="1"/>
  <c r="CZ148" i="1"/>
  <c r="CZ149" i="1"/>
  <c r="CZ150" i="1"/>
  <c r="CZ151" i="1"/>
  <c r="CZ154" i="1"/>
  <c r="CZ155" i="1"/>
  <c r="CZ160" i="1"/>
  <c r="CZ152" i="1"/>
  <c r="DA90" i="1"/>
  <c r="DA104" i="1"/>
  <c r="DA100" i="1"/>
  <c r="DA12" i="1"/>
  <c r="DA14" i="1"/>
  <c r="DA19" i="1"/>
  <c r="DA20" i="1"/>
  <c r="DA32" i="1"/>
  <c r="DA33" i="1"/>
  <c r="DA35" i="1"/>
  <c r="DA138" i="1"/>
  <c r="DA139" i="1"/>
  <c r="DA141" i="1"/>
  <c r="DA142" i="1"/>
  <c r="FD94" i="1"/>
  <c r="DE44" i="1"/>
  <c r="DF44" i="1" s="1"/>
  <c r="DH44" i="1"/>
  <c r="DI44" i="1" s="1"/>
  <c r="FD71" i="1"/>
  <c r="DE21" i="1"/>
  <c r="DF21" i="1" s="1"/>
  <c r="DE34" i="1"/>
  <c r="DF34" i="1" s="1"/>
  <c r="DF4" i="1"/>
  <c r="DI4" i="1"/>
  <c r="FD54" i="1"/>
  <c r="DE17" i="1"/>
  <c r="DF17" i="1" s="1"/>
  <c r="DE28" i="1"/>
  <c r="DF28" i="1" s="1"/>
  <c r="DE30" i="1"/>
  <c r="DF30" i="1" s="1"/>
  <c r="DE92" i="1"/>
  <c r="DF92" i="1" s="1"/>
  <c r="DH92" i="1"/>
  <c r="FD92" i="1" s="1"/>
  <c r="DE108" i="1"/>
  <c r="DF108" i="1" s="1"/>
  <c r="DH108" i="1"/>
  <c r="FD108" i="1" s="1"/>
  <c r="DE101" i="1"/>
  <c r="DF101" i="1" s="1"/>
  <c r="DH101" i="1"/>
  <c r="FD101" i="1" s="1"/>
  <c r="DE96" i="1"/>
  <c r="DF96" i="1" s="1"/>
  <c r="DH96" i="1"/>
  <c r="DE98" i="1"/>
  <c r="DF98" i="1" s="1"/>
  <c r="DH98" i="1"/>
  <c r="EF98" i="1" s="1"/>
  <c r="DE106" i="1"/>
  <c r="DF106" i="1" s="1"/>
  <c r="DH106" i="1"/>
  <c r="DI106" i="1" s="1"/>
  <c r="DE90" i="1"/>
  <c r="DF90" i="1" s="1"/>
  <c r="DH90" i="1"/>
  <c r="FD90" i="1" s="1"/>
  <c r="DE104" i="1"/>
  <c r="DF104" i="1" s="1"/>
  <c r="DH104" i="1"/>
  <c r="FD104" i="1" s="1"/>
  <c r="DE100" i="1"/>
  <c r="DF100" i="1" s="1"/>
  <c r="DH100" i="1"/>
  <c r="FD100" i="1" s="1"/>
  <c r="DE117" i="1"/>
  <c r="DF117" i="1" s="1"/>
  <c r="DH117" i="1"/>
  <c r="DE12" i="1"/>
  <c r="DF12" i="1" s="1"/>
  <c r="DH12" i="1"/>
  <c r="EF12" i="1" s="1"/>
  <c r="DE14" i="1"/>
  <c r="DF14" i="1" s="1"/>
  <c r="DH14" i="1"/>
  <c r="FD14" i="1" s="1"/>
  <c r="DE19" i="1"/>
  <c r="DF19" i="1" s="1"/>
  <c r="DH19" i="1"/>
  <c r="FD19" i="1" s="1"/>
  <c r="DE20" i="1"/>
  <c r="DF20" i="1" s="1"/>
  <c r="DH20" i="1"/>
  <c r="FD20" i="1" s="1"/>
  <c r="DE32" i="1"/>
  <c r="DF32" i="1" s="1"/>
  <c r="DH32" i="1"/>
  <c r="EF32" i="1" s="1"/>
  <c r="DE33" i="1"/>
  <c r="DF33" i="1" s="1"/>
  <c r="DH33" i="1"/>
  <c r="DI33" i="1" s="1"/>
  <c r="DE35" i="1"/>
  <c r="DF35" i="1" s="1"/>
  <c r="DH35" i="1"/>
  <c r="FD35" i="1" s="1"/>
  <c r="DE138" i="1"/>
  <c r="DF138" i="1" s="1"/>
  <c r="DH138" i="1"/>
  <c r="DI138" i="1" s="1"/>
  <c r="DE139" i="1"/>
  <c r="DF139" i="1" s="1"/>
  <c r="DH139" i="1"/>
  <c r="FD139" i="1" s="1"/>
  <c r="DE141" i="1"/>
  <c r="DF141" i="1" s="1"/>
  <c r="DH141" i="1"/>
  <c r="FD141" i="1" s="1"/>
  <c r="DE142" i="1"/>
  <c r="DF142" i="1" s="1"/>
  <c r="DH142" i="1"/>
  <c r="FD142" i="1" s="1"/>
  <c r="DK73" i="1"/>
  <c r="DL73" i="1" s="1"/>
  <c r="DK11" i="1"/>
  <c r="DL11" i="1" s="1"/>
  <c r="DK57" i="1"/>
  <c r="DL57" i="1" s="1"/>
  <c r="DL2" i="1"/>
  <c r="DK44" i="1"/>
  <c r="DL44" i="1" s="1"/>
  <c r="DK21" i="1"/>
  <c r="DL21" i="1" s="1"/>
  <c r="DK34" i="1"/>
  <c r="DL34" i="1" s="1"/>
  <c r="DK4" i="1"/>
  <c r="DL4" i="1" s="1"/>
  <c r="DK17" i="1"/>
  <c r="DL17" i="1" s="1"/>
  <c r="DK28" i="1"/>
  <c r="DL28" i="1" s="1"/>
  <c r="DK30" i="1"/>
  <c r="DL30" i="1" s="1"/>
  <c r="DK92" i="1"/>
  <c r="DL92" i="1" s="1"/>
  <c r="DK108" i="1"/>
  <c r="DL108" i="1" s="1"/>
  <c r="DK101" i="1"/>
  <c r="DL101" i="1" s="1"/>
  <c r="DK96" i="1"/>
  <c r="DL96" i="1" s="1"/>
  <c r="DK98" i="1"/>
  <c r="DL98" i="1" s="1"/>
  <c r="DK106" i="1"/>
  <c r="DL106" i="1" s="1"/>
  <c r="DK90" i="1"/>
  <c r="DL90" i="1" s="1"/>
  <c r="DK104" i="1"/>
  <c r="DL104" i="1" s="1"/>
  <c r="DK100" i="1"/>
  <c r="DL100" i="1" s="1"/>
  <c r="DK117" i="1"/>
  <c r="DL117" i="1" s="1"/>
  <c r="DK12" i="1"/>
  <c r="DL12" i="1" s="1"/>
  <c r="DK14" i="1"/>
  <c r="DL14" i="1" s="1"/>
  <c r="DK19" i="1"/>
  <c r="DL19" i="1" s="1"/>
  <c r="DK20" i="1"/>
  <c r="DL20" i="1" s="1"/>
  <c r="DK32" i="1"/>
  <c r="DL32" i="1" s="1"/>
  <c r="DK33" i="1"/>
  <c r="DL33" i="1" s="1"/>
  <c r="DK35" i="1"/>
  <c r="DL35" i="1" s="1"/>
  <c r="DK138" i="1"/>
  <c r="DL138" i="1" s="1"/>
  <c r="DK139" i="1"/>
  <c r="DL139" i="1" s="1"/>
  <c r="DK141" i="1"/>
  <c r="DL141" i="1" s="1"/>
  <c r="DK142" i="1"/>
  <c r="DL142" i="1" s="1"/>
  <c r="DN73" i="1"/>
  <c r="DO73" i="1" s="1"/>
  <c r="DR73" i="1"/>
  <c r="DN11" i="1"/>
  <c r="DO11" i="1" s="1"/>
  <c r="DR11" i="1"/>
  <c r="DN57" i="1"/>
  <c r="DO57" i="1" s="1"/>
  <c r="DR57" i="1"/>
  <c r="DO2" i="1"/>
  <c r="DR2" i="1"/>
  <c r="DN44" i="1"/>
  <c r="DO44" i="1" s="1"/>
  <c r="DR44" i="1"/>
  <c r="DN21" i="1"/>
  <c r="DO21" i="1" s="1"/>
  <c r="DR21" i="1"/>
  <c r="DN34" i="1"/>
  <c r="DO34" i="1" s="1"/>
  <c r="DR34" i="1"/>
  <c r="DO4" i="1"/>
  <c r="DR4" i="1"/>
  <c r="DN17" i="1"/>
  <c r="DO17" i="1" s="1"/>
  <c r="DR17" i="1"/>
  <c r="DN28" i="1"/>
  <c r="DO28" i="1" s="1"/>
  <c r="DR28" i="1"/>
  <c r="DN30" i="1"/>
  <c r="DO30" i="1" s="1"/>
  <c r="DR30" i="1"/>
  <c r="DN92" i="1"/>
  <c r="DO92" i="1" s="1"/>
  <c r="DR92" i="1"/>
  <c r="DN108" i="1"/>
  <c r="DO108" i="1" s="1"/>
  <c r="DR108" i="1"/>
  <c r="DN101" i="1"/>
  <c r="DO101" i="1" s="1"/>
  <c r="DR101" i="1"/>
  <c r="DN96" i="1"/>
  <c r="DO96" i="1" s="1"/>
  <c r="DR96" i="1"/>
  <c r="DN98" i="1"/>
  <c r="DO98" i="1" s="1"/>
  <c r="DR98" i="1"/>
  <c r="DN106" i="1"/>
  <c r="DO106" i="1" s="1"/>
  <c r="DR106" i="1"/>
  <c r="DN90" i="1"/>
  <c r="DO90" i="1" s="1"/>
  <c r="DR90" i="1"/>
  <c r="DN104" i="1"/>
  <c r="DO104" i="1" s="1"/>
  <c r="DR104" i="1"/>
  <c r="DN100" i="1"/>
  <c r="DO100" i="1" s="1"/>
  <c r="DR100" i="1"/>
  <c r="DN12" i="1"/>
  <c r="DO12" i="1" s="1"/>
  <c r="DR12" i="1"/>
  <c r="DN14" i="1"/>
  <c r="DO14" i="1" s="1"/>
  <c r="DR14" i="1"/>
  <c r="DN19" i="1"/>
  <c r="DO19" i="1" s="1"/>
  <c r="DR19" i="1"/>
  <c r="DN20" i="1"/>
  <c r="DO20" i="1" s="1"/>
  <c r="DR20" i="1"/>
  <c r="DN32" i="1"/>
  <c r="DO32" i="1" s="1"/>
  <c r="DR32" i="1"/>
  <c r="DN33" i="1"/>
  <c r="DO33" i="1" s="1"/>
  <c r="DR33" i="1"/>
  <c r="DN35" i="1"/>
  <c r="DO35" i="1" s="1"/>
  <c r="DR35" i="1"/>
  <c r="DN138" i="1"/>
  <c r="DO138" i="1" s="1"/>
  <c r="DR138" i="1"/>
  <c r="DN139" i="1"/>
  <c r="DO139" i="1" s="1"/>
  <c r="DR139" i="1"/>
  <c r="DN141" i="1"/>
  <c r="DO141" i="1" s="1"/>
  <c r="DR141" i="1"/>
  <c r="DN142" i="1"/>
  <c r="DO142" i="1" s="1"/>
  <c r="DR142" i="1"/>
  <c r="DT73" i="1"/>
  <c r="DU73" i="1" s="1"/>
  <c r="DT11" i="1"/>
  <c r="DU11" i="1" s="1"/>
  <c r="DT57" i="1"/>
  <c r="DU57" i="1" s="1"/>
  <c r="DU2" i="1"/>
  <c r="DT44" i="1"/>
  <c r="DU44" i="1" s="1"/>
  <c r="DT21" i="1"/>
  <c r="DU21" i="1" s="1"/>
  <c r="DT34" i="1"/>
  <c r="DU34" i="1" s="1"/>
  <c r="DT4" i="1"/>
  <c r="DU4" i="1" s="1"/>
  <c r="DT17" i="1"/>
  <c r="DU17" i="1" s="1"/>
  <c r="DT28" i="1"/>
  <c r="DU28" i="1" s="1"/>
  <c r="DT30" i="1"/>
  <c r="DU30" i="1" s="1"/>
  <c r="DT92" i="1"/>
  <c r="DU92" i="1" s="1"/>
  <c r="DT108" i="1"/>
  <c r="DU108" i="1" s="1"/>
  <c r="DT101" i="1"/>
  <c r="DU101" i="1" s="1"/>
  <c r="DT96" i="1"/>
  <c r="DU96" i="1" s="1"/>
  <c r="DT98" i="1"/>
  <c r="DU98" i="1" s="1"/>
  <c r="DT106" i="1"/>
  <c r="DU106" i="1" s="1"/>
  <c r="DT90" i="1"/>
  <c r="DU90" i="1" s="1"/>
  <c r="DT104" i="1"/>
  <c r="DU104" i="1" s="1"/>
  <c r="DT100" i="1"/>
  <c r="DU100" i="1" s="1"/>
  <c r="DT117" i="1"/>
  <c r="DU117" i="1" s="1"/>
  <c r="DT12" i="1"/>
  <c r="DU12" i="1" s="1"/>
  <c r="DT14" i="1"/>
  <c r="DU14" i="1" s="1"/>
  <c r="DT19" i="1"/>
  <c r="DU19" i="1" s="1"/>
  <c r="DT20" i="1"/>
  <c r="DU20" i="1" s="1"/>
  <c r="DT32" i="1"/>
  <c r="DU32" i="1" s="1"/>
  <c r="DT33" i="1"/>
  <c r="DU33" i="1" s="1"/>
  <c r="DT35" i="1"/>
  <c r="DU35" i="1" s="1"/>
  <c r="DT138" i="1"/>
  <c r="DU138" i="1" s="1"/>
  <c r="DT139" i="1"/>
  <c r="DU139" i="1" s="1"/>
  <c r="DT141" i="1"/>
  <c r="DU141" i="1" s="1"/>
  <c r="DT142" i="1"/>
  <c r="DU142" i="1" s="1"/>
  <c r="DW90" i="1"/>
  <c r="DX90" i="1" s="1"/>
  <c r="DW104" i="1"/>
  <c r="DX104" i="1" s="1"/>
  <c r="DW100" i="1"/>
  <c r="DX100" i="1" s="1"/>
  <c r="DW117" i="1"/>
  <c r="DX117" i="1" s="1"/>
  <c r="DW138" i="1"/>
  <c r="DX138" i="1" s="1"/>
  <c r="DW139" i="1"/>
  <c r="DX139" i="1" s="1"/>
  <c r="DW141" i="1"/>
  <c r="DX141" i="1" s="1"/>
  <c r="DW142" i="1"/>
  <c r="DX142" i="1" s="1"/>
  <c r="DW20" i="1"/>
  <c r="DX20" i="1" s="1"/>
  <c r="DW32" i="1"/>
  <c r="DX32" i="1" s="1"/>
  <c r="DW33" i="1"/>
  <c r="DX33" i="1" s="1"/>
  <c r="DW35" i="1"/>
  <c r="DX35" i="1" s="1"/>
  <c r="EB2" i="1"/>
  <c r="EK2" i="1" s="1"/>
  <c r="EN2" i="1" s="1"/>
  <c r="EP2" i="1" s="1"/>
  <c r="EB4" i="1"/>
  <c r="ED4" i="1" s="1"/>
  <c r="EB92" i="1"/>
  <c r="EC92" i="1" s="1"/>
  <c r="EB108" i="1"/>
  <c r="EB117" i="1"/>
  <c r="EK117" i="1" s="1"/>
  <c r="EB12" i="1"/>
  <c r="EB14" i="1"/>
  <c r="EB19" i="1"/>
  <c r="EB20" i="1"/>
  <c r="EC20" i="1" s="1"/>
  <c r="EB32" i="1"/>
  <c r="EB33" i="1"/>
  <c r="EC33" i="1" s="1"/>
  <c r="EB35" i="1"/>
  <c r="EC35" i="1" s="1"/>
  <c r="EL35" i="1" s="1"/>
  <c r="EB138" i="1"/>
  <c r="EK138" i="1" s="1"/>
  <c r="EB139" i="1"/>
  <c r="EK139" i="1" s="1"/>
  <c r="EB141" i="1"/>
  <c r="EC141" i="1" s="1"/>
  <c r="EL141" i="1" s="1"/>
  <c r="EB142" i="1"/>
  <c r="EK142" i="1" s="1"/>
  <c r="DC150" i="1"/>
  <c r="DC154" i="1"/>
  <c r="GV92" i="1"/>
  <c r="GW92" i="1"/>
  <c r="GZ92" i="1"/>
  <c r="HB92" i="1"/>
  <c r="HF2" i="1"/>
  <c r="HF4" i="1"/>
  <c r="V71" i="1"/>
  <c r="AE72" i="1"/>
  <c r="GF102" i="1"/>
  <c r="GI91" i="1"/>
  <c r="AG57" i="1"/>
  <c r="Y92" i="1"/>
  <c r="DW30" i="1"/>
  <c r="DX30" i="1" s="1"/>
  <c r="S118" i="1"/>
  <c r="T118" i="1"/>
  <c r="S138" i="1"/>
  <c r="T138" i="1"/>
  <c r="GZ118" i="1"/>
  <c r="BS72" i="1"/>
  <c r="BS102" i="1"/>
  <c r="U142" i="1"/>
  <c r="S142" i="1"/>
  <c r="T142" i="1"/>
  <c r="U160" i="1"/>
  <c r="T160" i="1"/>
  <c r="S160" i="1"/>
  <c r="O139" i="1"/>
  <c r="S139" i="1" s="1"/>
  <c r="U139" i="1"/>
  <c r="AM40" i="1"/>
  <c r="S40" i="1"/>
  <c r="T40" i="1"/>
  <c r="U40" i="1"/>
  <c r="GV155" i="1"/>
  <c r="GV143" i="1"/>
  <c r="U143" i="1"/>
  <c r="O143" i="1"/>
  <c r="S143" i="1" s="1"/>
  <c r="Q140" i="1"/>
  <c r="U140" i="1" s="1"/>
  <c r="S100" i="1"/>
  <c r="T100" i="1"/>
  <c r="U100" i="1"/>
  <c r="Y148" i="1"/>
  <c r="U148" i="1"/>
  <c r="S148" i="1"/>
  <c r="T148" i="1"/>
  <c r="U147" i="1"/>
  <c r="S147" i="1"/>
  <c r="T147" i="1"/>
  <c r="U152" i="1"/>
  <c r="S152" i="1"/>
  <c r="T152" i="1"/>
  <c r="S150" i="1"/>
  <c r="T150" i="1"/>
  <c r="U150" i="1"/>
  <c r="GZ149" i="1"/>
  <c r="S149" i="1"/>
  <c r="T149" i="1"/>
  <c r="U149" i="1"/>
  <c r="U151" i="1"/>
  <c r="S151" i="1"/>
  <c r="T151" i="1"/>
  <c r="U154" i="1"/>
  <c r="S154" i="1"/>
  <c r="T154" i="1"/>
  <c r="U138" i="1"/>
  <c r="U146" i="1"/>
  <c r="T146" i="1"/>
  <c r="S146" i="1"/>
  <c r="U141" i="1"/>
  <c r="T141" i="1"/>
  <c r="S141" i="1"/>
  <c r="U90" i="1"/>
  <c r="T90" i="1"/>
  <c r="S90" i="1"/>
  <c r="U117" i="1"/>
  <c r="T117" i="1"/>
  <c r="S117" i="1"/>
  <c r="S140" i="1"/>
  <c r="U106" i="1"/>
  <c r="U104" i="1"/>
  <c r="BD106" i="1"/>
  <c r="BD98" i="1"/>
  <c r="BD96" i="1"/>
  <c r="BD57" i="1"/>
  <c r="BD4" i="1"/>
  <c r="BD2" i="1"/>
  <c r="BD70" i="1"/>
  <c r="BD16" i="1"/>
  <c r="BD48" i="1"/>
  <c r="BD31" i="1"/>
  <c r="BD10" i="1"/>
  <c r="BD27" i="1"/>
  <c r="BD38" i="1"/>
  <c r="BD7" i="1"/>
  <c r="HF98" i="1"/>
  <c r="DW98" i="1"/>
  <c r="DX98" i="1" s="1"/>
  <c r="DA98" i="1"/>
  <c r="DW28" i="1"/>
  <c r="DX28" i="1" s="1"/>
  <c r="DW96" i="1"/>
  <c r="DX96" i="1" s="1"/>
  <c r="DW106" i="1"/>
  <c r="DX106" i="1" s="1"/>
  <c r="DW101" i="1"/>
  <c r="DX101" i="1" s="1"/>
  <c r="DE57" i="1"/>
  <c r="DF57" i="1" s="1"/>
  <c r="DE73" i="1"/>
  <c r="DF73" i="1" s="1"/>
  <c r="DE11" i="1"/>
  <c r="DF11" i="1" s="1"/>
  <c r="CZ30" i="1"/>
  <c r="EX77" i="1"/>
  <c r="AT5" i="1"/>
  <c r="AS5" i="1"/>
  <c r="AR5" i="1"/>
  <c r="EX81" i="1"/>
  <c r="EX79" i="1"/>
  <c r="EX78" i="1"/>
  <c r="EV83" i="1"/>
  <c r="EV87" i="1"/>
  <c r="EV86" i="1"/>
  <c r="EV81" i="1"/>
  <c r="EV78" i="1"/>
  <c r="EV85" i="1"/>
  <c r="EV74" i="1"/>
  <c r="EV18" i="1"/>
  <c r="EX74" i="1"/>
  <c r="EX26" i="1"/>
  <c r="EX18" i="1"/>
  <c r="EX68" i="1"/>
  <c r="EX65" i="1"/>
  <c r="EX63" i="1"/>
  <c r="EX62" i="1"/>
  <c r="EX61" i="1"/>
  <c r="EX60" i="1"/>
  <c r="EU41" i="1"/>
  <c r="EU15" i="1"/>
  <c r="EU27" i="1"/>
  <c r="EU7" i="1"/>
  <c r="EU38" i="1"/>
  <c r="EU3" i="1"/>
  <c r="EU42" i="1"/>
  <c r="EU46" i="1"/>
  <c r="EU47" i="1"/>
  <c r="EU5" i="1"/>
  <c r="EU49" i="1"/>
  <c r="EU50" i="1"/>
  <c r="EU51" i="1"/>
  <c r="EU52" i="1"/>
  <c r="EU53" i="1"/>
  <c r="EU6" i="1"/>
  <c r="EU60" i="1"/>
  <c r="EU55" i="1"/>
  <c r="EU61" i="1"/>
  <c r="EU13" i="1"/>
  <c r="EU62" i="1"/>
  <c r="EU10" i="1"/>
  <c r="EU63" i="1"/>
  <c r="EU64" i="1"/>
  <c r="EU58" i="1"/>
  <c r="EU65" i="1"/>
  <c r="EU66" i="1"/>
  <c r="EU59" i="1"/>
  <c r="EI75" i="1"/>
  <c r="BW88" i="1"/>
  <c r="BW83" i="1"/>
  <c r="DJ67" i="1"/>
  <c r="DL67" i="1" s="1"/>
  <c r="DA92" i="1"/>
  <c r="CZ50" i="1"/>
  <c r="DA101" i="1"/>
  <c r="DA106" i="1"/>
  <c r="DA96" i="1"/>
  <c r="DA30" i="1"/>
  <c r="DA28" i="1"/>
  <c r="DA34" i="1"/>
  <c r="DA108" i="1"/>
  <c r="DA17" i="1"/>
  <c r="DA73" i="1"/>
  <c r="DA57" i="1"/>
  <c r="DA21" i="1"/>
  <c r="DA44" i="1"/>
  <c r="DA2" i="1"/>
  <c r="DA86" i="1"/>
  <c r="DA82" i="1"/>
  <c r="DA81" i="1"/>
  <c r="DA76" i="1"/>
  <c r="DA16" i="1"/>
  <c r="DA80" i="1"/>
  <c r="DA79" i="1"/>
  <c r="DA77" i="1"/>
  <c r="DA85" i="1"/>
  <c r="DA78" i="1"/>
  <c r="DA75" i="1"/>
  <c r="DA48" i="1"/>
  <c r="DA74" i="1"/>
  <c r="DA31" i="1"/>
  <c r="DA26" i="1"/>
  <c r="DA18" i="1"/>
  <c r="DA67" i="1"/>
  <c r="DA69" i="1"/>
  <c r="DA68" i="1"/>
  <c r="DA45" i="1"/>
  <c r="DA59" i="1"/>
  <c r="DA66" i="1"/>
  <c r="DA65" i="1"/>
  <c r="DA58" i="1"/>
  <c r="DA64" i="1"/>
  <c r="DA63" i="1"/>
  <c r="DA10" i="1"/>
  <c r="DA62" i="1"/>
  <c r="DA13" i="1"/>
  <c r="DA61" i="1"/>
  <c r="DA56" i="1"/>
  <c r="DA55" i="1"/>
  <c r="DA60" i="1"/>
  <c r="DA6" i="1"/>
  <c r="DA53" i="1"/>
  <c r="DA52" i="1"/>
  <c r="DA51" i="1"/>
  <c r="DA49" i="1"/>
  <c r="DA50" i="1"/>
  <c r="DA5" i="1"/>
  <c r="DA3" i="1"/>
  <c r="DA47" i="1"/>
  <c r="DA46" i="1"/>
  <c r="DA38" i="1"/>
  <c r="DA7" i="1"/>
  <c r="DA42" i="1"/>
  <c r="DA27" i="1"/>
  <c r="DA15" i="1"/>
  <c r="DA41" i="1"/>
  <c r="EB41" i="1"/>
  <c r="ED41" i="1" s="1"/>
  <c r="HF28" i="1"/>
  <c r="HF92" i="1"/>
  <c r="HF108" i="1"/>
  <c r="HF96" i="1"/>
  <c r="HF106" i="1"/>
  <c r="HF101" i="1"/>
  <c r="HF117" i="1"/>
  <c r="HF141" i="1"/>
  <c r="HF146" i="1"/>
  <c r="HF145" i="1"/>
  <c r="HF71" i="1"/>
  <c r="HF89" i="1"/>
  <c r="HF57" i="1"/>
  <c r="HF99" i="1"/>
  <c r="EU67" i="1"/>
  <c r="HC141" i="1"/>
  <c r="BS93" i="1"/>
  <c r="BS91" i="1"/>
  <c r="BS99" i="1"/>
  <c r="BS57" i="1"/>
  <c r="O10" i="1"/>
  <c r="T10" i="1" s="1"/>
  <c r="O76" i="1"/>
  <c r="O3" i="1"/>
  <c r="W3" i="1" s="1"/>
  <c r="O66" i="1"/>
  <c r="O61" i="1"/>
  <c r="S61" i="1" s="1"/>
  <c r="O30" i="1"/>
  <c r="O28" i="1"/>
  <c r="S28" i="1" s="1"/>
  <c r="Q57" i="1"/>
  <c r="Q89" i="1"/>
  <c r="Q77" i="1"/>
  <c r="U77" i="1" s="1"/>
  <c r="Q88" i="1"/>
  <c r="Q83" i="1"/>
  <c r="T83" i="1" s="1"/>
  <c r="P45" i="1"/>
  <c r="S45" i="1" s="1"/>
  <c r="P31" i="1"/>
  <c r="S31" i="1" s="1"/>
  <c r="P15" i="1"/>
  <c r="P16" i="1"/>
  <c r="S16" i="1" s="1"/>
  <c r="P10" i="1"/>
  <c r="R10" i="1" s="1"/>
  <c r="P27" i="1"/>
  <c r="P49" i="1"/>
  <c r="P67" i="1"/>
  <c r="S67" i="1" s="1"/>
  <c r="P52" i="1"/>
  <c r="S52" i="1" s="1"/>
  <c r="P26" i="1"/>
  <c r="S26" i="1" s="1"/>
  <c r="P73" i="1"/>
  <c r="P62" i="1"/>
  <c r="S62" i="1" s="1"/>
  <c r="P55" i="1"/>
  <c r="S55" i="1" s="1"/>
  <c r="P75" i="1"/>
  <c r="S75" i="1" s="1"/>
  <c r="P85" i="1"/>
  <c r="S85" i="1" s="1"/>
  <c r="AU106" i="1"/>
  <c r="BW99" i="1"/>
  <c r="BW71" i="1"/>
  <c r="BW89" i="1"/>
  <c r="BY86" i="1"/>
  <c r="BZ86" i="1" s="1"/>
  <c r="BY2" i="1"/>
  <c r="BZ2" i="1" s="1"/>
  <c r="BY4" i="1"/>
  <c r="BZ4" i="1" s="1"/>
  <c r="BS108" i="1"/>
  <c r="BS73" i="1"/>
  <c r="BS105" i="1"/>
  <c r="BS34" i="1"/>
  <c r="BS30" i="1"/>
  <c r="BS28" i="1"/>
  <c r="BS21" i="1"/>
  <c r="BS17" i="1"/>
  <c r="BS92" i="1"/>
  <c r="BS11" i="1"/>
  <c r="DC75" i="1"/>
  <c r="U101" i="1"/>
  <c r="T101" i="1"/>
  <c r="S101" i="1"/>
  <c r="DT86" i="1"/>
  <c r="DU86" i="1" s="1"/>
  <c r="DW73" i="1"/>
  <c r="DX73" i="1" s="1"/>
  <c r="DW57" i="1"/>
  <c r="DX57" i="1" s="1"/>
  <c r="DW11" i="1"/>
  <c r="DX11" i="1" s="1"/>
  <c r="DW21" i="1"/>
  <c r="DX21" i="1" s="1"/>
  <c r="DW108" i="1"/>
  <c r="DX108" i="1" s="1"/>
  <c r="DW92" i="1"/>
  <c r="DX92" i="1" s="1"/>
  <c r="DW17" i="1"/>
  <c r="DX17" i="1" s="1"/>
  <c r="DW34" i="1"/>
  <c r="DX34" i="1" s="1"/>
  <c r="DW12" i="1"/>
  <c r="DX12" i="1" s="1"/>
  <c r="DW14" i="1"/>
  <c r="DX14" i="1" s="1"/>
  <c r="DW19" i="1"/>
  <c r="DX19" i="1" s="1"/>
  <c r="DW86" i="1"/>
  <c r="DX86" i="1" s="1"/>
  <c r="DW48" i="1"/>
  <c r="DX48" i="1" s="1"/>
  <c r="HF88" i="1"/>
  <c r="HF73" i="1"/>
  <c r="HF82" i="1"/>
  <c r="HF11" i="1"/>
  <c r="HF70" i="1"/>
  <c r="HF80" i="1"/>
  <c r="HF16" i="1"/>
  <c r="HF79" i="1"/>
  <c r="HF78" i="1"/>
  <c r="U92" i="1"/>
  <c r="T92" i="1"/>
  <c r="S92" i="1"/>
  <c r="S145" i="1"/>
  <c r="S105" i="1"/>
  <c r="S34" i="1"/>
  <c r="S108" i="1"/>
  <c r="S17" i="1"/>
  <c r="GK105" i="1"/>
  <c r="DG67" i="1"/>
  <c r="DI67" i="1" s="1"/>
  <c r="DF67" i="1"/>
  <c r="CT67" i="1"/>
  <c r="CV67" i="1" s="1"/>
  <c r="CO67" i="1"/>
  <c r="CQ67" i="1" s="1"/>
  <c r="CL67" i="1"/>
  <c r="CN67" i="1" s="1"/>
  <c r="CK67" i="1"/>
  <c r="CF67" i="1"/>
  <c r="CH67" i="1" s="1"/>
  <c r="CC67" i="1"/>
  <c r="CE67" i="1" s="1"/>
  <c r="FK75" i="1"/>
  <c r="FK78" i="1"/>
  <c r="FK79" i="1"/>
  <c r="FK16" i="1"/>
  <c r="FK86" i="1"/>
  <c r="FK69" i="1"/>
  <c r="FK68" i="1"/>
  <c r="FK67" i="1"/>
  <c r="FK18" i="1"/>
  <c r="FK26" i="1"/>
  <c r="FK31" i="1"/>
  <c r="FK48" i="1"/>
  <c r="FK77" i="1"/>
  <c r="FK64" i="1"/>
  <c r="FK63" i="1"/>
  <c r="FK58" i="1"/>
  <c r="FK59" i="1"/>
  <c r="FK66" i="1"/>
  <c r="FK45" i="1"/>
  <c r="FK13" i="1"/>
  <c r="FK6" i="1"/>
  <c r="AM62" i="1"/>
  <c r="V67" i="1"/>
  <c r="GV66" i="1"/>
  <c r="Y68" i="1"/>
  <c r="AS45" i="1"/>
  <c r="AE31" i="1"/>
  <c r="AT79" i="1"/>
  <c r="O80" i="1"/>
  <c r="W80" i="1" s="1"/>
  <c r="GZ82" i="1"/>
  <c r="HB83" i="1"/>
  <c r="GW48" i="1"/>
  <c r="V87" i="1"/>
  <c r="AR88" i="1"/>
  <c r="GW86" i="1"/>
  <c r="GW89" i="1"/>
  <c r="V21" i="1"/>
  <c r="GW12" i="1"/>
  <c r="GI14" i="1"/>
  <c r="W2" i="1"/>
  <c r="GW94" i="1"/>
  <c r="AL17" i="1"/>
  <c r="GV117" i="1"/>
  <c r="GV97" i="1"/>
  <c r="AU28" i="1"/>
  <c r="GZ30" i="1"/>
  <c r="GI34" i="1"/>
  <c r="AL35" i="1"/>
  <c r="AR108" i="1"/>
  <c r="AE46" i="1"/>
  <c r="AL64" i="1"/>
  <c r="AE38" i="1"/>
  <c r="AL101" i="1"/>
  <c r="AM41" i="1"/>
  <c r="W42" i="1"/>
  <c r="HB44" i="1"/>
  <c r="AM7" i="1"/>
  <c r="AE3" i="1"/>
  <c r="AE69" i="1"/>
  <c r="R5" i="1"/>
  <c r="Y50" i="1"/>
  <c r="AT6" i="1"/>
  <c r="Y51" i="1"/>
  <c r="GV58" i="1"/>
  <c r="GZ13" i="1"/>
  <c r="V49" i="1"/>
  <c r="GZ52" i="1"/>
  <c r="GI60" i="1"/>
  <c r="R65" i="1"/>
  <c r="GV33" i="1"/>
  <c r="R92" i="1"/>
  <c r="GI92" i="1"/>
  <c r="AS92" i="1"/>
  <c r="AR92" i="1"/>
  <c r="AU92" i="1"/>
  <c r="AQ92" i="1"/>
  <c r="AT92" i="1"/>
  <c r="U105" i="1"/>
  <c r="U30" i="1"/>
  <c r="U28" i="1"/>
  <c r="U108" i="1"/>
  <c r="U17" i="1"/>
  <c r="T34" i="1"/>
  <c r="T105" i="1"/>
  <c r="T108" i="1"/>
  <c r="T17" i="1"/>
  <c r="FK70" i="1"/>
  <c r="EB7" i="1"/>
  <c r="ED7" i="1" s="1"/>
  <c r="EB38" i="1"/>
  <c r="ED38" i="1" s="1"/>
  <c r="EB64" i="1"/>
  <c r="EB47" i="1"/>
  <c r="ED47" i="1" s="1"/>
  <c r="EB53" i="1"/>
  <c r="EK53" i="1" s="1"/>
  <c r="EN53" i="1" s="1"/>
  <c r="EB69" i="1"/>
  <c r="EK69" i="1" s="1"/>
  <c r="EN69" i="1" s="1"/>
  <c r="EB42" i="1"/>
  <c r="EB86" i="1"/>
  <c r="ED86" i="1" s="1"/>
  <c r="EB82" i="1"/>
  <c r="ED82" i="1" s="1"/>
  <c r="EB3" i="1"/>
  <c r="EK3" i="1" s="1"/>
  <c r="EN3" i="1" s="1"/>
  <c r="EB76" i="1"/>
  <c r="EB16" i="1"/>
  <c r="EB75" i="1"/>
  <c r="EK75" i="1" s="1"/>
  <c r="EN75" i="1" s="1"/>
  <c r="EB78" i="1"/>
  <c r="EK78" i="1" s="1"/>
  <c r="EN78" i="1" s="1"/>
  <c r="EB81" i="1"/>
  <c r="EB77" i="1"/>
  <c r="EB48" i="1"/>
  <c r="ED48" i="1" s="1"/>
  <c r="EB80" i="1"/>
  <c r="ED80" i="1" s="1"/>
  <c r="EB79" i="1"/>
  <c r="EB85" i="1"/>
  <c r="EK85" i="1" s="1"/>
  <c r="EN85" i="1" s="1"/>
  <c r="EP85" i="1" s="1"/>
  <c r="EB31" i="1"/>
  <c r="ED31" i="1" s="1"/>
  <c r="EB45" i="1"/>
  <c r="ED45" i="1" s="1"/>
  <c r="EB74" i="1"/>
  <c r="ED74" i="1" s="1"/>
  <c r="EB68" i="1"/>
  <c r="ED68" i="1" s="1"/>
  <c r="EB66" i="1"/>
  <c r="ED66" i="1" s="1"/>
  <c r="EB63" i="1"/>
  <c r="ED63" i="1" s="1"/>
  <c r="EB26" i="1"/>
  <c r="EB10" i="1"/>
  <c r="EK10" i="1" s="1"/>
  <c r="EN10" i="1" s="1"/>
  <c r="EB67" i="1"/>
  <c r="EK67" i="1" s="1"/>
  <c r="EN67" i="1" s="1"/>
  <c r="EB62" i="1"/>
  <c r="EK62" i="1" s="1"/>
  <c r="EN62" i="1" s="1"/>
  <c r="EP62" i="1" s="1"/>
  <c r="EB18" i="1"/>
  <c r="EB55" i="1"/>
  <c r="EB65" i="1"/>
  <c r="EB60" i="1"/>
  <c r="ED60" i="1" s="1"/>
  <c r="EB61" i="1"/>
  <c r="EB52" i="1"/>
  <c r="EB49" i="1"/>
  <c r="ED49" i="1" s="1"/>
  <c r="EB13" i="1"/>
  <c r="EK13" i="1" s="1"/>
  <c r="EN13" i="1" s="1"/>
  <c r="EB56" i="1"/>
  <c r="EB58" i="1"/>
  <c r="EB51" i="1"/>
  <c r="ED51" i="1" s="1"/>
  <c r="EB6" i="1"/>
  <c r="EK6" i="1" s="1"/>
  <c r="EN6" i="1" s="1"/>
  <c r="EB59" i="1"/>
  <c r="ED59" i="1" s="1"/>
  <c r="EB50" i="1"/>
  <c r="EB5" i="1"/>
  <c r="ED5" i="1" s="1"/>
  <c r="EB46" i="1"/>
  <c r="EK46" i="1" s="1"/>
  <c r="EN46" i="1" s="1"/>
  <c r="EP46" i="1" s="1"/>
  <c r="EB27" i="1"/>
  <c r="ED27" i="1" s="1"/>
  <c r="EB15" i="1"/>
  <c r="EI57" i="1"/>
  <c r="DC31" i="1"/>
  <c r="CE50" i="1"/>
  <c r="DW4" i="1"/>
  <c r="DX4" i="1" s="1"/>
  <c r="CU102" i="1"/>
  <c r="CV102" i="1" s="1"/>
  <c r="CU54" i="1"/>
  <c r="CV54" i="1" s="1"/>
  <c r="CU103" i="1"/>
  <c r="CV103" i="1" s="1"/>
  <c r="CU72" i="1"/>
  <c r="CV72" i="1" s="1"/>
  <c r="CP102" i="1"/>
  <c r="CQ102" i="1" s="1"/>
  <c r="CP54" i="1"/>
  <c r="CQ54" i="1" s="1"/>
  <c r="CP103" i="1"/>
  <c r="CQ103" i="1" s="1"/>
  <c r="CP72" i="1"/>
  <c r="CQ72" i="1" s="1"/>
  <c r="CM102" i="1"/>
  <c r="CN102" i="1" s="1"/>
  <c r="CM54" i="1"/>
  <c r="CN54" i="1" s="1"/>
  <c r="CM103" i="1"/>
  <c r="CN103" i="1" s="1"/>
  <c r="CM72" i="1"/>
  <c r="CN72" i="1" s="1"/>
  <c r="CJ102" i="1"/>
  <c r="CK102" i="1" s="1"/>
  <c r="CJ54" i="1"/>
  <c r="CK54" i="1" s="1"/>
  <c r="CJ103" i="1"/>
  <c r="CK103" i="1" s="1"/>
  <c r="CJ72" i="1"/>
  <c r="CK72" i="1" s="1"/>
  <c r="CG102" i="1"/>
  <c r="CH102" i="1" s="1"/>
  <c r="CG54" i="1"/>
  <c r="CH54" i="1" s="1"/>
  <c r="CG103" i="1"/>
  <c r="CH103" i="1" s="1"/>
  <c r="CG72" i="1"/>
  <c r="CH72" i="1" s="1"/>
  <c r="DW2" i="1"/>
  <c r="DX2" i="1" s="1"/>
  <c r="DW44" i="1"/>
  <c r="DX44" i="1" s="1"/>
  <c r="DH57" i="1"/>
  <c r="EF57" i="1" s="1"/>
  <c r="FD97" i="1"/>
  <c r="CU57" i="1"/>
  <c r="CV57" i="1" s="1"/>
  <c r="CU97" i="1"/>
  <c r="CV97" i="1" s="1"/>
  <c r="CU94" i="1"/>
  <c r="CV94" i="1" s="1"/>
  <c r="CU93" i="1"/>
  <c r="CV93" i="1" s="1"/>
  <c r="CU91" i="1"/>
  <c r="CV91" i="1" s="1"/>
  <c r="CU84" i="1"/>
  <c r="CV84" i="1" s="1"/>
  <c r="CU44" i="1"/>
  <c r="CV44" i="1" s="1"/>
  <c r="CP57" i="1"/>
  <c r="CQ57" i="1" s="1"/>
  <c r="CP94" i="1"/>
  <c r="CQ94" i="1" s="1"/>
  <c r="CP93" i="1"/>
  <c r="CQ93" i="1" s="1"/>
  <c r="CP84" i="1"/>
  <c r="CQ84" i="1" s="1"/>
  <c r="CP44" i="1"/>
  <c r="CQ44" i="1" s="1"/>
  <c r="CM94" i="1"/>
  <c r="CN94" i="1" s="1"/>
  <c r="CM93" i="1"/>
  <c r="CN93" i="1" s="1"/>
  <c r="CM84" i="1"/>
  <c r="CN84" i="1" s="1"/>
  <c r="CM44" i="1"/>
  <c r="CN44" i="1" s="1"/>
  <c r="CE93" i="1"/>
  <c r="CE71" i="1"/>
  <c r="CE91" i="1"/>
  <c r="CE84" i="1"/>
  <c r="DN85" i="1"/>
  <c r="DO85" i="1" s="1"/>
  <c r="DX16" i="1"/>
  <c r="DX81" i="1"/>
  <c r="DX78" i="1"/>
  <c r="DW79" i="1"/>
  <c r="DX79" i="1" s="1"/>
  <c r="DU16" i="1"/>
  <c r="DU81" i="1"/>
  <c r="DU78" i="1"/>
  <c r="DU79" i="1"/>
  <c r="DR16" i="1"/>
  <c r="DR81" i="1"/>
  <c r="DR78" i="1"/>
  <c r="DR79" i="1"/>
  <c r="DO16" i="1"/>
  <c r="DO81" i="1"/>
  <c r="DO78" i="1"/>
  <c r="DO77" i="1"/>
  <c r="DO82" i="1"/>
  <c r="DO79" i="1"/>
  <c r="DL81" i="1"/>
  <c r="DL82" i="1"/>
  <c r="DL56" i="1"/>
  <c r="DK3" i="1"/>
  <c r="DL3" i="1" s="1"/>
  <c r="DL13" i="1"/>
  <c r="DL62" i="1"/>
  <c r="DL76" i="1"/>
  <c r="DL58" i="1"/>
  <c r="DK6" i="1"/>
  <c r="DL6" i="1" s="1"/>
  <c r="DL79" i="1"/>
  <c r="DI79" i="1"/>
  <c r="DI81" i="1"/>
  <c r="DI82" i="1"/>
  <c r="DF82" i="1"/>
  <c r="DF79" i="1"/>
  <c r="DX45" i="1"/>
  <c r="DX31" i="1"/>
  <c r="DX15" i="1"/>
  <c r="DX10" i="1"/>
  <c r="DX38" i="1"/>
  <c r="DX7" i="1"/>
  <c r="DX27" i="1"/>
  <c r="DX64" i="1"/>
  <c r="DX63" i="1"/>
  <c r="DX60" i="1"/>
  <c r="DX49" i="1"/>
  <c r="DX47" i="1"/>
  <c r="DX46" i="1"/>
  <c r="DX53" i="1"/>
  <c r="DX52" i="1"/>
  <c r="DX26" i="1"/>
  <c r="DX6" i="1"/>
  <c r="DX58" i="1"/>
  <c r="DX76" i="1"/>
  <c r="DX62" i="1"/>
  <c r="DX13" i="1"/>
  <c r="DX3" i="1"/>
  <c r="DX56" i="1"/>
  <c r="DX42" i="1"/>
  <c r="DX55" i="1"/>
  <c r="DX66" i="1"/>
  <c r="DX61" i="1"/>
  <c r="DX82" i="1"/>
  <c r="DX51" i="1"/>
  <c r="DX75" i="1"/>
  <c r="DX65" i="1"/>
  <c r="DX85" i="1"/>
  <c r="DX5" i="1"/>
  <c r="DX41" i="1"/>
  <c r="DX18" i="1"/>
  <c r="DX59" i="1"/>
  <c r="DX69" i="1"/>
  <c r="DX68" i="1"/>
  <c r="DX50" i="1"/>
  <c r="DX80" i="1"/>
  <c r="DU45" i="1"/>
  <c r="DU31" i="1"/>
  <c r="DU48" i="1"/>
  <c r="DU15" i="1"/>
  <c r="DU10" i="1"/>
  <c r="DU38" i="1"/>
  <c r="DU7" i="1"/>
  <c r="DU27" i="1"/>
  <c r="DU64" i="1"/>
  <c r="DU63" i="1"/>
  <c r="DU60" i="1"/>
  <c r="DU49" i="1"/>
  <c r="DU47" i="1"/>
  <c r="DU46" i="1"/>
  <c r="DU53" i="1"/>
  <c r="DU52" i="1"/>
  <c r="DU26" i="1"/>
  <c r="DU6" i="1"/>
  <c r="DU58" i="1"/>
  <c r="DU76" i="1"/>
  <c r="DU62" i="1"/>
  <c r="DU13" i="1"/>
  <c r="DU3" i="1"/>
  <c r="DU56" i="1"/>
  <c r="DU42" i="1"/>
  <c r="DU55" i="1"/>
  <c r="DU66" i="1"/>
  <c r="DU61" i="1"/>
  <c r="DU82" i="1"/>
  <c r="DU51" i="1"/>
  <c r="DU75" i="1"/>
  <c r="DU65" i="1"/>
  <c r="DU85" i="1"/>
  <c r="DU5" i="1"/>
  <c r="DU41" i="1"/>
  <c r="DU18" i="1"/>
  <c r="DU59" i="1"/>
  <c r="DU69" i="1"/>
  <c r="DU68" i="1"/>
  <c r="DU50" i="1"/>
  <c r="DU80" i="1"/>
  <c r="DR45" i="1"/>
  <c r="DR31" i="1"/>
  <c r="DR48" i="1"/>
  <c r="DR15" i="1"/>
  <c r="DR10" i="1"/>
  <c r="DR38" i="1"/>
  <c r="DR7" i="1"/>
  <c r="DR27" i="1"/>
  <c r="DR64" i="1"/>
  <c r="DR63" i="1"/>
  <c r="DR60" i="1"/>
  <c r="DR49" i="1"/>
  <c r="DR47" i="1"/>
  <c r="DR46" i="1"/>
  <c r="DR53" i="1"/>
  <c r="DR52" i="1"/>
  <c r="DR26" i="1"/>
  <c r="DR6" i="1"/>
  <c r="DR58" i="1"/>
  <c r="DR76" i="1"/>
  <c r="DR62" i="1"/>
  <c r="DR13" i="1"/>
  <c r="DR3" i="1"/>
  <c r="DR56" i="1"/>
  <c r="DR42" i="1"/>
  <c r="DR55" i="1"/>
  <c r="DR66" i="1"/>
  <c r="DR61" i="1"/>
  <c r="DR82" i="1"/>
  <c r="DR51" i="1"/>
  <c r="DR75" i="1"/>
  <c r="DR65" i="1"/>
  <c r="DR85" i="1"/>
  <c r="DR5" i="1"/>
  <c r="DR41" i="1"/>
  <c r="DR18" i="1"/>
  <c r="DR59" i="1"/>
  <c r="DR69" i="1"/>
  <c r="DR68" i="1"/>
  <c r="DR50" i="1"/>
  <c r="DR80" i="1"/>
  <c r="DO45" i="1"/>
  <c r="DO31" i="1"/>
  <c r="DO48" i="1"/>
  <c r="DO15" i="1"/>
  <c r="DO10" i="1"/>
  <c r="DO38" i="1"/>
  <c r="DO7" i="1"/>
  <c r="DO27" i="1"/>
  <c r="DO64" i="1"/>
  <c r="DO63" i="1"/>
  <c r="DO60" i="1"/>
  <c r="DO49" i="1"/>
  <c r="DO47" i="1"/>
  <c r="DO46" i="1"/>
  <c r="DO53" i="1"/>
  <c r="DO52" i="1"/>
  <c r="DO26" i="1"/>
  <c r="DO6" i="1"/>
  <c r="DO58" i="1"/>
  <c r="DO76" i="1"/>
  <c r="DO62" i="1"/>
  <c r="DO13" i="1"/>
  <c r="DO3" i="1"/>
  <c r="DO56" i="1"/>
  <c r="DO86" i="1"/>
  <c r="DO42" i="1"/>
  <c r="DO55" i="1"/>
  <c r="DO66" i="1"/>
  <c r="DO61" i="1"/>
  <c r="DO51" i="1"/>
  <c r="DO75" i="1"/>
  <c r="DO65" i="1"/>
  <c r="DO5" i="1"/>
  <c r="DO41" i="1"/>
  <c r="DO18" i="1"/>
  <c r="DO59" i="1"/>
  <c r="DO69" i="1"/>
  <c r="DO68" i="1"/>
  <c r="DO50" i="1"/>
  <c r="DO80" i="1"/>
  <c r="DL45" i="1"/>
  <c r="DL31" i="1"/>
  <c r="DL48" i="1"/>
  <c r="DL15" i="1"/>
  <c r="DL16" i="1"/>
  <c r="DL10" i="1"/>
  <c r="DL38" i="1"/>
  <c r="DL7" i="1"/>
  <c r="DL27" i="1"/>
  <c r="DL64" i="1"/>
  <c r="DL63" i="1"/>
  <c r="DL60" i="1"/>
  <c r="DL49" i="1"/>
  <c r="DL47" i="1"/>
  <c r="DL46" i="1"/>
  <c r="DL53" i="1"/>
  <c r="DL52" i="1"/>
  <c r="DL78" i="1"/>
  <c r="DL77" i="1"/>
  <c r="DL86" i="1"/>
  <c r="DL42" i="1"/>
  <c r="DL55" i="1"/>
  <c r="DL66" i="1"/>
  <c r="DL61" i="1"/>
  <c r="DL51" i="1"/>
  <c r="DL75" i="1"/>
  <c r="DL65" i="1"/>
  <c r="DL85" i="1"/>
  <c r="DL5" i="1"/>
  <c r="DL41" i="1"/>
  <c r="DL18" i="1"/>
  <c r="DL59" i="1"/>
  <c r="DL69" i="1"/>
  <c r="DL68" i="1"/>
  <c r="DL50" i="1"/>
  <c r="DL80" i="1"/>
  <c r="DX74" i="1"/>
  <c r="DU74" i="1"/>
  <c r="DR74" i="1"/>
  <c r="DO74" i="1"/>
  <c r="DL74" i="1"/>
  <c r="DI80" i="1"/>
  <c r="DI50" i="1"/>
  <c r="DI68" i="1"/>
  <c r="DI69" i="1"/>
  <c r="DI59" i="1"/>
  <c r="DI18" i="1"/>
  <c r="DI41" i="1"/>
  <c r="DI5" i="1"/>
  <c r="DI85" i="1"/>
  <c r="DI65" i="1"/>
  <c r="DI75" i="1"/>
  <c r="DI51" i="1"/>
  <c r="DI61" i="1"/>
  <c r="DI66" i="1"/>
  <c r="DI55" i="1"/>
  <c r="DI42" i="1"/>
  <c r="DI86" i="1"/>
  <c r="DI77" i="1"/>
  <c r="DI56" i="1"/>
  <c r="DI3" i="1"/>
  <c r="DI13" i="1"/>
  <c r="DI62" i="1"/>
  <c r="DI76" i="1"/>
  <c r="DI58" i="1"/>
  <c r="DI6" i="1"/>
  <c r="DI26" i="1"/>
  <c r="DI78" i="1"/>
  <c r="DI52" i="1"/>
  <c r="DI53" i="1"/>
  <c r="DI46" i="1"/>
  <c r="DI47" i="1"/>
  <c r="DI49" i="1"/>
  <c r="DI60" i="1"/>
  <c r="DI63" i="1"/>
  <c r="DI64" i="1"/>
  <c r="DI2" i="1"/>
  <c r="DI27" i="1"/>
  <c r="DI7" i="1"/>
  <c r="DI38" i="1"/>
  <c r="DI10" i="1"/>
  <c r="DI16" i="1"/>
  <c r="DI15" i="1"/>
  <c r="DI48" i="1"/>
  <c r="DI31" i="1"/>
  <c r="DI45" i="1"/>
  <c r="DI74" i="1"/>
  <c r="CV50" i="1"/>
  <c r="CV68" i="1"/>
  <c r="CV69" i="1"/>
  <c r="CV59" i="1"/>
  <c r="CV71" i="1"/>
  <c r="CV18" i="1"/>
  <c r="CV41" i="1"/>
  <c r="CV5" i="1"/>
  <c r="CV85" i="1"/>
  <c r="CV65" i="1"/>
  <c r="CV51" i="1"/>
  <c r="CV61" i="1"/>
  <c r="CV66" i="1"/>
  <c r="CV55" i="1"/>
  <c r="CV42" i="1"/>
  <c r="CV86" i="1"/>
  <c r="CV56" i="1"/>
  <c r="CV3" i="1"/>
  <c r="CV13" i="1"/>
  <c r="CV62" i="1"/>
  <c r="CV58" i="1"/>
  <c r="CV6" i="1"/>
  <c r="CV26" i="1"/>
  <c r="CV52" i="1"/>
  <c r="CV53" i="1"/>
  <c r="CV46" i="1"/>
  <c r="CV47" i="1"/>
  <c r="CV49" i="1"/>
  <c r="CV60" i="1"/>
  <c r="CV63" i="1"/>
  <c r="CV64" i="1"/>
  <c r="CV70" i="1"/>
  <c r="CV27" i="1"/>
  <c r="CV7" i="1"/>
  <c r="CV38" i="1"/>
  <c r="CV10" i="1"/>
  <c r="CV15" i="1"/>
  <c r="CV48" i="1"/>
  <c r="CV45" i="1"/>
  <c r="CQ50" i="1"/>
  <c r="CQ68" i="1"/>
  <c r="CQ69" i="1"/>
  <c r="CQ59" i="1"/>
  <c r="CQ18" i="1"/>
  <c r="CQ41" i="1"/>
  <c r="CQ5" i="1"/>
  <c r="CQ65" i="1"/>
  <c r="CQ51" i="1"/>
  <c r="CQ61" i="1"/>
  <c r="CQ55" i="1"/>
  <c r="CQ42" i="1"/>
  <c r="CQ56" i="1"/>
  <c r="CQ3" i="1"/>
  <c r="CQ13" i="1"/>
  <c r="CQ62" i="1"/>
  <c r="CQ58" i="1"/>
  <c r="CQ6" i="1"/>
  <c r="CQ26" i="1"/>
  <c r="CQ52" i="1"/>
  <c r="CQ53" i="1"/>
  <c r="CQ46" i="1"/>
  <c r="CQ47" i="1"/>
  <c r="CQ49" i="1"/>
  <c r="CQ60" i="1"/>
  <c r="CQ63" i="1"/>
  <c r="CQ64" i="1"/>
  <c r="CQ27" i="1"/>
  <c r="CQ7" i="1"/>
  <c r="CQ38" i="1"/>
  <c r="CQ10" i="1"/>
  <c r="CQ15" i="1"/>
  <c r="CN50" i="1"/>
  <c r="CN68" i="1"/>
  <c r="CN69" i="1"/>
  <c r="CN59" i="1"/>
  <c r="CN18" i="1"/>
  <c r="CN41" i="1"/>
  <c r="CN5" i="1"/>
  <c r="CN65" i="1"/>
  <c r="CN51" i="1"/>
  <c r="CN61" i="1"/>
  <c r="CN66" i="1"/>
  <c r="CN55" i="1"/>
  <c r="CN42" i="1"/>
  <c r="CN56" i="1"/>
  <c r="CN3" i="1"/>
  <c r="CN13" i="1"/>
  <c r="CN62" i="1"/>
  <c r="CN58" i="1"/>
  <c r="CN6" i="1"/>
  <c r="CN26" i="1"/>
  <c r="CN52" i="1"/>
  <c r="CN53" i="1"/>
  <c r="CN46" i="1"/>
  <c r="CN47" i="1"/>
  <c r="CN49" i="1"/>
  <c r="CN60" i="1"/>
  <c r="CN63" i="1"/>
  <c r="CN64" i="1"/>
  <c r="CN27" i="1"/>
  <c r="CN7" i="1"/>
  <c r="CN38" i="1"/>
  <c r="CN10" i="1"/>
  <c r="CN15" i="1"/>
  <c r="CK50" i="1"/>
  <c r="CK59" i="1"/>
  <c r="CK18" i="1"/>
  <c r="CK41" i="1"/>
  <c r="CK5" i="1"/>
  <c r="CK51" i="1"/>
  <c r="CK55" i="1"/>
  <c r="CK42" i="1"/>
  <c r="CK56" i="1"/>
  <c r="CK3" i="1"/>
  <c r="CK13" i="1"/>
  <c r="CK62" i="1"/>
  <c r="CK58" i="1"/>
  <c r="CK6" i="1"/>
  <c r="CK26" i="1"/>
  <c r="CK52" i="1"/>
  <c r="CK53" i="1"/>
  <c r="CK46" i="1"/>
  <c r="CK47" i="1"/>
  <c r="CK49" i="1"/>
  <c r="CK63" i="1"/>
  <c r="CK27" i="1"/>
  <c r="CK7" i="1"/>
  <c r="CK38" i="1"/>
  <c r="CK15" i="1"/>
  <c r="CH50" i="1"/>
  <c r="CH68" i="1"/>
  <c r="CH69" i="1"/>
  <c r="CH59" i="1"/>
  <c r="CH18" i="1"/>
  <c r="CH41" i="1"/>
  <c r="CH5" i="1"/>
  <c r="CH65" i="1"/>
  <c r="CH51" i="1"/>
  <c r="CH61" i="1"/>
  <c r="CH66" i="1"/>
  <c r="CH55" i="1"/>
  <c r="CH42" i="1"/>
  <c r="CH56" i="1"/>
  <c r="CH3" i="1"/>
  <c r="CH13" i="1"/>
  <c r="CH62" i="1"/>
  <c r="CH58" i="1"/>
  <c r="CH6" i="1"/>
  <c r="CH26" i="1"/>
  <c r="CH52" i="1"/>
  <c r="CH53" i="1"/>
  <c r="CH46" i="1"/>
  <c r="CH47" i="1"/>
  <c r="CH49" i="1"/>
  <c r="CH60" i="1"/>
  <c r="CH63" i="1"/>
  <c r="CH64" i="1"/>
  <c r="CH57" i="1"/>
  <c r="CH27" i="1"/>
  <c r="CH7" i="1"/>
  <c r="CH38" i="1"/>
  <c r="CH10" i="1"/>
  <c r="CH15" i="1"/>
  <c r="CE94" i="1"/>
  <c r="CE41" i="1"/>
  <c r="CE51" i="1"/>
  <c r="CE97" i="1"/>
  <c r="CE42" i="1"/>
  <c r="CE56" i="1"/>
  <c r="CE3" i="1"/>
  <c r="CE52" i="1"/>
  <c r="CE46" i="1"/>
  <c r="CE47" i="1"/>
  <c r="CE49" i="1"/>
  <c r="CE27" i="1"/>
  <c r="CE7" i="1"/>
  <c r="CE38" i="1"/>
  <c r="CE15" i="1"/>
  <c r="DF80" i="1"/>
  <c r="DF50" i="1"/>
  <c r="DF68" i="1"/>
  <c r="DF69" i="1"/>
  <c r="DF59" i="1"/>
  <c r="DF18" i="1"/>
  <c r="DF41" i="1"/>
  <c r="DF5" i="1"/>
  <c r="DF85" i="1"/>
  <c r="DF65" i="1"/>
  <c r="DF75" i="1"/>
  <c r="DF51" i="1"/>
  <c r="DF61" i="1"/>
  <c r="DF66" i="1"/>
  <c r="DF55" i="1"/>
  <c r="DF42" i="1"/>
  <c r="DF86" i="1"/>
  <c r="DF77" i="1"/>
  <c r="DF56" i="1"/>
  <c r="DF3" i="1"/>
  <c r="DF13" i="1"/>
  <c r="DF62" i="1"/>
  <c r="DF76" i="1"/>
  <c r="DF58" i="1"/>
  <c r="DF6" i="1"/>
  <c r="DF26" i="1"/>
  <c r="DF78" i="1"/>
  <c r="DF52" i="1"/>
  <c r="DF53" i="1"/>
  <c r="DF46" i="1"/>
  <c r="DF47" i="1"/>
  <c r="DF81" i="1"/>
  <c r="DF49" i="1"/>
  <c r="DF60" i="1"/>
  <c r="DF63" i="1"/>
  <c r="DF64" i="1"/>
  <c r="DF2" i="1"/>
  <c r="DF27" i="1"/>
  <c r="DF7" i="1"/>
  <c r="DF38" i="1"/>
  <c r="DF10" i="1"/>
  <c r="DF16" i="1"/>
  <c r="DF15" i="1"/>
  <c r="DF48" i="1"/>
  <c r="DF31" i="1"/>
  <c r="DF45" i="1"/>
  <c r="DF74" i="1"/>
  <c r="DU77" i="1"/>
  <c r="DX77" i="1"/>
  <c r="DL26" i="1"/>
  <c r="DR77" i="1"/>
  <c r="AS62" i="1"/>
  <c r="CZ17" i="1"/>
  <c r="CZ28" i="1"/>
  <c r="CZ34" i="1"/>
  <c r="CZ21" i="1"/>
  <c r="CZ73" i="1"/>
  <c r="CZ4" i="1"/>
  <c r="CZ86" i="1"/>
  <c r="CZ44" i="1"/>
  <c r="CZ82" i="1"/>
  <c r="CZ2" i="1"/>
  <c r="CZ81" i="1"/>
  <c r="CZ76" i="1"/>
  <c r="CZ77" i="1"/>
  <c r="CZ80" i="1"/>
  <c r="CZ79" i="1"/>
  <c r="CZ85" i="1"/>
  <c r="CZ78" i="1"/>
  <c r="CZ75" i="1"/>
  <c r="CZ16" i="1"/>
  <c r="CZ48" i="1"/>
  <c r="CZ74" i="1"/>
  <c r="CZ45" i="1"/>
  <c r="CZ31" i="1"/>
  <c r="CZ66" i="1"/>
  <c r="CZ68" i="1"/>
  <c r="CZ69" i="1"/>
  <c r="CZ10" i="1"/>
  <c r="CZ61" i="1"/>
  <c r="CZ65" i="1"/>
  <c r="CZ60" i="1"/>
  <c r="CZ63" i="1"/>
  <c r="CZ64" i="1"/>
  <c r="CZ26" i="1"/>
  <c r="CZ62" i="1"/>
  <c r="CZ67" i="1"/>
  <c r="CZ18" i="1"/>
  <c r="CZ13" i="1"/>
  <c r="CZ6" i="1"/>
  <c r="CZ55" i="1"/>
  <c r="CZ5" i="1"/>
  <c r="CZ59" i="1"/>
  <c r="CZ58" i="1"/>
  <c r="CZ52" i="1"/>
  <c r="CZ53" i="1"/>
  <c r="CZ51" i="1"/>
  <c r="CZ56" i="1"/>
  <c r="CZ49" i="1"/>
  <c r="CZ3" i="1"/>
  <c r="CZ42" i="1"/>
  <c r="CZ46" i="1"/>
  <c r="CZ47" i="1"/>
  <c r="CZ27" i="1"/>
  <c r="CZ7" i="1"/>
  <c r="CZ38" i="1"/>
  <c r="CZ15" i="1"/>
  <c r="CZ41" i="1"/>
  <c r="GK108" i="1"/>
  <c r="GK30" i="1"/>
  <c r="GJ30" i="1" s="1"/>
  <c r="GB30" i="1" s="1"/>
  <c r="GK28" i="1"/>
  <c r="GK17" i="1"/>
  <c r="GJ17" i="1" s="1"/>
  <c r="GK92" i="1"/>
  <c r="GJ92" i="1" s="1"/>
  <c r="GB92" i="1" s="1"/>
  <c r="HC20" i="1"/>
  <c r="HC12" i="1"/>
  <c r="HC14" i="1"/>
  <c r="HC19" i="1"/>
  <c r="HC92" i="1"/>
  <c r="HC108" i="1"/>
  <c r="DC41" i="1"/>
  <c r="FK57" i="1"/>
  <c r="FK2" i="1"/>
  <c r="FK4" i="1"/>
  <c r="DC4" i="1"/>
  <c r="DC86" i="1"/>
  <c r="DC2" i="1"/>
  <c r="DC57" i="1"/>
  <c r="EN4" i="1"/>
  <c r="EP4" i="1" s="1"/>
  <c r="AX27" i="1"/>
  <c r="R108" i="1"/>
  <c r="W92" i="1"/>
  <c r="V92" i="1"/>
  <c r="GK82" i="1"/>
  <c r="GK86" i="1"/>
  <c r="GJ86" i="1" s="1"/>
  <c r="DC45" i="1"/>
  <c r="DC66" i="1"/>
  <c r="GK48" i="1"/>
  <c r="GJ48" i="1" s="1"/>
  <c r="GB48" i="1" s="1"/>
  <c r="HC48" i="1"/>
  <c r="DC79" i="1"/>
  <c r="DC48" i="1"/>
  <c r="U48" i="1"/>
  <c r="S48" i="1"/>
  <c r="T48" i="1"/>
  <c r="FK81" i="1"/>
  <c r="DC81" i="1"/>
  <c r="R105" i="1"/>
  <c r="U4" i="1"/>
  <c r="T4" i="1"/>
  <c r="S4" i="1"/>
  <c r="U2" i="1"/>
  <c r="T2" i="1"/>
  <c r="S2" i="1"/>
  <c r="U21" i="1"/>
  <c r="T21" i="1"/>
  <c r="S21" i="1"/>
  <c r="U71" i="1"/>
  <c r="T71" i="1"/>
  <c r="S71" i="1"/>
  <c r="U145" i="1"/>
  <c r="T145" i="1"/>
  <c r="U34" i="1"/>
  <c r="U99" i="1"/>
  <c r="T99" i="1"/>
  <c r="S99" i="1"/>
  <c r="S57" i="1"/>
  <c r="DC65" i="1"/>
  <c r="DC16" i="1"/>
  <c r="DC80" i="1"/>
  <c r="GK76" i="1"/>
  <c r="GK21" i="1"/>
  <c r="GK70" i="1"/>
  <c r="GJ70" i="1" s="1"/>
  <c r="GB70" i="1" s="1"/>
  <c r="GK34" i="1"/>
  <c r="GK71" i="1"/>
  <c r="GK57" i="1"/>
  <c r="GJ57" i="1" s="1"/>
  <c r="GB57" i="1" s="1"/>
  <c r="FK62" i="1"/>
  <c r="EI62" i="1"/>
  <c r="BY56" i="1"/>
  <c r="BY51" i="1"/>
  <c r="BY55" i="1"/>
  <c r="BY61" i="1"/>
  <c r="BY58" i="1"/>
  <c r="BY6" i="1"/>
  <c r="BY52" i="1"/>
  <c r="BY53" i="1"/>
  <c r="BY65" i="1"/>
  <c r="BY67" i="1"/>
  <c r="BY66" i="1"/>
  <c r="BY62" i="1"/>
  <c r="BZ62" i="1" s="1"/>
  <c r="BY74" i="1"/>
  <c r="BZ74" i="1" s="1"/>
  <c r="BY60" i="1"/>
  <c r="BY63" i="1"/>
  <c r="BY76" i="1"/>
  <c r="BY10" i="1"/>
  <c r="BY31" i="1"/>
  <c r="BZ31" i="1" s="1"/>
  <c r="BY68" i="1"/>
  <c r="BY79" i="1"/>
  <c r="BZ79" i="1" s="1"/>
  <c r="BY16" i="1"/>
  <c r="BZ16" i="1" s="1"/>
  <c r="BY87" i="1"/>
  <c r="BZ87" i="1" s="1"/>
  <c r="AC182" i="1"/>
  <c r="AU71" i="1"/>
  <c r="AT71" i="1"/>
  <c r="AS71" i="1"/>
  <c r="AR71" i="1"/>
  <c r="AQ71" i="1"/>
  <c r="U70" i="1"/>
  <c r="T70" i="1"/>
  <c r="S70" i="1"/>
  <c r="GK99" i="1"/>
  <c r="GK73" i="1"/>
  <c r="GJ73" i="1" s="1"/>
  <c r="GB73" i="1" s="1"/>
  <c r="AX73" i="1"/>
  <c r="U73" i="1"/>
  <c r="T73" i="1"/>
  <c r="GK88" i="1"/>
  <c r="GJ88" i="1" s="1"/>
  <c r="S88" i="1"/>
  <c r="R88" i="1"/>
  <c r="GK89" i="1"/>
  <c r="GJ89" i="1" s="1"/>
  <c r="GB89" i="1" s="1"/>
  <c r="S89" i="1"/>
  <c r="GK87" i="1"/>
  <c r="GJ87" i="1" s="1"/>
  <c r="GB87" i="1" s="1"/>
  <c r="U87" i="1"/>
  <c r="T87" i="1"/>
  <c r="S87" i="1"/>
  <c r="U86" i="1"/>
  <c r="T86" i="1"/>
  <c r="S86" i="1"/>
  <c r="GK11" i="1"/>
  <c r="GJ11" i="1" s="1"/>
  <c r="GB11" i="1" s="1"/>
  <c r="U11" i="1"/>
  <c r="T11" i="1"/>
  <c r="S11" i="1"/>
  <c r="GK16" i="1"/>
  <c r="GJ16" i="1" s="1"/>
  <c r="GB16" i="1" s="1"/>
  <c r="AX16" i="1"/>
  <c r="AG16" i="1"/>
  <c r="U16" i="1"/>
  <c r="T16" i="1"/>
  <c r="GK81" i="1"/>
  <c r="GJ81" i="1" s="1"/>
  <c r="GB81" i="1" s="1"/>
  <c r="U81" i="1"/>
  <c r="T81" i="1"/>
  <c r="S81" i="1"/>
  <c r="GK78" i="1"/>
  <c r="GJ78" i="1" s="1"/>
  <c r="GB78" i="1" s="1"/>
  <c r="U78" i="1"/>
  <c r="T78" i="1"/>
  <c r="S78" i="1"/>
  <c r="AX77" i="1"/>
  <c r="S77" i="1"/>
  <c r="U82" i="1"/>
  <c r="T82" i="1"/>
  <c r="S82" i="1"/>
  <c r="GK83" i="1"/>
  <c r="FK83" i="1"/>
  <c r="S83" i="1"/>
  <c r="R83" i="1"/>
  <c r="GK80" i="1"/>
  <c r="GK79" i="1"/>
  <c r="AS79" i="1"/>
  <c r="GK69" i="1"/>
  <c r="EO69" i="1"/>
  <c r="AX69" i="1"/>
  <c r="AU69" i="1"/>
  <c r="AT69" i="1"/>
  <c r="AS69" i="1"/>
  <c r="AR69" i="1"/>
  <c r="GK68" i="1"/>
  <c r="GJ68" i="1" s="1"/>
  <c r="GB68" i="1" s="1"/>
  <c r="EO68" i="1"/>
  <c r="AX68" i="1"/>
  <c r="AU68" i="1"/>
  <c r="AT68" i="1"/>
  <c r="V68" i="1"/>
  <c r="T68" i="1"/>
  <c r="S68" i="1"/>
  <c r="R68" i="1"/>
  <c r="GK31" i="1"/>
  <c r="AX31" i="1"/>
  <c r="U31" i="1"/>
  <c r="T31" i="1"/>
  <c r="GK10" i="1"/>
  <c r="FK10" i="1"/>
  <c r="EO10" i="1"/>
  <c r="U10" i="1"/>
  <c r="EO76" i="1"/>
  <c r="U76" i="1"/>
  <c r="R76" i="1"/>
  <c r="GK75" i="1"/>
  <c r="GJ75" i="1" s="1"/>
  <c r="AX75" i="1"/>
  <c r="X75" i="1"/>
  <c r="U75" i="1"/>
  <c r="T75" i="1"/>
  <c r="GK85" i="1"/>
  <c r="AX85" i="1"/>
  <c r="U85" i="1"/>
  <c r="T85" i="1"/>
  <c r="GK64" i="1"/>
  <c r="EO64" i="1"/>
  <c r="DC64" i="1"/>
  <c r="BS64" i="1"/>
  <c r="AX64" i="1"/>
  <c r="GK63" i="1"/>
  <c r="GJ63" i="1" s="1"/>
  <c r="GB63" i="1" s="1"/>
  <c r="EO63" i="1"/>
  <c r="DC63" i="1"/>
  <c r="BS63" i="1"/>
  <c r="AX63" i="1"/>
  <c r="T63" i="1"/>
  <c r="S63" i="1"/>
  <c r="GK60" i="1"/>
  <c r="EO60" i="1"/>
  <c r="DC60" i="1"/>
  <c r="BS60" i="1"/>
  <c r="AX60" i="1"/>
  <c r="U60" i="1"/>
  <c r="T60" i="1"/>
  <c r="S60" i="1"/>
  <c r="GK74" i="1"/>
  <c r="AX74" i="1"/>
  <c r="U74" i="1"/>
  <c r="T74" i="1"/>
  <c r="S74" i="1"/>
  <c r="GP45" i="1"/>
  <c r="GD45" i="1" s="1"/>
  <c r="GK45" i="1"/>
  <c r="GJ45" i="1" s="1"/>
  <c r="EO45" i="1"/>
  <c r="AX45" i="1"/>
  <c r="U45" i="1"/>
  <c r="T45" i="1"/>
  <c r="GK62" i="1"/>
  <c r="GJ62" i="1" s="1"/>
  <c r="GB62" i="1" s="1"/>
  <c r="DC62" i="1"/>
  <c r="BS62" i="1"/>
  <c r="AX62" i="1"/>
  <c r="U62" i="1"/>
  <c r="T62" i="1"/>
  <c r="GK26" i="1"/>
  <c r="GJ26" i="1" s="1"/>
  <c r="GB26" i="1" s="1"/>
  <c r="EO26" i="1"/>
  <c r="DC26" i="1"/>
  <c r="BS26" i="1"/>
  <c r="AX26" i="1"/>
  <c r="U26" i="1"/>
  <c r="T26" i="1"/>
  <c r="GK66" i="1"/>
  <c r="EO66" i="1"/>
  <c r="BS66" i="1"/>
  <c r="U66" i="1"/>
  <c r="R66" i="1"/>
  <c r="GK67" i="1"/>
  <c r="GJ67" i="1" s="1"/>
  <c r="GB67" i="1" s="1"/>
  <c r="EO67" i="1"/>
  <c r="DC67" i="1"/>
  <c r="BS67" i="1"/>
  <c r="AX67" i="1"/>
  <c r="U67" i="1"/>
  <c r="T67" i="1"/>
  <c r="GK18" i="1"/>
  <c r="GJ18" i="1" s="1"/>
  <c r="GB18" i="1" s="1"/>
  <c r="EO18" i="1"/>
  <c r="DC18" i="1"/>
  <c r="BS18" i="1"/>
  <c r="AX18" i="1"/>
  <c r="U18" i="1"/>
  <c r="T18" i="1"/>
  <c r="S18" i="1"/>
  <c r="GK59" i="1"/>
  <c r="GJ59" i="1" s="1"/>
  <c r="GB59" i="1" s="1"/>
  <c r="EO59" i="1"/>
  <c r="DC59" i="1"/>
  <c r="AX59" i="1"/>
  <c r="U59" i="1"/>
  <c r="T59" i="1"/>
  <c r="S59" i="1"/>
  <c r="GK65" i="1"/>
  <c r="EO65" i="1"/>
  <c r="AX65" i="1"/>
  <c r="U65" i="1"/>
  <c r="T65" i="1"/>
  <c r="S65" i="1"/>
  <c r="GK49" i="1"/>
  <c r="GJ49" i="1" s="1"/>
  <c r="GB49" i="1" s="1"/>
  <c r="FK49" i="1"/>
  <c r="EO49" i="1"/>
  <c r="DC49" i="1"/>
  <c r="AX49" i="1"/>
  <c r="U49" i="1"/>
  <c r="T49" i="1"/>
  <c r="GK53" i="1"/>
  <c r="FK53" i="1"/>
  <c r="EO53" i="1"/>
  <c r="DC53" i="1"/>
  <c r="GK52" i="1"/>
  <c r="FK52" i="1"/>
  <c r="EO52" i="1"/>
  <c r="DC52" i="1"/>
  <c r="AX52" i="1"/>
  <c r="T52" i="1"/>
  <c r="GK6" i="1"/>
  <c r="GJ6" i="1" s="1"/>
  <c r="GB6" i="1" s="1"/>
  <c r="EO6" i="1"/>
  <c r="DC6" i="1"/>
  <c r="AX6" i="1"/>
  <c r="U6" i="1"/>
  <c r="T6" i="1"/>
  <c r="S6" i="1"/>
  <c r="GK58" i="1"/>
  <c r="GJ58" i="1" s="1"/>
  <c r="GB58" i="1" s="1"/>
  <c r="EO58" i="1"/>
  <c r="DC58" i="1"/>
  <c r="AW58" i="1"/>
  <c r="AX58" i="1" s="1"/>
  <c r="U58" i="1"/>
  <c r="T58" i="1"/>
  <c r="S58" i="1"/>
  <c r="GK13" i="1"/>
  <c r="EO13" i="1"/>
  <c r="DC13" i="1"/>
  <c r="AX13" i="1"/>
  <c r="U13" i="1"/>
  <c r="T13" i="1"/>
  <c r="S13" i="1"/>
  <c r="GK61" i="1"/>
  <c r="FK61" i="1"/>
  <c r="EO61" i="1"/>
  <c r="DC61" i="1"/>
  <c r="BS61" i="1"/>
  <c r="U61" i="1"/>
  <c r="GK55" i="1"/>
  <c r="GJ55" i="1" s="1"/>
  <c r="GB55" i="1" s="1"/>
  <c r="EO55" i="1"/>
  <c r="DC55" i="1"/>
  <c r="AX55" i="1"/>
  <c r="U55" i="1"/>
  <c r="T55" i="1"/>
  <c r="GK51" i="1"/>
  <c r="FK51" i="1"/>
  <c r="EO51" i="1"/>
  <c r="DC51" i="1"/>
  <c r="AX51" i="1"/>
  <c r="U51" i="1"/>
  <c r="T51" i="1"/>
  <c r="S51" i="1"/>
  <c r="GK5" i="1"/>
  <c r="FK5" i="1"/>
  <c r="EO5" i="1"/>
  <c r="DC5" i="1"/>
  <c r="AX5" i="1"/>
  <c r="U5" i="1"/>
  <c r="T5" i="1"/>
  <c r="S5" i="1"/>
  <c r="GK56" i="1"/>
  <c r="FK56" i="1"/>
  <c r="EO56" i="1"/>
  <c r="DC56" i="1"/>
  <c r="AX56" i="1"/>
  <c r="AV56" i="1"/>
  <c r="U56" i="1"/>
  <c r="T56" i="1"/>
  <c r="S56" i="1"/>
  <c r="GK50" i="1"/>
  <c r="GJ50" i="1" s="1"/>
  <c r="GB50" i="1" s="1"/>
  <c r="EO50" i="1"/>
  <c r="DC50" i="1"/>
  <c r="AX50" i="1"/>
  <c r="U50" i="1"/>
  <c r="T50" i="1"/>
  <c r="S50" i="1"/>
  <c r="GK15" i="1"/>
  <c r="FK15" i="1"/>
  <c r="DC15" i="1"/>
  <c r="AX15" i="1"/>
  <c r="U15" i="1"/>
  <c r="T15" i="1"/>
  <c r="GK38" i="1"/>
  <c r="FK38" i="1"/>
  <c r="DC38" i="1"/>
  <c r="AX38" i="1"/>
  <c r="GK7" i="1"/>
  <c r="GJ7" i="1" s="1"/>
  <c r="GB7" i="1" s="1"/>
  <c r="FK7" i="1"/>
  <c r="DC7" i="1"/>
  <c r="AX7" i="1"/>
  <c r="T7" i="1"/>
  <c r="S7" i="1"/>
  <c r="GK27" i="1"/>
  <c r="FK27" i="1"/>
  <c r="DC27" i="1"/>
  <c r="U27" i="1"/>
  <c r="T27" i="1"/>
  <c r="GK47" i="1"/>
  <c r="GJ47" i="1" s="1"/>
  <c r="GB47" i="1" s="1"/>
  <c r="FK47" i="1"/>
  <c r="DC47" i="1"/>
  <c r="AX47" i="1"/>
  <c r="AV47" i="1"/>
  <c r="U47" i="1"/>
  <c r="T47" i="1"/>
  <c r="S47" i="1"/>
  <c r="GK46" i="1"/>
  <c r="GJ46" i="1" s="1"/>
  <c r="GB46" i="1" s="1"/>
  <c r="FK46" i="1"/>
  <c r="DC46" i="1"/>
  <c r="GK3" i="1"/>
  <c r="GJ3" i="1" s="1"/>
  <c r="FK3" i="1"/>
  <c r="DC3" i="1"/>
  <c r="U3" i="1"/>
  <c r="GK42" i="1"/>
  <c r="GJ42" i="1" s="1"/>
  <c r="GB42" i="1" s="1"/>
  <c r="FK42" i="1"/>
  <c r="DC42" i="1"/>
  <c r="AX42" i="1"/>
  <c r="U42" i="1"/>
  <c r="T42" i="1"/>
  <c r="S42" i="1"/>
  <c r="GK41" i="1"/>
  <c r="GJ41" i="1" s="1"/>
  <c r="GB41" i="1" s="1"/>
  <c r="FK41" i="1"/>
  <c r="AX41" i="1"/>
  <c r="U41" i="1"/>
  <c r="T41" i="1"/>
  <c r="S41" i="1"/>
  <c r="DC69" i="1"/>
  <c r="U7" i="1"/>
  <c r="DC68" i="1"/>
  <c r="DC74" i="1"/>
  <c r="FK88" i="1"/>
  <c r="FK94" i="1"/>
  <c r="FK76" i="1"/>
  <c r="FK82" i="1"/>
  <c r="BY75" i="1"/>
  <c r="BZ75" i="1" s="1"/>
  <c r="FK85" i="1"/>
  <c r="FK44" i="1"/>
  <c r="FK91" i="1"/>
  <c r="FK87" i="1"/>
  <c r="FK84" i="1"/>
  <c r="FK93" i="1"/>
  <c r="FK97" i="1"/>
  <c r="DC10" i="1"/>
  <c r="U63" i="1"/>
  <c r="DC85" i="1"/>
  <c r="S66" i="1"/>
  <c r="T66" i="1"/>
  <c r="AX66" i="1"/>
  <c r="T3" i="1"/>
  <c r="DC44" i="1"/>
  <c r="DC76" i="1"/>
  <c r="HC57" i="1"/>
  <c r="DC77" i="1"/>
  <c r="DC82" i="1"/>
  <c r="DC78" i="1"/>
  <c r="U52" i="1"/>
  <c r="U68" i="1"/>
  <c r="HF86" i="1"/>
  <c r="HF75" i="1"/>
  <c r="HL73" i="1"/>
  <c r="HL83" i="1"/>
  <c r="HL79" i="1"/>
  <c r="HL34" i="1"/>
  <c r="HL74" i="1"/>
  <c r="HL48" i="1"/>
  <c r="HL82" i="1"/>
  <c r="HL85" i="1"/>
  <c r="HL31" i="1"/>
  <c r="HL78" i="1"/>
  <c r="HL77" i="1"/>
  <c r="HN77" i="1" s="1"/>
  <c r="HL21" i="1"/>
  <c r="HL16" i="1"/>
  <c r="HL105" i="1"/>
  <c r="HL4" i="1"/>
  <c r="HL2" i="1"/>
  <c r="HL99" i="1"/>
  <c r="HL17" i="1"/>
  <c r="HL11" i="1"/>
  <c r="HL89" i="1"/>
  <c r="HL92" i="1"/>
  <c r="HL28" i="1"/>
  <c r="HL71" i="1"/>
  <c r="HL70" i="1"/>
  <c r="HL76" i="1"/>
  <c r="HL81" i="1"/>
  <c r="HL75" i="1"/>
  <c r="P25" i="1"/>
  <c r="R25" i="1" s="1"/>
  <c r="O25" i="1"/>
  <c r="R22" i="1"/>
  <c r="AE130" i="1"/>
  <c r="Y130" i="1"/>
  <c r="O23" i="1"/>
  <c r="S23" i="1" s="1"/>
  <c r="T28" i="1"/>
  <c r="HB86" i="1"/>
  <c r="GZ39" i="1"/>
  <c r="GW39" i="1"/>
  <c r="HB39" i="1"/>
  <c r="GV39" i="1"/>
  <c r="HB43" i="1"/>
  <c r="GZ43" i="1"/>
  <c r="GW43" i="1"/>
  <c r="GI43" i="1"/>
  <c r="GZ36" i="1"/>
  <c r="GV36" i="1"/>
  <c r="GZ23" i="1"/>
  <c r="V117" i="1"/>
  <c r="HB117" i="1"/>
  <c r="GW117" i="1"/>
  <c r="GZ117" i="1"/>
  <c r="HB25" i="1"/>
  <c r="GV25" i="1"/>
  <c r="GI25" i="1"/>
  <c r="GZ25" i="1"/>
  <c r="GW25" i="1"/>
  <c r="HB37" i="1"/>
  <c r="GZ37" i="1"/>
  <c r="GI37" i="1"/>
  <c r="GW37" i="1"/>
  <c r="AR86" i="1"/>
  <c r="AU78" i="1"/>
  <c r="AD182" i="1"/>
  <c r="AM60" i="1"/>
  <c r="AT27" i="1"/>
  <c r="V62" i="1"/>
  <c r="R74" i="1"/>
  <c r="AS86" i="1"/>
  <c r="V66" i="1"/>
  <c r="R78" i="1"/>
  <c r="V48" i="1"/>
  <c r="AT73" i="1"/>
  <c r="T143" i="1"/>
  <c r="T137" i="1"/>
  <c r="W86" i="1"/>
  <c r="R86" i="1"/>
  <c r="AT74" i="1"/>
  <c r="V78" i="1"/>
  <c r="AT86" i="1"/>
  <c r="GV86" i="1"/>
  <c r="W48" i="1"/>
  <c r="V86" i="1"/>
  <c r="AQ86" i="1"/>
  <c r="W66" i="1"/>
  <c r="AS78" i="1"/>
  <c r="AM74" i="1"/>
  <c r="R48" i="1"/>
  <c r="AM42" i="1"/>
  <c r="AM26" i="1"/>
  <c r="GZ26" i="1"/>
  <c r="AU51" i="1"/>
  <c r="AM5" i="1"/>
  <c r="AL107" i="1"/>
  <c r="AM107" i="1"/>
  <c r="GI118" i="1"/>
  <c r="AM118" i="1"/>
  <c r="AL118" i="1"/>
  <c r="AL127" i="1"/>
  <c r="AM127" i="1"/>
  <c r="AL43" i="1"/>
  <c r="AM43" i="1"/>
  <c r="Y124" i="1"/>
  <c r="W127" i="1"/>
  <c r="Y127" i="1"/>
  <c r="V127" i="1"/>
  <c r="W52" i="1"/>
  <c r="R28" i="1"/>
  <c r="AL36" i="1"/>
  <c r="R36" i="1"/>
  <c r="V36" i="1"/>
  <c r="Y36" i="1"/>
  <c r="V110" i="1"/>
  <c r="Y110" i="1"/>
  <c r="W110" i="1"/>
  <c r="R110" i="1"/>
  <c r="W58" i="1"/>
  <c r="AM65" i="1"/>
  <c r="AM58" i="1"/>
  <c r="Y111" i="1"/>
  <c r="W111" i="1"/>
  <c r="R111" i="1"/>
  <c r="V111" i="1"/>
  <c r="V50" i="1"/>
  <c r="AS73" i="1"/>
  <c r="W122" i="1"/>
  <c r="R122" i="1"/>
  <c r="V122" i="1"/>
  <c r="Y107" i="1"/>
  <c r="R107" i="1"/>
  <c r="W107" i="1"/>
  <c r="V107" i="1"/>
  <c r="V52" i="1"/>
  <c r="AM52" i="1"/>
  <c r="R50" i="1"/>
  <c r="AS50" i="1"/>
  <c r="V15" i="1"/>
  <c r="AT50" i="1"/>
  <c r="AM38" i="1"/>
  <c r="R3" i="1"/>
  <c r="AQ73" i="1"/>
  <c r="AQ50" i="1"/>
  <c r="V81" i="1"/>
  <c r="GZ58" i="1"/>
  <c r="GZ3" i="1"/>
  <c r="V65" i="1"/>
  <c r="AU73" i="1"/>
  <c r="W65" i="1"/>
  <c r="GZ50" i="1"/>
  <c r="W50" i="1"/>
  <c r="AT81" i="1"/>
  <c r="V3" i="1"/>
  <c r="R58" i="1"/>
  <c r="AR50" i="1"/>
  <c r="AU50" i="1"/>
  <c r="AM3" i="1"/>
  <c r="V85" i="1"/>
  <c r="AM50" i="1"/>
  <c r="V58" i="1"/>
  <c r="V145" i="1"/>
  <c r="V45" i="1"/>
  <c r="Y93" i="1"/>
  <c r="GI12" i="1"/>
  <c r="GV150" i="1"/>
  <c r="AE91" i="1"/>
  <c r="AU61" i="1"/>
  <c r="AU45" i="1"/>
  <c r="AR45" i="1"/>
  <c r="AS6" i="1"/>
  <c r="AM13" i="1"/>
  <c r="AU6" i="1"/>
  <c r="V41" i="1"/>
  <c r="GI28" i="1"/>
  <c r="GN94" i="1"/>
  <c r="V28" i="1"/>
  <c r="AM144" i="1"/>
  <c r="V6" i="1"/>
  <c r="GZ69" i="1"/>
  <c r="AM6" i="1"/>
  <c r="AM61" i="1"/>
  <c r="GI44" i="1"/>
  <c r="GZ41" i="1"/>
  <c r="GI41" i="1"/>
  <c r="AR89" i="1"/>
  <c r="R41" i="1"/>
  <c r="W13" i="1"/>
  <c r="R6" i="1"/>
  <c r="W6" i="1"/>
  <c r="AR21" i="1"/>
  <c r="AM69" i="1"/>
  <c r="AT61" i="1"/>
  <c r="R61" i="1"/>
  <c r="W41" i="1"/>
  <c r="R13" i="1"/>
  <c r="V13" i="1"/>
  <c r="R30" i="1"/>
  <c r="W28" i="1"/>
  <c r="Y94" i="1"/>
  <c r="AS88" i="1"/>
  <c r="V5" i="1"/>
  <c r="AM77" i="1"/>
  <c r="W88" i="1"/>
  <c r="AM64" i="1"/>
  <c r="Y150" i="1"/>
  <c r="V26" i="1"/>
  <c r="AT51" i="1"/>
  <c r="GV31" i="1"/>
  <c r="AR51" i="1"/>
  <c r="W60" i="1"/>
  <c r="V60" i="1"/>
  <c r="GZ31" i="1"/>
  <c r="W77" i="1"/>
  <c r="W26" i="1"/>
  <c r="V2" i="1"/>
  <c r="GI97" i="1"/>
  <c r="GV64" i="1"/>
  <c r="HB152" i="1"/>
  <c r="AE137" i="1"/>
  <c r="W39" i="1"/>
  <c r="GN2" i="1"/>
  <c r="W150" i="1"/>
  <c r="GV34" i="1"/>
  <c r="V34" i="1"/>
  <c r="AT90" i="1"/>
  <c r="W154" i="1"/>
  <c r="GV95" i="1"/>
  <c r="GI23" i="1"/>
  <c r="GZ89" i="1"/>
  <c r="GV89" i="1"/>
  <c r="AT89" i="1"/>
  <c r="W89" i="1"/>
  <c r="AM89" i="1"/>
  <c r="GW87" i="1"/>
  <c r="R87" i="1"/>
  <c r="AS87" i="1"/>
  <c r="V82" i="1"/>
  <c r="AT82" i="1"/>
  <c r="R82" i="1"/>
  <c r="AS82" i="1"/>
  <c r="AR82" i="1"/>
  <c r="GW82" i="1"/>
  <c r="AL80" i="1"/>
  <c r="GZ80" i="1"/>
  <c r="AE45" i="1"/>
  <c r="W45" i="1"/>
  <c r="AQ45" i="1"/>
  <c r="HB68" i="1"/>
  <c r="AM68" i="1"/>
  <c r="GI67" i="1"/>
  <c r="GW67" i="1"/>
  <c r="AS67" i="1"/>
  <c r="AL141" i="1"/>
  <c r="GZ141" i="1"/>
  <c r="Y54" i="1"/>
  <c r="GI54" i="1"/>
  <c r="GI71" i="1"/>
  <c r="W71" i="1"/>
  <c r="GZ67" i="1"/>
  <c r="AE89" i="1"/>
  <c r="AS56" i="1"/>
  <c r="AQ59" i="1"/>
  <c r="AM53" i="1"/>
  <c r="R70" i="1"/>
  <c r="W68" i="1"/>
  <c r="AS89" i="1"/>
  <c r="AR80" i="1"/>
  <c r="AR87" i="1"/>
  <c r="AL111" i="1"/>
  <c r="GV111" i="1"/>
  <c r="AE111" i="1"/>
  <c r="GI94" i="1"/>
  <c r="W108" i="1"/>
  <c r="GI73" i="1"/>
  <c r="AT28" i="1"/>
  <c r="AE94" i="1"/>
  <c r="GW28" i="1"/>
  <c r="GV94" i="1"/>
  <c r="R90" i="1"/>
  <c r="R39" i="1"/>
  <c r="V108" i="1"/>
  <c r="GI52" i="1"/>
  <c r="AE58" i="1"/>
  <c r="HB28" i="1"/>
  <c r="AE28" i="1"/>
  <c r="GV90" i="1"/>
  <c r="GV154" i="1"/>
  <c r="W144" i="1"/>
  <c r="GI72" i="1"/>
  <c r="AE93" i="1"/>
  <c r="R95" i="1"/>
  <c r="AL29" i="1"/>
  <c r="GI93" i="1"/>
  <c r="GI69" i="1"/>
  <c r="GI68" i="1"/>
  <c r="GI82" i="1"/>
  <c r="AL87" i="1"/>
  <c r="AR95" i="1"/>
  <c r="AM29" i="1"/>
  <c r="GW80" i="1"/>
  <c r="GI50" i="1"/>
  <c r="GI87" i="1"/>
  <c r="GV50" i="1"/>
  <c r="AM94" i="1"/>
  <c r="Y95" i="1"/>
  <c r="AL95" i="1"/>
  <c r="V29" i="1"/>
  <c r="AE29" i="1"/>
  <c r="GI111" i="1"/>
  <c r="AM36" i="1"/>
  <c r="GV59" i="1"/>
  <c r="AM138" i="1"/>
  <c r="GV138" i="1"/>
  <c r="AL143" i="1"/>
  <c r="GW47" i="1"/>
  <c r="Y55" i="1"/>
  <c r="AE12" i="1"/>
  <c r="GV77" i="1"/>
  <c r="GW41" i="1"/>
  <c r="GW75" i="1"/>
  <c r="AM12" i="1"/>
  <c r="GZ60" i="1"/>
  <c r="AE60" i="1"/>
  <c r="GW141" i="1"/>
  <c r="AM155" i="1"/>
  <c r="GW27" i="1"/>
  <c r="GW15" i="1"/>
  <c r="Y60" i="1"/>
  <c r="AE55" i="1"/>
  <c r="Y52" i="1"/>
  <c r="Y58" i="1"/>
  <c r="GV30" i="1"/>
  <c r="HB50" i="1"/>
  <c r="HB60" i="1"/>
  <c r="AL108" i="1"/>
  <c r="HB108" i="1"/>
  <c r="GZ28" i="1"/>
  <c r="Y28" i="1"/>
  <c r="AL14" i="1"/>
  <c r="AL138" i="1"/>
  <c r="GV27" i="1"/>
  <c r="Y35" i="1"/>
  <c r="Y47" i="1"/>
  <c r="Y18" i="1"/>
  <c r="HB46" i="1"/>
  <c r="AE13" i="1"/>
  <c r="GW13" i="1"/>
  <c r="AM44" i="1"/>
  <c r="AE44" i="1"/>
  <c r="AL46" i="1"/>
  <c r="AE34" i="1"/>
  <c r="HB34" i="1"/>
  <c r="Y12" i="1"/>
  <c r="V141" i="1"/>
  <c r="Y138" i="1"/>
  <c r="GI138" i="1"/>
  <c r="AL150" i="1"/>
  <c r="AM150" i="1"/>
  <c r="HB150" i="1"/>
  <c r="V150" i="1"/>
  <c r="AE150" i="1"/>
  <c r="GZ150" i="1"/>
  <c r="R150" i="1"/>
  <c r="BE43" i="1"/>
  <c r="Y43" i="1"/>
  <c r="R147" i="1"/>
  <c r="R154" i="1"/>
  <c r="V118" i="1"/>
  <c r="GV124" i="1"/>
  <c r="BE124" i="1"/>
  <c r="W95" i="1"/>
  <c r="GZ95" i="1"/>
  <c r="AM130" i="1"/>
  <c r="AE39" i="1"/>
  <c r="GV53" i="1"/>
  <c r="GW44" i="1"/>
  <c r="Y44" i="1"/>
  <c r="HB41" i="1"/>
  <c r="GV69" i="1"/>
  <c r="HB56" i="1"/>
  <c r="AE56" i="1"/>
  <c r="GZ87" i="1"/>
  <c r="AM87" i="1"/>
  <c r="AL68" i="1"/>
  <c r="GV68" i="1"/>
  <c r="AE68" i="1"/>
  <c r="R138" i="1"/>
  <c r="GW138" i="1"/>
  <c r="AE138" i="1"/>
  <c r="GV74" i="1"/>
  <c r="AL74" i="1"/>
  <c r="GI106" i="1"/>
  <c r="GV106" i="1"/>
  <c r="AE41" i="1"/>
  <c r="Y64" i="1"/>
  <c r="Y41" i="1"/>
  <c r="GN97" i="1"/>
  <c r="AE97" i="1"/>
  <c r="GI2" i="1"/>
  <c r="V138" i="1"/>
  <c r="HB141" i="1"/>
  <c r="AL155" i="1"/>
  <c r="AE155" i="1"/>
  <c r="GZ155" i="1"/>
  <c r="R155" i="1"/>
  <c r="GZ44" i="1"/>
  <c r="GN44" i="1"/>
  <c r="HB64" i="1"/>
  <c r="GZ64" i="1"/>
  <c r="AE64" i="1"/>
  <c r="HB53" i="1"/>
  <c r="HB30" i="1"/>
  <c r="AQ30" i="1"/>
  <c r="HB138" i="1"/>
  <c r="W138" i="1"/>
  <c r="GI141" i="1"/>
  <c r="AE141" i="1"/>
  <c r="R141" i="1"/>
  <c r="HB106" i="1"/>
  <c r="GZ40" i="1"/>
  <c r="R40" i="1"/>
  <c r="GV54" i="1"/>
  <c r="AE54" i="1"/>
  <c r="GW54" i="1"/>
  <c r="GN54" i="1"/>
  <c r="HB71" i="1"/>
  <c r="AM71" i="1"/>
  <c r="Y71" i="1"/>
  <c r="HB104" i="1"/>
  <c r="W152" i="1"/>
  <c r="GZ154" i="1"/>
  <c r="AE152" i="1"/>
  <c r="Y143" i="1"/>
  <c r="R144" i="1"/>
  <c r="AL144" i="1"/>
  <c r="BE36" i="1"/>
  <c r="GZ111" i="1"/>
  <c r="AM111" i="1"/>
  <c r="W43" i="1"/>
  <c r="GI95" i="1"/>
  <c r="Y144" i="1"/>
  <c r="AL130" i="1"/>
  <c r="GI136" i="1"/>
  <c r="AM136" i="1"/>
  <c r="GZ4" i="1"/>
  <c r="AL4" i="1"/>
  <c r="GV4" i="1"/>
  <c r="GW17" i="1"/>
  <c r="GV17" i="1"/>
  <c r="AS17" i="1"/>
  <c r="W17" i="1"/>
  <c r="AR17" i="1"/>
  <c r="V17" i="1"/>
  <c r="GV32" i="1"/>
  <c r="GN32" i="1"/>
  <c r="AL32" i="1"/>
  <c r="AE32" i="1"/>
  <c r="Y32" i="1"/>
  <c r="GI32" i="1"/>
  <c r="HB32" i="1"/>
  <c r="AS96" i="1"/>
  <c r="GI96" i="1"/>
  <c r="AL49" i="1"/>
  <c r="GW49" i="1"/>
  <c r="Y49" i="1"/>
  <c r="HB49" i="1"/>
  <c r="AS51" i="1"/>
  <c r="HB51" i="1"/>
  <c r="W51" i="1"/>
  <c r="AQ51" i="1"/>
  <c r="GW51" i="1"/>
  <c r="W5" i="1"/>
  <c r="GV5" i="1"/>
  <c r="GZ7" i="1"/>
  <c r="GW7" i="1"/>
  <c r="R42" i="1"/>
  <c r="GZ42" i="1"/>
  <c r="GW139" i="1"/>
  <c r="Y139" i="1"/>
  <c r="R145" i="1"/>
  <c r="GW160" i="1"/>
  <c r="AL160" i="1"/>
  <c r="AE142" i="1"/>
  <c r="V142" i="1"/>
  <c r="GI51" i="1"/>
  <c r="HB17" i="1"/>
  <c r="AL7" i="1"/>
  <c r="AE20" i="1"/>
  <c r="GN20" i="1"/>
  <c r="Y20" i="1"/>
  <c r="GI20" i="1"/>
  <c r="Y21" i="1"/>
  <c r="GV21" i="1"/>
  <c r="R21" i="1"/>
  <c r="W21" i="1"/>
  <c r="AL88" i="1"/>
  <c r="Y88" i="1"/>
  <c r="AQ88" i="1"/>
  <c r="GW88" i="1"/>
  <c r="AE88" i="1"/>
  <c r="HB88" i="1"/>
  <c r="GI88" i="1"/>
  <c r="AU83" i="1"/>
  <c r="GZ83" i="1"/>
  <c r="W83" i="1"/>
  <c r="BE31" i="1"/>
  <c r="AL31" i="1"/>
  <c r="GW31" i="1"/>
  <c r="W31" i="1"/>
  <c r="HB31" i="1"/>
  <c r="AM31" i="1"/>
  <c r="V31" i="1"/>
  <c r="Y31" i="1"/>
  <c r="GI31" i="1"/>
  <c r="AL10" i="1"/>
  <c r="GZ10" i="1"/>
  <c r="AE10" i="1"/>
  <c r="Y10" i="1"/>
  <c r="GI10" i="1"/>
  <c r="BE10" i="1"/>
  <c r="HB10" i="1"/>
  <c r="AT66" i="1"/>
  <c r="HB66" i="1"/>
  <c r="GI66" i="1"/>
  <c r="AR66" i="1"/>
  <c r="GZ66" i="1"/>
  <c r="AM66" i="1"/>
  <c r="AS66" i="1"/>
  <c r="AE66" i="1"/>
  <c r="Y66" i="1"/>
  <c r="W62" i="1"/>
  <c r="AQ62" i="1"/>
  <c r="AE148" i="1"/>
  <c r="AL148" i="1"/>
  <c r="AM148" i="1"/>
  <c r="HB148" i="1"/>
  <c r="GZ148" i="1"/>
  <c r="V148" i="1"/>
  <c r="GV148" i="1"/>
  <c r="R148" i="1"/>
  <c r="AL65" i="1"/>
  <c r="GZ65" i="1"/>
  <c r="Y65" i="1"/>
  <c r="GW55" i="1"/>
  <c r="GV55" i="1"/>
  <c r="AL13" i="1"/>
  <c r="HB13" i="1"/>
  <c r="GI13" i="1"/>
  <c r="GZ6" i="1"/>
  <c r="GI6" i="1"/>
  <c r="AM80" i="1"/>
  <c r="W90" i="1"/>
  <c r="GW149" i="1"/>
  <c r="AE149" i="1"/>
  <c r="R149" i="1"/>
  <c r="GV149" i="1"/>
  <c r="R100" i="1"/>
  <c r="GV118" i="1"/>
  <c r="R118" i="1"/>
  <c r="AE118" i="1"/>
  <c r="GV80" i="1"/>
  <c r="GI65" i="1"/>
  <c r="Q80" i="1"/>
  <c r="AE65" i="1"/>
  <c r="AE82" i="1"/>
  <c r="HB80" i="1"/>
  <c r="AE80" i="1"/>
  <c r="HB59" i="1"/>
  <c r="AL59" i="1"/>
  <c r="AE59" i="1"/>
  <c r="GI59" i="1"/>
  <c r="HB27" i="1"/>
  <c r="Y27" i="1"/>
  <c r="GV101" i="1"/>
  <c r="W101" i="1"/>
  <c r="GZ33" i="1"/>
  <c r="AL33" i="1"/>
  <c r="GW30" i="1"/>
  <c r="AT30" i="1"/>
  <c r="GW97" i="1"/>
  <c r="AE73" i="1"/>
  <c r="GW73" i="1"/>
  <c r="GI86" i="1"/>
  <c r="AL86" i="1"/>
  <c r="AE86" i="1"/>
  <c r="AE78" i="1"/>
  <c r="HB78" i="1"/>
  <c r="HB26" i="1"/>
  <c r="Y26" i="1"/>
  <c r="BE90" i="1"/>
  <c r="GZ90" i="1"/>
  <c r="AE90" i="1"/>
  <c r="HB90" i="1"/>
  <c r="V90" i="1"/>
  <c r="AL90" i="1"/>
  <c r="AM90" i="1"/>
  <c r="Y90" i="1"/>
  <c r="BE98" i="1"/>
  <c r="GV98" i="1"/>
  <c r="AL98" i="1"/>
  <c r="AM98" i="1"/>
  <c r="GZ100" i="1"/>
  <c r="AS100" i="1"/>
  <c r="GV100" i="1"/>
  <c r="GV93" i="1"/>
  <c r="HB93" i="1"/>
  <c r="GW72" i="1"/>
  <c r="Y72" i="1"/>
  <c r="V30" i="1"/>
  <c r="GI80" i="1"/>
  <c r="GI55" i="1"/>
  <c r="GI26" i="1"/>
  <c r="AS30" i="1"/>
  <c r="P80" i="1"/>
  <c r="Y78" i="1"/>
  <c r="AE6" i="1"/>
  <c r="HB82" i="1"/>
  <c r="GZ27" i="1"/>
  <c r="HB6" i="1"/>
  <c r="GV73" i="1"/>
  <c r="GV65" i="1"/>
  <c r="AE2" i="1"/>
  <c r="AL82" i="1"/>
  <c r="AL73" i="1"/>
  <c r="HB33" i="1"/>
  <c r="BE38" i="1"/>
  <c r="GZ38" i="1"/>
  <c r="Y38" i="1"/>
  <c r="GW38" i="1"/>
  <c r="GZ108" i="1"/>
  <c r="AS108" i="1"/>
  <c r="R117" i="1"/>
  <c r="GN12" i="1"/>
  <c r="HB12" i="1"/>
  <c r="AL67" i="1"/>
  <c r="AE67" i="1"/>
  <c r="GI90" i="1"/>
  <c r="HB98" i="1"/>
  <c r="HB155" i="1"/>
  <c r="GW155" i="1"/>
  <c r="V155" i="1"/>
  <c r="AL146" i="1"/>
  <c r="GV146" i="1"/>
  <c r="V146" i="1"/>
  <c r="R146" i="1"/>
  <c r="AM146" i="1"/>
  <c r="GW146" i="1"/>
  <c r="HB118" i="1"/>
  <c r="GZ102" i="1"/>
  <c r="HB102" i="1"/>
  <c r="AE102" i="1"/>
  <c r="GI102" i="1"/>
  <c r="AM102" i="1"/>
  <c r="AL99" i="1"/>
  <c r="GV99" i="1"/>
  <c r="Y99" i="1"/>
  <c r="GI99" i="1"/>
  <c r="GZ99" i="1"/>
  <c r="AM99" i="1"/>
  <c r="HB99" i="1"/>
  <c r="AM134" i="1"/>
  <c r="AL134" i="1"/>
  <c r="GI134" i="1"/>
  <c r="GI137" i="1"/>
  <c r="AL137" i="1"/>
  <c r="AE25" i="1"/>
  <c r="AM23" i="1"/>
  <c r="V40" i="1"/>
  <c r="AL54" i="1"/>
  <c r="HB95" i="1"/>
  <c r="V95" i="1"/>
  <c r="BE95" i="1"/>
  <c r="GW23" i="1"/>
  <c r="AL23" i="1"/>
  <c r="AE23" i="1"/>
  <c r="Y39" i="1"/>
  <c r="V39" i="1"/>
  <c r="AM39" i="1"/>
  <c r="GV61" i="1"/>
  <c r="AL61" i="1"/>
  <c r="GZ61" i="1"/>
  <c r="GI61" i="1"/>
  <c r="HB5" i="1"/>
  <c r="GZ5" i="1"/>
  <c r="Y42" i="1"/>
  <c r="AL42" i="1"/>
  <c r="GV42" i="1"/>
  <c r="GW42" i="1"/>
  <c r="AE42" i="1"/>
  <c r="AL105" i="1"/>
  <c r="AE105" i="1"/>
  <c r="GW105" i="1"/>
  <c r="AU105" i="1"/>
  <c r="AE11" i="1"/>
  <c r="AL11" i="1"/>
  <c r="Y11" i="1"/>
  <c r="GZ11" i="1"/>
  <c r="AM11" i="1"/>
  <c r="GZ85" i="1"/>
  <c r="HB85" i="1"/>
  <c r="AL85" i="1"/>
  <c r="GV85" i="1"/>
  <c r="Y85" i="1"/>
  <c r="GI85" i="1"/>
  <c r="AL79" i="1"/>
  <c r="AM79" i="1"/>
  <c r="HB79" i="1"/>
  <c r="GZ79" i="1"/>
  <c r="AE79" i="1"/>
  <c r="GI79" i="1"/>
  <c r="AL45" i="1"/>
  <c r="GZ45" i="1"/>
  <c r="Y45" i="1"/>
  <c r="GI45" i="1"/>
  <c r="GV84" i="1"/>
  <c r="GZ84" i="1"/>
  <c r="AM84" i="1"/>
  <c r="GN84" i="1"/>
  <c r="HB63" i="1"/>
  <c r="GZ63" i="1"/>
  <c r="HB62" i="1"/>
  <c r="GI62" i="1"/>
  <c r="R140" i="1"/>
  <c r="BE37" i="1"/>
  <c r="AM37" i="1"/>
  <c r="W37" i="1"/>
  <c r="AL37" i="1"/>
  <c r="Y37" i="1"/>
  <c r="V37" i="1"/>
  <c r="AE37" i="1"/>
  <c r="R37" i="1"/>
  <c r="AT62" i="1"/>
  <c r="AR105" i="1"/>
  <c r="GI42" i="1"/>
  <c r="GV78" i="1"/>
  <c r="GI105" i="1"/>
  <c r="GV15" i="1"/>
  <c r="Q79" i="1"/>
  <c r="V79" i="1" s="1"/>
  <c r="AE85" i="1"/>
  <c r="Y14" i="1"/>
  <c r="Y105" i="1"/>
  <c r="Y6" i="1"/>
  <c r="HB105" i="1"/>
  <c r="HB61" i="1"/>
  <c r="GV63" i="1"/>
  <c r="AM105" i="1"/>
  <c r="GV49" i="1"/>
  <c r="GZ49" i="1"/>
  <c r="AE49" i="1"/>
  <c r="GW58" i="1"/>
  <c r="AL58" i="1"/>
  <c r="HB58" i="1"/>
  <c r="GI58" i="1"/>
  <c r="GZ35" i="1"/>
  <c r="GV35" i="1"/>
  <c r="GN35" i="1"/>
  <c r="AE35" i="1"/>
  <c r="GN19" i="1"/>
  <c r="GV19" i="1"/>
  <c r="AM19" i="1"/>
  <c r="HB19" i="1"/>
  <c r="AL19" i="1"/>
  <c r="GZ19" i="1"/>
  <c r="AE19" i="1"/>
  <c r="AM21" i="1"/>
  <c r="GW21" i="1"/>
  <c r="GI83" i="1"/>
  <c r="AE83" i="1"/>
  <c r="AE8" i="1"/>
  <c r="GV8" i="1"/>
  <c r="V8" i="1"/>
  <c r="GI8" i="1"/>
  <c r="AM8" i="1"/>
  <c r="Y8" i="1"/>
  <c r="GZ8" i="1"/>
  <c r="W8" i="1"/>
  <c r="AL8" i="1"/>
  <c r="R8" i="1"/>
  <c r="GW8" i="1"/>
  <c r="HB8" i="1"/>
  <c r="GI84" i="1"/>
  <c r="V105" i="1"/>
  <c r="AT105" i="1"/>
  <c r="GW78" i="1"/>
  <c r="O79" i="1"/>
  <c r="W79" i="1" s="1"/>
  <c r="Y62" i="1"/>
  <c r="Y61" i="1"/>
  <c r="Y84" i="1"/>
  <c r="AE63" i="1"/>
  <c r="Y5" i="1"/>
  <c r="GW56" i="1"/>
  <c r="GV105" i="1"/>
  <c r="GW61" i="1"/>
  <c r="HB42" i="1"/>
  <c r="GW62" i="1"/>
  <c r="AM85" i="1"/>
  <c r="GZ78" i="1"/>
  <c r="GW84" i="1"/>
  <c r="GV51" i="1"/>
  <c r="AL51" i="1"/>
  <c r="AE51" i="1"/>
  <c r="AL50" i="1"/>
  <c r="GW50" i="1"/>
  <c r="AE50" i="1"/>
  <c r="HB47" i="1"/>
  <c r="AL47" i="1"/>
  <c r="GI47" i="1"/>
  <c r="AL27" i="1"/>
  <c r="AE27" i="1"/>
  <c r="GN33" i="1"/>
  <c r="GW33" i="1"/>
  <c r="AE30" i="1"/>
  <c r="Y30" i="1"/>
  <c r="AL30" i="1"/>
  <c r="AM30" i="1"/>
  <c r="AR30" i="1"/>
  <c r="GI30" i="1"/>
  <c r="HB97" i="1"/>
  <c r="AL97" i="1"/>
  <c r="GZ97" i="1"/>
  <c r="AM97" i="1"/>
  <c r="Y97" i="1"/>
  <c r="AM2" i="1"/>
  <c r="GW2" i="1"/>
  <c r="Y2" i="1"/>
  <c r="AL2" i="1"/>
  <c r="GV2" i="1"/>
  <c r="GN14" i="1"/>
  <c r="BE70" i="1"/>
  <c r="AM70" i="1"/>
  <c r="AL89" i="1"/>
  <c r="Y89" i="1"/>
  <c r="GV87" i="1"/>
  <c r="HB87" i="1"/>
  <c r="GZ91" i="1"/>
  <c r="GW91" i="1"/>
  <c r="AM91" i="1"/>
  <c r="HB91" i="1"/>
  <c r="AL91" i="1"/>
  <c r="GN91" i="1"/>
  <c r="Y91" i="1"/>
  <c r="GV91" i="1"/>
  <c r="HB103" i="1"/>
  <c r="GW103" i="1"/>
  <c r="AM103" i="1"/>
  <c r="GN103" i="1"/>
  <c r="GV103" i="1"/>
  <c r="AL103" i="1"/>
  <c r="GI103" i="1"/>
  <c r="AU62" i="1"/>
  <c r="W105" i="1"/>
  <c r="AS105" i="1"/>
  <c r="GW79" i="1"/>
  <c r="GI78" i="1"/>
  <c r="P79" i="1"/>
  <c r="R79" i="1" s="1"/>
  <c r="AE62" i="1"/>
  <c r="Y56" i="1"/>
  <c r="AE61" i="1"/>
  <c r="AE84" i="1"/>
  <c r="AE5" i="1"/>
  <c r="GV56" i="1"/>
  <c r="GW5" i="1"/>
  <c r="GW85" i="1"/>
  <c r="GV62" i="1"/>
  <c r="AL84" i="1"/>
  <c r="GZ105" i="1"/>
  <c r="AL78" i="1"/>
  <c r="HB84" i="1"/>
  <c r="GW60" i="1"/>
  <c r="AL60" i="1"/>
  <c r="GV60" i="1"/>
  <c r="HB52" i="1"/>
  <c r="AL52" i="1"/>
  <c r="GV52" i="1"/>
  <c r="GW52" i="1"/>
  <c r="AE52" i="1"/>
  <c r="AL56" i="1"/>
  <c r="GW6" i="1"/>
  <c r="AL6" i="1"/>
  <c r="GV6" i="1"/>
  <c r="AL5" i="1"/>
  <c r="GI3" i="1"/>
  <c r="HB3" i="1"/>
  <c r="AL117" i="1"/>
  <c r="GZ86" i="1"/>
  <c r="AM86" i="1"/>
  <c r="Y86" i="1"/>
  <c r="GZ48" i="1"/>
  <c r="AL48" i="1"/>
  <c r="GV48" i="1"/>
  <c r="GI48" i="1"/>
  <c r="GZ103" i="1"/>
  <c r="GV96" i="1"/>
  <c r="P98" i="1"/>
  <c r="R98" i="1" s="1"/>
  <c r="AL69" i="1"/>
  <c r="HB69" i="1"/>
  <c r="AL41" i="1"/>
  <c r="GV41" i="1"/>
  <c r="GW4" i="1"/>
  <c r="GN4" i="1"/>
  <c r="GW20" i="1"/>
  <c r="GV20" i="1"/>
  <c r="GZ106" i="1"/>
  <c r="AT106" i="1"/>
  <c r="AR98" i="1"/>
  <c r="AE98" i="1"/>
  <c r="Q98" i="1"/>
  <c r="U98" i="1" s="1"/>
  <c r="GZ98" i="1"/>
  <c r="GW98" i="1"/>
  <c r="GI98" i="1"/>
  <c r="O98" i="1"/>
  <c r="Y98" i="1" s="1"/>
  <c r="AL151" i="1"/>
  <c r="AM151" i="1"/>
  <c r="GW151" i="1"/>
  <c r="AE151" i="1"/>
  <c r="GZ151" i="1"/>
  <c r="R151" i="1"/>
  <c r="W151" i="1"/>
  <c r="GI139" i="1"/>
  <c r="AE139" i="1"/>
  <c r="GZ139" i="1"/>
  <c r="W139" i="1"/>
  <c r="AM139" i="1"/>
  <c r="GV139" i="1"/>
  <c r="V139" i="1"/>
  <c r="AL139" i="1"/>
  <c r="HB139" i="1"/>
  <c r="R139" i="1"/>
  <c r="AE145" i="1"/>
  <c r="GZ145" i="1"/>
  <c r="Y145" i="1"/>
  <c r="AM145" i="1"/>
  <c r="GW145" i="1"/>
  <c r="AM160" i="1"/>
  <c r="HB160" i="1"/>
  <c r="Y160" i="1"/>
  <c r="AE160" i="1"/>
  <c r="V160" i="1"/>
  <c r="AL142" i="1"/>
  <c r="R142" i="1"/>
  <c r="GW142" i="1"/>
  <c r="GZ142" i="1"/>
  <c r="AL96" i="1"/>
  <c r="AE96" i="1"/>
  <c r="P96" i="1"/>
  <c r="R96" i="1" s="1"/>
  <c r="GZ96" i="1"/>
  <c r="GZ71" i="1"/>
  <c r="AL71" i="1"/>
  <c r="GW71" i="1"/>
  <c r="GV71" i="1"/>
  <c r="Y152" i="1"/>
  <c r="GV152" i="1"/>
  <c r="HB149" i="1"/>
  <c r="AM152" i="1"/>
  <c r="AM149" i="1"/>
  <c r="AL149" i="1"/>
  <c r="AL152" i="1"/>
  <c r="W40" i="1"/>
  <c r="GW40" i="1"/>
  <c r="AL40" i="1"/>
  <c r="BE40" i="1"/>
  <c r="GW99" i="1"/>
  <c r="AE99" i="1"/>
  <c r="GV102" i="1"/>
  <c r="GZ22" i="1"/>
  <c r="GW22" i="1"/>
  <c r="AM22" i="1"/>
  <c r="HB22" i="1"/>
  <c r="AL22" i="1"/>
  <c r="GI22" i="1"/>
  <c r="V104" i="1"/>
  <c r="AT104" i="1"/>
  <c r="V149" i="1"/>
  <c r="V147" i="1"/>
  <c r="W149" i="1"/>
  <c r="Y149" i="1"/>
  <c r="GZ147" i="1"/>
  <c r="AM147" i="1"/>
  <c r="R143" i="1"/>
  <c r="GW143" i="1"/>
  <c r="HB40" i="1"/>
  <c r="AE40" i="1"/>
  <c r="GN102" i="1"/>
  <c r="GN72" i="1"/>
  <c r="AL102" i="1"/>
  <c r="HB72" i="1"/>
  <c r="AM110" i="1"/>
  <c r="GI112" i="1"/>
  <c r="GI127" i="1"/>
  <c r="BE127" i="1"/>
  <c r="AL131" i="1"/>
  <c r="AM131" i="1"/>
  <c r="AL25" i="1"/>
  <c r="GW111" i="1"/>
  <c r="AE127" i="1"/>
  <c r="GW95" i="1"/>
  <c r="AM95" i="1"/>
  <c r="GI130" i="1"/>
  <c r="BE111" i="1"/>
  <c r="HB111" i="1"/>
  <c r="AE107" i="1"/>
  <c r="BE107" i="1"/>
  <c r="AM132" i="1"/>
  <c r="AT108" i="1"/>
  <c r="AT17" i="1"/>
  <c r="GI101" i="1"/>
  <c r="GV81" i="1"/>
  <c r="GI7" i="1"/>
  <c r="GI108" i="1"/>
  <c r="GI74" i="1"/>
  <c r="GI70" i="1"/>
  <c r="GI17" i="1"/>
  <c r="GW46" i="1"/>
  <c r="GV38" i="1"/>
  <c r="GI15" i="1"/>
  <c r="GI77" i="1"/>
  <c r="R101" i="1"/>
  <c r="GI11" i="1"/>
  <c r="AE70" i="1"/>
  <c r="AE75" i="1"/>
  <c r="AE14" i="1"/>
  <c r="Y15" i="1"/>
  <c r="Y74" i="1"/>
  <c r="Y48" i="1"/>
  <c r="Y46" i="1"/>
  <c r="Y83" i="1"/>
  <c r="AE7" i="1"/>
  <c r="AE26" i="1"/>
  <c r="Y4" i="1"/>
  <c r="Y108" i="1"/>
  <c r="AE77" i="1"/>
  <c r="GZ20" i="1"/>
  <c r="HB101" i="1"/>
  <c r="GV83" i="1"/>
  <c r="HB75" i="1"/>
  <c r="GW108" i="1"/>
  <c r="HB74" i="1"/>
  <c r="Y17" i="1"/>
  <c r="HB38" i="1"/>
  <c r="GW101" i="1"/>
  <c r="AE17" i="1"/>
  <c r="AM35" i="1"/>
  <c r="BE7" i="1"/>
  <c r="AM4" i="1"/>
  <c r="AL38" i="1"/>
  <c r="GZ21" i="1"/>
  <c r="AL75" i="1"/>
  <c r="AL70" i="1"/>
  <c r="GZ32" i="1"/>
  <c r="GW65" i="1"/>
  <c r="HB65" i="1"/>
  <c r="GV13" i="1"/>
  <c r="Y13" i="1"/>
  <c r="GW69" i="1"/>
  <c r="Y69" i="1"/>
  <c r="GZ34" i="1"/>
  <c r="AM34" i="1"/>
  <c r="AL34" i="1"/>
  <c r="AM28" i="1"/>
  <c r="AL28" i="1"/>
  <c r="GV28" i="1"/>
  <c r="GZ94" i="1"/>
  <c r="HB94" i="1"/>
  <c r="AL94" i="1"/>
  <c r="GZ73" i="1"/>
  <c r="AM73" i="1"/>
  <c r="HB73" i="1"/>
  <c r="GZ88" i="1"/>
  <c r="AM88" i="1"/>
  <c r="GV88" i="1"/>
  <c r="AM82" i="1"/>
  <c r="GV82" i="1"/>
  <c r="AU66" i="1"/>
  <c r="AL66" i="1"/>
  <c r="GW66" i="1"/>
  <c r="AQ108" i="1"/>
  <c r="AU108" i="1"/>
  <c r="AU17" i="1"/>
  <c r="GW81" i="1"/>
  <c r="GI21" i="1"/>
  <c r="GV46" i="1"/>
  <c r="GI38" i="1"/>
  <c r="GI4" i="1"/>
  <c r="V101" i="1"/>
  <c r="W117" i="1"/>
  <c r="Y81" i="1"/>
  <c r="AE15" i="1"/>
  <c r="AE74" i="1"/>
  <c r="AE48" i="1"/>
  <c r="Y117" i="1"/>
  <c r="AE4" i="1"/>
  <c r="HB21" i="1"/>
  <c r="GW77" i="1"/>
  <c r="HB18" i="1"/>
  <c r="GV75" i="1"/>
  <c r="HB7" i="1"/>
  <c r="GZ74" i="1"/>
  <c r="HB70" i="1"/>
  <c r="HB4" i="1"/>
  <c r="GZ15" i="1"/>
  <c r="AE21" i="1"/>
  <c r="AM17" i="1"/>
  <c r="AE81" i="1"/>
  <c r="AL21" i="1"/>
  <c r="GZ17" i="1"/>
  <c r="AL63" i="1"/>
  <c r="GW63" i="1"/>
  <c r="Y63" i="1"/>
  <c r="AL62" i="1"/>
  <c r="GZ62" i="1"/>
  <c r="Y140" i="1"/>
  <c r="AL3" i="1"/>
  <c r="GV3" i="1"/>
  <c r="BE15" i="1"/>
  <c r="HB15" i="1"/>
  <c r="AM101" i="1"/>
  <c r="GZ101" i="1"/>
  <c r="AE101" i="1"/>
  <c r="Y101" i="1"/>
  <c r="GI117" i="1"/>
  <c r="AS117" i="1"/>
  <c r="AM117" i="1"/>
  <c r="AE117" i="1"/>
  <c r="AM83" i="1"/>
  <c r="AL83" i="1"/>
  <c r="GW83" i="1"/>
  <c r="AM81" i="1"/>
  <c r="GZ81" i="1"/>
  <c r="HB81" i="1"/>
  <c r="AL26" i="1"/>
  <c r="GW26" i="1"/>
  <c r="HB140" i="1"/>
  <c r="GI140" i="1"/>
  <c r="AL140" i="1"/>
  <c r="GZ140" i="1"/>
  <c r="AE140" i="1"/>
  <c r="GV140" i="1"/>
  <c r="W140" i="1"/>
  <c r="GW140" i="1"/>
  <c r="GW3" i="1"/>
  <c r="AT117" i="1"/>
  <c r="BE101" i="1"/>
  <c r="AM108" i="1"/>
  <c r="AE108" i="1"/>
  <c r="GV108" i="1"/>
  <c r="HB35" i="1"/>
  <c r="GW35" i="1"/>
  <c r="GW32" i="1"/>
  <c r="AM32" i="1"/>
  <c r="AM20" i="1"/>
  <c r="AL20" i="1"/>
  <c r="HB20" i="1"/>
  <c r="GW14" i="1"/>
  <c r="AM14" i="1"/>
  <c r="GV14" i="1"/>
  <c r="HB14" i="1"/>
  <c r="GZ70" i="1"/>
  <c r="Y70" i="1"/>
  <c r="BE48" i="1"/>
  <c r="AM48" i="1"/>
  <c r="HB48" i="1"/>
  <c r="GZ77" i="1"/>
  <c r="HB77" i="1"/>
  <c r="Y77" i="1"/>
  <c r="AM140" i="1"/>
  <c r="R106" i="1"/>
  <c r="BE106" i="1"/>
  <c r="AE106" i="1"/>
  <c r="AM106" i="1"/>
  <c r="O106" i="1"/>
  <c r="S106" i="1" s="1"/>
  <c r="AL106" i="1"/>
  <c r="AS106" i="1"/>
  <c r="GW106" i="1"/>
  <c r="V106" i="1"/>
  <c r="GI104" i="1"/>
  <c r="GW104" i="1"/>
  <c r="AL104" i="1"/>
  <c r="AR104" i="1"/>
  <c r="W141" i="1"/>
  <c r="Y141" i="1"/>
  <c r="GV141" i="1"/>
  <c r="GZ138" i="1"/>
  <c r="AM141" i="1"/>
  <c r="O96" i="1"/>
  <c r="Y96" i="1" s="1"/>
  <c r="AM96" i="1"/>
  <c r="HB96" i="1"/>
  <c r="BE96" i="1"/>
  <c r="O104" i="1"/>
  <c r="T104" i="1" s="1"/>
  <c r="AM104" i="1"/>
  <c r="BE104" i="1"/>
  <c r="AS104" i="1"/>
  <c r="V154" i="1"/>
  <c r="W148" i="1"/>
  <c r="W147" i="1"/>
  <c r="Y147" i="1"/>
  <c r="Y151" i="1"/>
  <c r="HB151" i="1"/>
  <c r="GW148" i="1"/>
  <c r="HB147" i="1"/>
  <c r="HB154" i="1"/>
  <c r="W145" i="1"/>
  <c r="AL154" i="1"/>
  <c r="AL147" i="1"/>
  <c r="W100" i="1"/>
  <c r="AM100" i="1"/>
  <c r="BE100" i="1"/>
  <c r="AT100" i="1"/>
  <c r="V143" i="1"/>
  <c r="GZ143" i="1"/>
  <c r="AM143" i="1"/>
  <c r="Y40" i="1"/>
  <c r="GV40" i="1"/>
  <c r="W142" i="1"/>
  <c r="Y142" i="1"/>
  <c r="GV142" i="1"/>
  <c r="GV160" i="1"/>
  <c r="HB145" i="1"/>
  <c r="AM142" i="1"/>
  <c r="GI142" i="1"/>
  <c r="AL145" i="1"/>
  <c r="W118" i="1"/>
  <c r="GW118" i="1"/>
  <c r="BE118" i="1"/>
  <c r="AM54" i="1"/>
  <c r="AM93" i="1"/>
  <c r="GZ72" i="1"/>
  <c r="GZ93" i="1"/>
  <c r="HB54" i="1"/>
  <c r="GZ54" i="1"/>
  <c r="V100" i="1"/>
  <c r="Y100" i="1"/>
  <c r="GW100" i="1"/>
  <c r="AE100" i="1"/>
  <c r="AL72" i="1"/>
  <c r="GV72" i="1"/>
  <c r="GN93" i="1"/>
  <c r="Q96" i="1"/>
  <c r="V96" i="1" s="1"/>
  <c r="GW96" i="1"/>
  <c r="AT96" i="1"/>
  <c r="GW90" i="1"/>
  <c r="R104" i="1"/>
  <c r="GV104" i="1"/>
  <c r="GZ104" i="1"/>
  <c r="Y154" i="1"/>
  <c r="GW147" i="1"/>
  <c r="GW154" i="1"/>
  <c r="HB100" i="1"/>
  <c r="AR100" i="1"/>
  <c r="W160" i="1"/>
  <c r="R160" i="1"/>
  <c r="HB142" i="1"/>
  <c r="GZ160" i="1"/>
  <c r="GV145" i="1"/>
  <c r="Y118" i="1"/>
  <c r="AM72" i="1"/>
  <c r="W137" i="1"/>
  <c r="AM137" i="1"/>
  <c r="AE22" i="1"/>
  <c r="V144" i="1"/>
  <c r="AM153" i="1"/>
  <c r="AE153" i="1"/>
  <c r="Y137" i="1"/>
  <c r="V25" i="1"/>
  <c r="R137" i="1"/>
  <c r="AM25" i="1"/>
  <c r="AE36" i="1"/>
  <c r="V43" i="1"/>
  <c r="AE43" i="1"/>
  <c r="R43" i="1"/>
  <c r="GV110" i="1"/>
  <c r="GZ110" i="1"/>
  <c r="BE110" i="1"/>
  <c r="AL110" i="1"/>
  <c r="AE110" i="1"/>
  <c r="GI122" i="1"/>
  <c r="GI113" i="1"/>
  <c r="GI110" i="1"/>
  <c r="AL133" i="1"/>
  <c r="AM133" i="1"/>
  <c r="GI133" i="1"/>
  <c r="AL39" i="1"/>
  <c r="HB110" i="1"/>
  <c r="GW110" i="1"/>
  <c r="GI116" i="1"/>
  <c r="GV107" i="1"/>
  <c r="HB107" i="1"/>
  <c r="GI107" i="1"/>
  <c r="GW107" i="1"/>
  <c r="GZ107" i="1"/>
  <c r="FK54" i="1"/>
  <c r="FK105" i="1"/>
  <c r="GD166" i="1" l="1"/>
  <c r="GD170" i="1" s="1"/>
  <c r="GB88" i="1"/>
  <c r="GB45" i="1"/>
  <c r="GB75" i="1"/>
  <c r="GB86" i="1"/>
  <c r="GB3" i="1"/>
  <c r="IJ3" i="1" s="1"/>
  <c r="GB146" i="1"/>
  <c r="IJ146" i="1" s="1"/>
  <c r="GB2" i="1"/>
  <c r="GB98" i="1"/>
  <c r="GB4" i="1"/>
  <c r="GB106" i="1"/>
  <c r="GB145" i="1"/>
  <c r="IJ145" i="1" s="1"/>
  <c r="GB17" i="1"/>
  <c r="HH102" i="1"/>
  <c r="IJ102" i="1"/>
  <c r="HH12" i="1"/>
  <c r="IJ12" i="1"/>
  <c r="GR14" i="1"/>
  <c r="IJ14" i="1"/>
  <c r="AG165" i="1"/>
  <c r="CA16" i="1"/>
  <c r="BX16" i="1"/>
  <c r="CA74" i="1"/>
  <c r="BX74" i="1"/>
  <c r="CA75" i="1"/>
  <c r="BX75" i="1"/>
  <c r="CA79" i="1"/>
  <c r="BX79" i="1"/>
  <c r="CA62" i="1"/>
  <c r="BX62" i="1"/>
  <c r="CA46" i="1"/>
  <c r="BX46" i="1"/>
  <c r="CA4" i="1"/>
  <c r="BX4" i="1"/>
  <c r="CA27" i="1"/>
  <c r="BX27" i="1"/>
  <c r="CA87" i="1"/>
  <c r="BX87" i="1"/>
  <c r="CA31" i="1"/>
  <c r="BX31" i="1"/>
  <c r="CA2" i="1"/>
  <c r="BX2" i="1"/>
  <c r="CA85" i="1"/>
  <c r="BX85" i="1"/>
  <c r="CA86" i="1"/>
  <c r="BX86" i="1"/>
  <c r="S27" i="1"/>
  <c r="C8" i="26" a="1"/>
  <c r="C8" i="26" s="1"/>
  <c r="D9" i="26" a="1"/>
  <c r="D9" i="26" s="1"/>
  <c r="C7" i="26" a="1"/>
  <c r="C7" i="26" s="1"/>
  <c r="D8" i="26" a="1"/>
  <c r="D8" i="26" s="1"/>
  <c r="D7" i="26" a="1"/>
  <c r="D7" i="26" s="1"/>
  <c r="B9" i="26" a="1"/>
  <c r="B9" i="26" s="1"/>
  <c r="D5" i="26" a="1"/>
  <c r="D5" i="26" s="1"/>
  <c r="C6" i="26" a="1"/>
  <c r="C6" i="26" s="1"/>
  <c r="D6" i="26" a="1"/>
  <c r="D6" i="26" s="1"/>
  <c r="B8" i="26" a="1"/>
  <c r="B8" i="26" s="1"/>
  <c r="B6" i="26" a="1"/>
  <c r="B6" i="26" s="1"/>
  <c r="C5" i="26" a="1"/>
  <c r="C5" i="26" s="1"/>
  <c r="B7" i="26" a="1"/>
  <c r="B7" i="26" s="1"/>
  <c r="C9" i="26" a="1"/>
  <c r="C9" i="26" s="1"/>
  <c r="C20" i="26" a="1"/>
  <c r="C20" i="26" s="1"/>
  <c r="D17" i="26" a="1"/>
  <c r="D17" i="26" s="1"/>
  <c r="B15" i="26" a="1"/>
  <c r="B15" i="26" s="1"/>
  <c r="D19" i="26" a="1"/>
  <c r="D19" i="26" s="1"/>
  <c r="B17" i="26" a="1"/>
  <c r="B17" i="26" s="1"/>
  <c r="B20" i="26" a="1"/>
  <c r="B20" i="26" s="1"/>
  <c r="C17" i="26" a="1"/>
  <c r="C17" i="26" s="1"/>
  <c r="C19" i="26" a="1"/>
  <c r="C19" i="26" s="1"/>
  <c r="D16" i="26" a="1"/>
  <c r="D16" i="26" s="1"/>
  <c r="D21" i="26" a="1"/>
  <c r="D21" i="26" s="1"/>
  <c r="B19" i="26" a="1"/>
  <c r="B19" i="26" s="1"/>
  <c r="C16" i="26" a="1"/>
  <c r="C16" i="26" s="1"/>
  <c r="B18" i="26" a="1"/>
  <c r="B18" i="26" s="1"/>
  <c r="C21" i="26" a="1"/>
  <c r="C21" i="26" s="1"/>
  <c r="D18" i="26" a="1"/>
  <c r="D18" i="26" s="1"/>
  <c r="B16" i="26" a="1"/>
  <c r="B16" i="26" s="1"/>
  <c r="B21" i="26" a="1"/>
  <c r="B21" i="26" s="1"/>
  <c r="C18" i="26" a="1"/>
  <c r="C18" i="26" s="1"/>
  <c r="D15" i="26" a="1"/>
  <c r="D15" i="26" s="1"/>
  <c r="D20" i="26" a="1"/>
  <c r="D20" i="26" s="1"/>
  <c r="C15" i="26" a="1"/>
  <c r="C15" i="26" s="1"/>
  <c r="S15" i="1"/>
  <c r="BY130" i="1"/>
  <c r="BZ130" i="1" s="1"/>
  <c r="EN57" i="1"/>
  <c r="EP57" i="1" s="1"/>
  <c r="ES57" i="1"/>
  <c r="EP88" i="1"/>
  <c r="EP75" i="1"/>
  <c r="EP3" i="1"/>
  <c r="GW45" i="1"/>
  <c r="AX3" i="1"/>
  <c r="S3" i="1"/>
  <c r="HB45" i="1"/>
  <c r="Y3" i="1"/>
  <c r="EK37" i="1"/>
  <c r="EN37" i="1" s="1"/>
  <c r="EP37" i="1" s="1"/>
  <c r="DC37" i="1"/>
  <c r="BY37" i="1"/>
  <c r="BZ37" i="1" s="1"/>
  <c r="BY134" i="1"/>
  <c r="BZ134" i="1" s="1"/>
  <c r="HM133" i="1"/>
  <c r="HN133" i="1"/>
  <c r="HM131" i="1"/>
  <c r="HN131" i="1"/>
  <c r="HM139" i="1"/>
  <c r="HN139" i="1"/>
  <c r="HM141" i="1"/>
  <c r="HN141" i="1"/>
  <c r="HM132" i="1"/>
  <c r="HN132" i="1"/>
  <c r="HM142" i="1"/>
  <c r="HN142" i="1"/>
  <c r="BY131" i="1"/>
  <c r="BZ131" i="1" s="1"/>
  <c r="BY141" i="1"/>
  <c r="BZ141" i="1" s="1"/>
  <c r="HM134" i="1"/>
  <c r="HN134" i="1"/>
  <c r="BY133" i="1"/>
  <c r="BZ133" i="1" s="1"/>
  <c r="HM136" i="1"/>
  <c r="HN136" i="1"/>
  <c r="BY132" i="1"/>
  <c r="BZ132" i="1" s="1"/>
  <c r="HI145" i="1"/>
  <c r="HJ145" i="1" s="1"/>
  <c r="HK145" i="1" s="1"/>
  <c r="HH145" i="1"/>
  <c r="GE145" i="1"/>
  <c r="EY145" i="1"/>
  <c r="GF145" i="1"/>
  <c r="GC145" i="1"/>
  <c r="GR145" i="1"/>
  <c r="HM137" i="1"/>
  <c r="HN137" i="1"/>
  <c r="BY144" i="1"/>
  <c r="BZ144" i="1" s="1"/>
  <c r="BY137" i="1"/>
  <c r="BZ137" i="1" s="1"/>
  <c r="DC148" i="1"/>
  <c r="DC145" i="1"/>
  <c r="BY136" i="1"/>
  <c r="BZ136" i="1" s="1"/>
  <c r="BZ61" i="1"/>
  <c r="EC12" i="1"/>
  <c r="ED12" i="1" s="1"/>
  <c r="EK14" i="1"/>
  <c r="EC14" i="1"/>
  <c r="EE14" i="1" s="1"/>
  <c r="EC32" i="1"/>
  <c r="ED32" i="1" s="1"/>
  <c r="EC19" i="1"/>
  <c r="EL19" i="1" s="1"/>
  <c r="EC114" i="1"/>
  <c r="DC114" i="1" s="1"/>
  <c r="EC116" i="1"/>
  <c r="EL116" i="1" s="1"/>
  <c r="EC112" i="1"/>
  <c r="EL112" i="1" s="1"/>
  <c r="EK113" i="1"/>
  <c r="EC113" i="1"/>
  <c r="EI113" i="1" s="1"/>
  <c r="IJ134" i="1"/>
  <c r="GJ38" i="1"/>
  <c r="HM109" i="1"/>
  <c r="HM94" i="1"/>
  <c r="IJ92" i="1"/>
  <c r="HM104" i="1"/>
  <c r="HN61" i="1"/>
  <c r="HN18" i="1"/>
  <c r="HN52" i="1"/>
  <c r="HN46" i="1"/>
  <c r="IJ81" i="1"/>
  <c r="IJ73" i="1"/>
  <c r="HM118" i="1"/>
  <c r="IJ120" i="1"/>
  <c r="HN43" i="1"/>
  <c r="HM97" i="1"/>
  <c r="HM138" i="1"/>
  <c r="HM72" i="1"/>
  <c r="HM65" i="1"/>
  <c r="HM13" i="1"/>
  <c r="HM51" i="1"/>
  <c r="HN27" i="1"/>
  <c r="HM19" i="1"/>
  <c r="HM111" i="1"/>
  <c r="HM107" i="1"/>
  <c r="HN91" i="1"/>
  <c r="HN96" i="1"/>
  <c r="HC149" i="1"/>
  <c r="HN60" i="1"/>
  <c r="HN6" i="1"/>
  <c r="HN50" i="1"/>
  <c r="HM38" i="1"/>
  <c r="IJ77" i="1"/>
  <c r="IJ70" i="1"/>
  <c r="HM20" i="1"/>
  <c r="HM124" i="1"/>
  <c r="IJ142" i="1"/>
  <c r="HN24" i="1"/>
  <c r="IJ30" i="1"/>
  <c r="HN98" i="1"/>
  <c r="HN64" i="1"/>
  <c r="HN55" i="1"/>
  <c r="IJ55" i="1"/>
  <c r="HM7" i="1"/>
  <c r="IJ7" i="1"/>
  <c r="IJ87" i="1"/>
  <c r="HN32" i="1"/>
  <c r="HM125" i="1"/>
  <c r="IJ125" i="1"/>
  <c r="HM25" i="1"/>
  <c r="HN67" i="1"/>
  <c r="HN10" i="1"/>
  <c r="IJ48" i="1"/>
  <c r="HM103" i="1"/>
  <c r="HM106" i="1"/>
  <c r="HN63" i="1"/>
  <c r="IJ63" i="1"/>
  <c r="HN5" i="1"/>
  <c r="HN49" i="1"/>
  <c r="IJ49" i="1"/>
  <c r="HN15" i="1"/>
  <c r="IJ2" i="1"/>
  <c r="IJ78" i="1"/>
  <c r="HN33" i="1"/>
  <c r="HN36" i="1"/>
  <c r="IJ36" i="1"/>
  <c r="HM9" i="1"/>
  <c r="HM95" i="1"/>
  <c r="IJ47" i="1"/>
  <c r="HN23" i="1"/>
  <c r="IJ45" i="1"/>
  <c r="HM105" i="1"/>
  <c r="HM130" i="1"/>
  <c r="HN66" i="1"/>
  <c r="IJ62" i="1"/>
  <c r="IJ59" i="1"/>
  <c r="HM41" i="1"/>
  <c r="IJ41" i="1"/>
  <c r="HN88" i="1"/>
  <c r="IJ88" i="1"/>
  <c r="HM35" i="1"/>
  <c r="HN140" i="1"/>
  <c r="HM126" i="1"/>
  <c r="HM37" i="1"/>
  <c r="HN8" i="1"/>
  <c r="HN93" i="1"/>
  <c r="HN54" i="1"/>
  <c r="HN90" i="1"/>
  <c r="HN69" i="1"/>
  <c r="HN26" i="1"/>
  <c r="IJ26" i="1"/>
  <c r="HM58" i="1"/>
  <c r="IJ58" i="1"/>
  <c r="HN42" i="1"/>
  <c r="HN80" i="1"/>
  <c r="HN117" i="1"/>
  <c r="HM22" i="1"/>
  <c r="IJ137" i="1"/>
  <c r="IJ136" i="1"/>
  <c r="HM119" i="1"/>
  <c r="HN39" i="1"/>
  <c r="IJ39" i="1"/>
  <c r="GJ61" i="1"/>
  <c r="GJ31" i="1"/>
  <c r="GJ83" i="1"/>
  <c r="AD16" i="1"/>
  <c r="BE16" i="1" s="1"/>
  <c r="GN108" i="1"/>
  <c r="GJ108" i="1"/>
  <c r="AD57" i="1"/>
  <c r="GJ22" i="1"/>
  <c r="GN140" i="1"/>
  <c r="GJ140" i="1"/>
  <c r="GN110" i="1"/>
  <c r="GJ110" i="1"/>
  <c r="GB110" i="1" s="1"/>
  <c r="GN138" i="1"/>
  <c r="GJ138" i="1"/>
  <c r="GB138" i="1" s="1"/>
  <c r="GJ127" i="1"/>
  <c r="GJ119" i="1"/>
  <c r="GV45" i="1"/>
  <c r="GJ69" i="1"/>
  <c r="GN21" i="1"/>
  <c r="GJ21" i="1"/>
  <c r="GB21" i="1" s="1"/>
  <c r="GJ105" i="1"/>
  <c r="GJ23" i="1"/>
  <c r="GJ109" i="1"/>
  <c r="GB109" i="1" s="1"/>
  <c r="GN99" i="1"/>
  <c r="GJ99" i="1"/>
  <c r="GB99" i="1" s="1"/>
  <c r="GJ76" i="1"/>
  <c r="GB76" i="1" s="1"/>
  <c r="AD76" i="1"/>
  <c r="GN37" i="1"/>
  <c r="GJ37" i="1"/>
  <c r="GB37" i="1" s="1"/>
  <c r="GN139" i="1"/>
  <c r="GJ139" i="1"/>
  <c r="GN101" i="1"/>
  <c r="GJ101" i="1"/>
  <c r="GJ24" i="1"/>
  <c r="BZ50" i="1"/>
  <c r="GN141" i="1"/>
  <c r="GJ141" i="1"/>
  <c r="GN52" i="1"/>
  <c r="GJ52" i="1"/>
  <c r="GB52" i="1" s="1"/>
  <c r="GJ64" i="1"/>
  <c r="BZ60" i="1"/>
  <c r="GN27" i="1"/>
  <c r="GJ27" i="1"/>
  <c r="GB27" i="1" s="1"/>
  <c r="GN15" i="1"/>
  <c r="GJ15" i="1"/>
  <c r="GJ56" i="1"/>
  <c r="GJ5" i="1"/>
  <c r="GB5" i="1" s="1"/>
  <c r="GN51" i="1"/>
  <c r="GJ51" i="1"/>
  <c r="GB51" i="1" s="1"/>
  <c r="GJ65" i="1"/>
  <c r="GN80" i="1"/>
  <c r="GJ80" i="1"/>
  <c r="GB80" i="1" s="1"/>
  <c r="GJ112" i="1"/>
  <c r="GN131" i="1"/>
  <c r="GJ131" i="1"/>
  <c r="GJ10" i="1"/>
  <c r="GN79" i="1"/>
  <c r="GJ79" i="1"/>
  <c r="GB79" i="1" s="1"/>
  <c r="GN117" i="1"/>
  <c r="GJ117" i="1"/>
  <c r="GB117" i="1" s="1"/>
  <c r="GN107" i="1"/>
  <c r="GJ107" i="1"/>
  <c r="GB107" i="1" s="1"/>
  <c r="GN113" i="1"/>
  <c r="GJ113" i="1"/>
  <c r="GN71" i="1"/>
  <c r="GJ71" i="1"/>
  <c r="GB71" i="1" s="1"/>
  <c r="GN28" i="1"/>
  <c r="GJ28" i="1"/>
  <c r="GB28" i="1" s="1"/>
  <c r="GN100" i="1"/>
  <c r="GJ100" i="1"/>
  <c r="GB100" i="1" s="1"/>
  <c r="GN111" i="1"/>
  <c r="GJ111" i="1"/>
  <c r="GB111" i="1" s="1"/>
  <c r="GJ115" i="1"/>
  <c r="GJ13" i="1"/>
  <c r="GJ53" i="1"/>
  <c r="GJ66" i="1"/>
  <c r="GJ74" i="1"/>
  <c r="GJ60" i="1"/>
  <c r="GN85" i="1"/>
  <c r="GJ85" i="1"/>
  <c r="GN34" i="1"/>
  <c r="GJ34" i="1"/>
  <c r="GN82" i="1"/>
  <c r="GJ82" i="1"/>
  <c r="GN96" i="1"/>
  <c r="GJ96" i="1"/>
  <c r="GB96" i="1" s="1"/>
  <c r="GJ25" i="1"/>
  <c r="GB25" i="1" s="1"/>
  <c r="GN133" i="1"/>
  <c r="GJ133" i="1"/>
  <c r="GJ132" i="1"/>
  <c r="GJ126" i="1"/>
  <c r="GN122" i="1"/>
  <c r="EC110" i="1"/>
  <c r="FK110" i="1" s="1"/>
  <c r="HN21" i="1"/>
  <c r="HN85" i="1"/>
  <c r="ED100" i="1"/>
  <c r="HM54" i="1"/>
  <c r="HN20" i="1"/>
  <c r="BZ49" i="1"/>
  <c r="AX61" i="1"/>
  <c r="T61" i="1"/>
  <c r="EP6" i="1"/>
  <c r="FK115" i="1"/>
  <c r="HM8" i="1"/>
  <c r="GN112" i="1"/>
  <c r="EK25" i="1"/>
  <c r="ED118" i="1"/>
  <c r="EE118" i="1"/>
  <c r="EN133" i="1"/>
  <c r="EP133" i="1" s="1"/>
  <c r="EK118" i="1"/>
  <c r="EC9" i="1"/>
  <c r="EE9" i="1" s="1"/>
  <c r="EL100" i="1"/>
  <c r="EK36" i="1"/>
  <c r="HM90" i="1"/>
  <c r="HN38" i="1"/>
  <c r="HN111" i="1"/>
  <c r="EK124" i="1"/>
  <c r="GN23" i="1"/>
  <c r="EK73" i="1"/>
  <c r="EN73" i="1" s="1"/>
  <c r="EP73" i="1" s="1"/>
  <c r="EK41" i="1"/>
  <c r="EN41" i="1" s="1"/>
  <c r="EL89" i="1"/>
  <c r="EC43" i="1"/>
  <c r="ED43" i="1" s="1"/>
  <c r="HN19" i="1"/>
  <c r="EK114" i="1"/>
  <c r="GN137" i="1"/>
  <c r="HM140" i="1"/>
  <c r="DC104" i="1"/>
  <c r="GN127" i="1"/>
  <c r="HN97" i="1"/>
  <c r="GN130" i="1"/>
  <c r="DC73" i="1"/>
  <c r="ED6" i="1"/>
  <c r="GN124" i="1"/>
  <c r="HN35" i="1"/>
  <c r="BY57" i="1"/>
  <c r="BZ57" i="1" s="1"/>
  <c r="ED73" i="1"/>
  <c r="EK7" i="1"/>
  <c r="EN7" i="1" s="1"/>
  <c r="EP7" i="1" s="1"/>
  <c r="ED78" i="1"/>
  <c r="GN90" i="1"/>
  <c r="ED2" i="1"/>
  <c r="HM98" i="1"/>
  <c r="EK92" i="1"/>
  <c r="HN95" i="1"/>
  <c r="Y80" i="1"/>
  <c r="EK141" i="1"/>
  <c r="EN141" i="1" s="1"/>
  <c r="EP141" i="1" s="1"/>
  <c r="EK80" i="1"/>
  <c r="EN80" i="1" s="1"/>
  <c r="EP80" i="1" s="1"/>
  <c r="EC23" i="1"/>
  <c r="EI23" i="1" s="1"/>
  <c r="ED46" i="1"/>
  <c r="HM67" i="1"/>
  <c r="EK86" i="1"/>
  <c r="EN86" i="1" s="1"/>
  <c r="EP86" i="1" s="1"/>
  <c r="EK104" i="1"/>
  <c r="ED3" i="1"/>
  <c r="HM117" i="1"/>
  <c r="HN124" i="1"/>
  <c r="HM17" i="1"/>
  <c r="EC127" i="1"/>
  <c r="EL127" i="1" s="1"/>
  <c r="EK45" i="1"/>
  <c r="EN45" i="1" s="1"/>
  <c r="EP45" i="1" s="1"/>
  <c r="GN105" i="1"/>
  <c r="EK60" i="1"/>
  <c r="EN60" i="1" s="1"/>
  <c r="EP60" i="1" s="1"/>
  <c r="EK63" i="1"/>
  <c r="EN63" i="1" s="1"/>
  <c r="EP63" i="1" s="1"/>
  <c r="BY73" i="1"/>
  <c r="BZ73" i="1" s="1"/>
  <c r="S80" i="1"/>
  <c r="R31" i="1"/>
  <c r="ED53" i="1"/>
  <c r="V77" i="1"/>
  <c r="T77" i="1"/>
  <c r="EP53" i="1"/>
  <c r="EN54" i="1"/>
  <c r="EP54" i="1" s="1"/>
  <c r="T80" i="1"/>
  <c r="BY47" i="1"/>
  <c r="BZ47" i="1" s="1"/>
  <c r="ED62" i="1"/>
  <c r="ED13" i="1"/>
  <c r="EN131" i="1"/>
  <c r="EP131" i="1" s="1"/>
  <c r="BY83" i="1"/>
  <c r="BZ83" i="1" s="1"/>
  <c r="GN22" i="1"/>
  <c r="EK107" i="1"/>
  <c r="GN18" i="1"/>
  <c r="HM18" i="1"/>
  <c r="EL28" i="1"/>
  <c r="DC95" i="1"/>
  <c r="EC8" i="1"/>
  <c r="DC8" i="1" s="1"/>
  <c r="EN105" i="1"/>
  <c r="EP105" i="1" s="1"/>
  <c r="HN104" i="1"/>
  <c r="HM63" i="1"/>
  <c r="EK32" i="1"/>
  <c r="HN106" i="1"/>
  <c r="GN98" i="1"/>
  <c r="ED22" i="1"/>
  <c r="FK28" i="1"/>
  <c r="DC22" i="1"/>
  <c r="EC17" i="1"/>
  <c r="ED17" i="1" s="1"/>
  <c r="HM46" i="1"/>
  <c r="ED98" i="1"/>
  <c r="GN8" i="1"/>
  <c r="EE22" i="1"/>
  <c r="EC139" i="1"/>
  <c r="EL139" i="1" s="1"/>
  <c r="EK12" i="1"/>
  <c r="EE95" i="1"/>
  <c r="DC28" i="1"/>
  <c r="HN82" i="1"/>
  <c r="HN79" i="1"/>
  <c r="ED28" i="1"/>
  <c r="EN94" i="1"/>
  <c r="EP94" i="1" s="1"/>
  <c r="EK98" i="1"/>
  <c r="EN98" i="1" s="1"/>
  <c r="EP98" i="1" s="1"/>
  <c r="FK95" i="1"/>
  <c r="HM15" i="1"/>
  <c r="ED67" i="1"/>
  <c r="EN97" i="1"/>
  <c r="EP97" i="1" s="1"/>
  <c r="HM5" i="1"/>
  <c r="FK98" i="1"/>
  <c r="HM49" i="1"/>
  <c r="FK89" i="1"/>
  <c r="EC142" i="1"/>
  <c r="ED142" i="1" s="1"/>
  <c r="HM52" i="1"/>
  <c r="EK95" i="1"/>
  <c r="EN95" i="1" s="1"/>
  <c r="EP95" i="1" s="1"/>
  <c r="BY15" i="1"/>
  <c r="BZ15" i="1" s="1"/>
  <c r="HN103" i="1"/>
  <c r="EI22" i="1"/>
  <c r="EE98" i="1"/>
  <c r="EK48" i="1"/>
  <c r="EN48" i="1" s="1"/>
  <c r="EP48" i="1" s="1"/>
  <c r="EK31" i="1"/>
  <c r="EN31" i="1" s="1"/>
  <c r="EP31" i="1" s="1"/>
  <c r="HM61" i="1"/>
  <c r="EK22" i="1"/>
  <c r="HN94" i="1"/>
  <c r="ED95" i="1"/>
  <c r="EL22" i="1"/>
  <c r="EK28" i="1"/>
  <c r="DC98" i="1"/>
  <c r="EK51" i="1"/>
  <c r="EN51" i="1" s="1"/>
  <c r="EP51" i="1" s="1"/>
  <c r="EK5" i="1"/>
  <c r="EN5" i="1" s="1"/>
  <c r="EP5" i="1" s="1"/>
  <c r="DM67" i="1"/>
  <c r="DP67" i="1" s="1"/>
  <c r="DR67" i="1" s="1"/>
  <c r="BY80" i="1"/>
  <c r="BZ80" i="1" s="1"/>
  <c r="EN136" i="1"/>
  <c r="EP136" i="1" s="1"/>
  <c r="EN132" i="1"/>
  <c r="EP132" i="1" s="1"/>
  <c r="DC118" i="1"/>
  <c r="EL101" i="1"/>
  <c r="FK118" i="1"/>
  <c r="GN116" i="1"/>
  <c r="ED101" i="1"/>
  <c r="EL118" i="1"/>
  <c r="GN59" i="1"/>
  <c r="HM33" i="1"/>
  <c r="DC25" i="1"/>
  <c r="HN58" i="1"/>
  <c r="HN118" i="1"/>
  <c r="GN64" i="1"/>
  <c r="GN46" i="1"/>
  <c r="BY18" i="1"/>
  <c r="BZ18" i="1" s="1"/>
  <c r="GN74" i="1"/>
  <c r="GN31" i="1"/>
  <c r="ED75" i="1"/>
  <c r="EK66" i="1"/>
  <c r="EN66" i="1" s="1"/>
  <c r="EP66" i="1" s="1"/>
  <c r="HM10" i="1"/>
  <c r="BZ63" i="1"/>
  <c r="HM57" i="1"/>
  <c r="GN62" i="1"/>
  <c r="EN91" i="1"/>
  <c r="EP91" i="1" s="1"/>
  <c r="BY81" i="1"/>
  <c r="BZ81" i="1" s="1"/>
  <c r="EK49" i="1"/>
  <c r="EN49" i="1" s="1"/>
  <c r="EP49" i="1" s="1"/>
  <c r="R52" i="1"/>
  <c r="Y79" i="1"/>
  <c r="V80" i="1"/>
  <c r="GE14" i="1"/>
  <c r="HI14" i="1"/>
  <c r="R85" i="1"/>
  <c r="EK39" i="1"/>
  <c r="GN13" i="1"/>
  <c r="V98" i="1"/>
  <c r="EK111" i="1"/>
  <c r="GF14" i="1"/>
  <c r="T79" i="1"/>
  <c r="EN72" i="1"/>
  <c r="EP72" i="1" s="1"/>
  <c r="GN92" i="1"/>
  <c r="BY59" i="1"/>
  <c r="BZ59" i="1" s="1"/>
  <c r="U79" i="1"/>
  <c r="HM23" i="1"/>
  <c r="EP10" i="1"/>
  <c r="U96" i="1"/>
  <c r="GN87" i="1"/>
  <c r="BZ68" i="1"/>
  <c r="S25" i="1"/>
  <c r="HM74" i="1"/>
  <c r="EN137" i="1"/>
  <c r="EP137" i="1" s="1"/>
  <c r="U80" i="1"/>
  <c r="EK68" i="1"/>
  <c r="EN68" i="1" s="1"/>
  <c r="BY26" i="1"/>
  <c r="BZ26" i="1" s="1"/>
  <c r="EC138" i="1"/>
  <c r="EE138" i="1" s="1"/>
  <c r="T23" i="1"/>
  <c r="HM86" i="1"/>
  <c r="EN130" i="1"/>
  <c r="EP130" i="1" s="1"/>
  <c r="EN134" i="1"/>
  <c r="EP134" i="1" s="1"/>
  <c r="S98" i="1"/>
  <c r="GN10" i="1"/>
  <c r="GN69" i="1"/>
  <c r="GN50" i="1"/>
  <c r="BY95" i="1"/>
  <c r="BZ95" i="1" s="1"/>
  <c r="HN108" i="1"/>
  <c r="GN41" i="1"/>
  <c r="GN78" i="1"/>
  <c r="GN89" i="1"/>
  <c r="GN88" i="1"/>
  <c r="GN73" i="1"/>
  <c r="BY78" i="1"/>
  <c r="BZ78" i="1" s="1"/>
  <c r="BY69" i="1"/>
  <c r="BZ69" i="1" s="1"/>
  <c r="EK64" i="1"/>
  <c r="EN64" i="1" s="1"/>
  <c r="EP64" i="1" s="1"/>
  <c r="ED64" i="1"/>
  <c r="U57" i="1"/>
  <c r="T57" i="1"/>
  <c r="BY42" i="1"/>
  <c r="BZ42" i="1" s="1"/>
  <c r="GN77" i="1"/>
  <c r="HM101" i="1"/>
  <c r="HN101" i="1"/>
  <c r="HN100" i="1"/>
  <c r="HM100" i="1"/>
  <c r="DC29" i="1"/>
  <c r="ED15" i="1"/>
  <c r="EK15" i="1"/>
  <c r="EN15" i="1" s="1"/>
  <c r="EP15" i="1" s="1"/>
  <c r="ED58" i="1"/>
  <c r="EK58" i="1"/>
  <c r="EN58" i="1" s="1"/>
  <c r="EP58" i="1" s="1"/>
  <c r="ED55" i="1"/>
  <c r="EK55" i="1"/>
  <c r="EN55" i="1" s="1"/>
  <c r="EP55" i="1" s="1"/>
  <c r="EK77" i="1"/>
  <c r="EN77" i="1" s="1"/>
  <c r="EP77" i="1" s="1"/>
  <c r="ED77" i="1"/>
  <c r="BY70" i="1"/>
  <c r="BZ70" i="1" s="1"/>
  <c r="U83" i="1"/>
  <c r="V83" i="1"/>
  <c r="HN3" i="1"/>
  <c r="HM3" i="1"/>
  <c r="EC90" i="1"/>
  <c r="EK90" i="1"/>
  <c r="EC96" i="1"/>
  <c r="EK96" i="1"/>
  <c r="EK11" i="1"/>
  <c r="EC11" i="1"/>
  <c r="EY102" i="1"/>
  <c r="GR102" i="1"/>
  <c r="GE102" i="1"/>
  <c r="HI102" i="1"/>
  <c r="HI84" i="1"/>
  <c r="HJ84" i="1" s="1"/>
  <c r="HK84" i="1" s="1"/>
  <c r="HH84" i="1"/>
  <c r="GE84" i="1"/>
  <c r="EY84" i="1"/>
  <c r="GF84" i="1"/>
  <c r="EI111" i="1"/>
  <c r="ED111" i="1"/>
  <c r="DC111" i="1"/>
  <c r="EL111" i="1"/>
  <c r="ES111" i="1" s="1"/>
  <c r="EE111" i="1"/>
  <c r="HN41" i="1"/>
  <c r="W25" i="1"/>
  <c r="BY5" i="1"/>
  <c r="BZ5" i="1" s="1"/>
  <c r="HN72" i="1"/>
  <c r="EK82" i="1"/>
  <c r="EN82" i="1" s="1"/>
  <c r="EP82" i="1" s="1"/>
  <c r="HN65" i="1"/>
  <c r="HM27" i="1"/>
  <c r="HM84" i="1"/>
  <c r="HN84" i="1"/>
  <c r="HN102" i="1"/>
  <c r="HM102" i="1"/>
  <c r="Y106" i="1"/>
  <c r="GN114" i="1"/>
  <c r="GN115" i="1"/>
  <c r="GN118" i="1"/>
  <c r="BY88" i="1"/>
  <c r="BZ88" i="1" s="1"/>
  <c r="ED10" i="1"/>
  <c r="ED85" i="1"/>
  <c r="HN13" i="1"/>
  <c r="HN51" i="1"/>
  <c r="GR84" i="1"/>
  <c r="Y23" i="1"/>
  <c r="W23" i="1"/>
  <c r="T25" i="1"/>
  <c r="Y25" i="1"/>
  <c r="EK50" i="1"/>
  <c r="EN50" i="1" s="1"/>
  <c r="EP50" i="1" s="1"/>
  <c r="ED50" i="1"/>
  <c r="EK52" i="1"/>
  <c r="EN52" i="1" s="1"/>
  <c r="EP52" i="1" s="1"/>
  <c r="ED52" i="1"/>
  <c r="ED16" i="1"/>
  <c r="EK16" i="1"/>
  <c r="EN16" i="1" s="1"/>
  <c r="EP16" i="1" s="1"/>
  <c r="ED42" i="1"/>
  <c r="EK42" i="1"/>
  <c r="EN42" i="1" s="1"/>
  <c r="EP42" i="1" s="1"/>
  <c r="DC40" i="1"/>
  <c r="EN93" i="1"/>
  <c r="EP93" i="1" s="1"/>
  <c r="BY38" i="1"/>
  <c r="BZ38" i="1" s="1"/>
  <c r="EK44" i="1"/>
  <c r="EN44" i="1" s="1"/>
  <c r="ED44" i="1"/>
  <c r="HM62" i="1"/>
  <c r="HN62" i="1"/>
  <c r="HN59" i="1"/>
  <c r="HM59" i="1"/>
  <c r="GN106" i="1"/>
  <c r="GN39" i="1"/>
  <c r="HM110" i="1"/>
  <c r="HN110" i="1"/>
  <c r="FK111" i="1"/>
  <c r="EC117" i="1"/>
  <c r="EI117" i="1" s="1"/>
  <c r="HN130" i="1"/>
  <c r="HM66" i="1"/>
  <c r="HN70" i="1"/>
  <c r="HM2" i="1"/>
  <c r="HN74" i="1"/>
  <c r="HM71" i="1"/>
  <c r="HN34" i="1"/>
  <c r="HN86" i="1"/>
  <c r="HM82" i="1"/>
  <c r="HN89" i="1"/>
  <c r="BZ56" i="1"/>
  <c r="HN2" i="1"/>
  <c r="BZ6" i="1"/>
  <c r="HM70" i="1"/>
  <c r="HN105" i="1"/>
  <c r="HM77" i="1"/>
  <c r="EE141" i="1"/>
  <c r="S104" i="1"/>
  <c r="DC141" i="1"/>
  <c r="T98" i="1"/>
  <c r="GN48" i="1"/>
  <c r="HN11" i="1"/>
  <c r="HM108" i="1"/>
  <c r="HN17" i="1"/>
  <c r="HM73" i="1"/>
  <c r="GN17" i="1"/>
  <c r="ED56" i="1"/>
  <c r="EK56" i="1"/>
  <c r="EN56" i="1" s="1"/>
  <c r="EP56" i="1" s="1"/>
  <c r="ED61" i="1"/>
  <c r="EK61" i="1"/>
  <c r="EN61" i="1" s="1"/>
  <c r="EP61" i="1" s="1"/>
  <c r="ED18" i="1"/>
  <c r="EK18" i="1"/>
  <c r="EN18" i="1" s="1"/>
  <c r="EP18" i="1" s="1"/>
  <c r="ED26" i="1"/>
  <c r="EK26" i="1"/>
  <c r="EN26" i="1" s="1"/>
  <c r="EP26" i="1" s="1"/>
  <c r="ED79" i="1"/>
  <c r="EK79" i="1"/>
  <c r="EN79" i="1" s="1"/>
  <c r="EP79" i="1" s="1"/>
  <c r="ED81" i="1"/>
  <c r="EK81" i="1"/>
  <c r="EN81" i="1" s="1"/>
  <c r="EP81" i="1" s="1"/>
  <c r="S73" i="1"/>
  <c r="R73" i="1"/>
  <c r="S49" i="1"/>
  <c r="R49" i="1"/>
  <c r="U88" i="1"/>
  <c r="T88" i="1"/>
  <c r="V88" i="1"/>
  <c r="EK35" i="1"/>
  <c r="EC108" i="1"/>
  <c r="FK108" i="1" s="1"/>
  <c r="EK108" i="1"/>
  <c r="EN84" i="1"/>
  <c r="EP84" i="1" s="1"/>
  <c r="GN95" i="1"/>
  <c r="GN38" i="1"/>
  <c r="GN49" i="1"/>
  <c r="GN26" i="1"/>
  <c r="HN45" i="1"/>
  <c r="HM45" i="1"/>
  <c r="BY77" i="1"/>
  <c r="BZ77" i="1" s="1"/>
  <c r="BY64" i="1"/>
  <c r="BZ64" i="1" s="1"/>
  <c r="BY48" i="1"/>
  <c r="BZ48" i="1" s="1"/>
  <c r="GF12" i="1"/>
  <c r="EK27" i="1"/>
  <c r="EN27" i="1" s="1"/>
  <c r="EP27" i="1" s="1"/>
  <c r="V140" i="1"/>
  <c r="GN67" i="1"/>
  <c r="T140" i="1"/>
  <c r="EK74" i="1"/>
  <c r="EN74" i="1" s="1"/>
  <c r="EP74" i="1" s="1"/>
  <c r="GN7" i="1"/>
  <c r="GN58" i="1"/>
  <c r="GN68" i="1"/>
  <c r="GN11" i="1"/>
  <c r="BY45" i="1"/>
  <c r="BZ45" i="1" s="1"/>
  <c r="BY13" i="1"/>
  <c r="BZ13" i="1" s="1"/>
  <c r="GE12" i="1"/>
  <c r="GR12" i="1"/>
  <c r="EK59" i="1"/>
  <c r="EN59" i="1" s="1"/>
  <c r="ED69" i="1"/>
  <c r="HM50" i="1"/>
  <c r="HM96" i="1"/>
  <c r="GN136" i="1"/>
  <c r="FK103" i="1"/>
  <c r="HM91" i="1"/>
  <c r="HM26" i="1"/>
  <c r="EK112" i="1"/>
  <c r="HN138" i="1"/>
  <c r="HN75" i="1"/>
  <c r="S96" i="1"/>
  <c r="HM42" i="1"/>
  <c r="GN132" i="1"/>
  <c r="HM32" i="1"/>
  <c r="HM6" i="1"/>
  <c r="EN103" i="1"/>
  <c r="EP103" i="1" s="1"/>
  <c r="GN25" i="1"/>
  <c r="EI92" i="1"/>
  <c r="EL92" i="1" s="1"/>
  <c r="ED92" i="1"/>
  <c r="FK92" i="1"/>
  <c r="EE92" i="1"/>
  <c r="DC92" i="1"/>
  <c r="DC146" i="1"/>
  <c r="EK33" i="1"/>
  <c r="HN53" i="1"/>
  <c r="HM53" i="1"/>
  <c r="HM56" i="1"/>
  <c r="HN56" i="1"/>
  <c r="HM79" i="1"/>
  <c r="HM47" i="1"/>
  <c r="HN47" i="1"/>
  <c r="EK106" i="1"/>
  <c r="EC30" i="1"/>
  <c r="EK30" i="1"/>
  <c r="EE73" i="1"/>
  <c r="FK73" i="1"/>
  <c r="HN81" i="1"/>
  <c r="HM81" i="1"/>
  <c r="HN14" i="1"/>
  <c r="HM14" i="1"/>
  <c r="GN36" i="1"/>
  <c r="GN142" i="1"/>
  <c r="EK122" i="1"/>
  <c r="ED120" i="1"/>
  <c r="GN3" i="1"/>
  <c r="GN61" i="1"/>
  <c r="ED65" i="1"/>
  <c r="EK65" i="1"/>
  <c r="EN65" i="1" s="1"/>
  <c r="EP65" i="1" s="1"/>
  <c r="BY82" i="1"/>
  <c r="BZ82" i="1" s="1"/>
  <c r="T89" i="1"/>
  <c r="U89" i="1"/>
  <c r="ED124" i="1"/>
  <c r="HI12" i="1"/>
  <c r="EY12" i="1"/>
  <c r="Y104" i="1"/>
  <c r="W104" i="1"/>
  <c r="FK72" i="1"/>
  <c r="W98" i="1"/>
  <c r="S79" i="1"/>
  <c r="GN42" i="1"/>
  <c r="HM64" i="1"/>
  <c r="HM55" i="1"/>
  <c r="HN7" i="1"/>
  <c r="HM83" i="1"/>
  <c r="HM36" i="1"/>
  <c r="HN73" i="1"/>
  <c r="HN9" i="1"/>
  <c r="T106" i="1"/>
  <c r="HM85" i="1"/>
  <c r="HN71" i="1"/>
  <c r="G201" i="1"/>
  <c r="H200" i="1" s="1"/>
  <c r="O201" i="1"/>
  <c r="P200" i="1"/>
  <c r="C201" i="1"/>
  <c r="D194" i="1" s="1"/>
  <c r="P199" i="1"/>
  <c r="P196" i="1"/>
  <c r="K201" i="1"/>
  <c r="L195" i="1" s="1"/>
  <c r="FK124" i="1"/>
  <c r="EL124" i="1"/>
  <c r="ES124" i="1" s="1"/>
  <c r="BZ53" i="1"/>
  <c r="GN45" i="1"/>
  <c r="P195" i="1"/>
  <c r="BZ52" i="1"/>
  <c r="HM69" i="1"/>
  <c r="HM60" i="1"/>
  <c r="HN83" i="1"/>
  <c r="DC100" i="1"/>
  <c r="GN6" i="1"/>
  <c r="EE100" i="1"/>
  <c r="GN30" i="1"/>
  <c r="GN104" i="1"/>
  <c r="HM21" i="1"/>
  <c r="HM11" i="1"/>
  <c r="HM16" i="1"/>
  <c r="AX10" i="1"/>
  <c r="W78" i="1"/>
  <c r="AM78" i="1"/>
  <c r="AT78" i="1"/>
  <c r="GW74" i="1"/>
  <c r="W74" i="1"/>
  <c r="V74" i="1"/>
  <c r="AU74" i="1"/>
  <c r="EC34" i="1"/>
  <c r="EK34" i="1"/>
  <c r="HM93" i="1"/>
  <c r="EC21" i="1"/>
  <c r="EK101" i="1"/>
  <c r="EK100" i="1"/>
  <c r="HM75" i="1"/>
  <c r="AL93" i="1"/>
  <c r="GW93" i="1"/>
  <c r="GV22" i="1"/>
  <c r="V22" i="1"/>
  <c r="O22" i="1"/>
  <c r="GN43" i="1"/>
  <c r="GN86" i="1"/>
  <c r="HN30" i="1"/>
  <c r="S107" i="1"/>
  <c r="BZ76" i="1"/>
  <c r="BZ51" i="1"/>
  <c r="W30" i="1"/>
  <c r="EE124" i="1"/>
  <c r="EI124" i="1"/>
  <c r="ED141" i="1"/>
  <c r="Y7" i="1"/>
  <c r="GV7" i="1"/>
  <c r="GI5" i="1"/>
  <c r="W49" i="1"/>
  <c r="GI49" i="1"/>
  <c r="HB2" i="1"/>
  <c r="GW64" i="1"/>
  <c r="GI64" i="1"/>
  <c r="GW68" i="1"/>
  <c r="AL12" i="1"/>
  <c r="GW34" i="1"/>
  <c r="GZ12" i="1"/>
  <c r="GV12" i="1"/>
  <c r="Y82" i="1"/>
  <c r="AR67" i="1"/>
  <c r="HB67" i="1"/>
  <c r="EK47" i="1"/>
  <c r="EN47" i="1" s="1"/>
  <c r="EP47" i="1" s="1"/>
  <c r="W87" i="1"/>
  <c r="GZ68" i="1"/>
  <c r="R45" i="1"/>
  <c r="AM67" i="1"/>
  <c r="AM45" i="1"/>
  <c r="AT45" i="1"/>
  <c r="W82" i="1"/>
  <c r="AT87" i="1"/>
  <c r="R89" i="1"/>
  <c r="R60" i="1"/>
  <c r="V42" i="1"/>
  <c r="AM49" i="1"/>
  <c r="EN87" i="1"/>
  <c r="EP87" i="1" s="1"/>
  <c r="T30" i="1"/>
  <c r="S30" i="1"/>
  <c r="AX76" i="1"/>
  <c r="T76" i="1"/>
  <c r="S76" i="1"/>
  <c r="AQ104" i="1"/>
  <c r="R23" i="1"/>
  <c r="GV23" i="1"/>
  <c r="V23" i="1"/>
  <c r="HB23" i="1"/>
  <c r="HM30" i="1"/>
  <c r="AM9" i="1"/>
  <c r="GN60" i="1"/>
  <c r="P197" i="1"/>
  <c r="E201" i="1"/>
  <c r="F198" i="1" s="1"/>
  <c r="P198" i="1"/>
  <c r="I201" i="1"/>
  <c r="J194" i="1" s="1"/>
  <c r="HN57" i="1"/>
  <c r="HN126" i="1"/>
  <c r="Y9" i="1"/>
  <c r="BZ10" i="1"/>
  <c r="W106" i="1"/>
  <c r="EY14" i="1"/>
  <c r="HH14" i="1"/>
  <c r="R80" i="1"/>
  <c r="HN78" i="1"/>
  <c r="HM78" i="1"/>
  <c r="HN48" i="1"/>
  <c r="HM48" i="1"/>
  <c r="ED76" i="1"/>
  <c r="EK76" i="1"/>
  <c r="EN76" i="1" s="1"/>
  <c r="EP76" i="1" s="1"/>
  <c r="EN83" i="1"/>
  <c r="EP83" i="1" s="1"/>
  <c r="AT55" i="1"/>
  <c r="AL55" i="1"/>
  <c r="AR55" i="1"/>
  <c r="AS55" i="1"/>
  <c r="R55" i="1"/>
  <c r="W55" i="1"/>
  <c r="V55" i="1"/>
  <c r="AM55" i="1"/>
  <c r="AQ55" i="1"/>
  <c r="HB55" i="1"/>
  <c r="AU56" i="1"/>
  <c r="AM56" i="1"/>
  <c r="W56" i="1"/>
  <c r="AT56" i="1"/>
  <c r="AR56" i="1"/>
  <c r="R56" i="1"/>
  <c r="GZ56" i="1"/>
  <c r="V56" i="1"/>
  <c r="R59" i="1"/>
  <c r="GZ59" i="1"/>
  <c r="AT59" i="1"/>
  <c r="V59" i="1"/>
  <c r="GW59" i="1"/>
  <c r="AS59" i="1"/>
  <c r="AU59" i="1"/>
  <c r="AM59" i="1"/>
  <c r="W59" i="1"/>
  <c r="AR59" i="1"/>
  <c r="Y59" i="1"/>
  <c r="V47" i="1"/>
  <c r="GZ47" i="1"/>
  <c r="W47" i="1"/>
  <c r="GI27" i="1"/>
  <c r="BE27" i="1"/>
  <c r="V27" i="1"/>
  <c r="R27" i="1"/>
  <c r="AM27" i="1"/>
  <c r="W27" i="1"/>
  <c r="GI53" i="1"/>
  <c r="AL53" i="1"/>
  <c r="GW53" i="1"/>
  <c r="AM33" i="1"/>
  <c r="Y33" i="1"/>
  <c r="GI33" i="1"/>
  <c r="AE33" i="1"/>
  <c r="W4" i="1"/>
  <c r="V4" i="1"/>
  <c r="Y19" i="1"/>
  <c r="GI19" i="1"/>
  <c r="GW70" i="1"/>
  <c r="V70" i="1"/>
  <c r="GV70" i="1"/>
  <c r="GN70" i="1"/>
  <c r="W70" i="1"/>
  <c r="W11" i="1"/>
  <c r="AR11" i="1"/>
  <c r="R11" i="1"/>
  <c r="AQ11" i="1"/>
  <c r="HB11" i="1"/>
  <c r="AS11" i="1"/>
  <c r="AS85" i="1"/>
  <c r="W85" i="1"/>
  <c r="AU85" i="1"/>
  <c r="AT85" i="1"/>
  <c r="W81" i="1"/>
  <c r="GI81" i="1"/>
  <c r="AS81" i="1"/>
  <c r="R81" i="1"/>
  <c r="GZ75" i="1"/>
  <c r="AT75" i="1"/>
  <c r="V75" i="1"/>
  <c r="AQ75" i="1"/>
  <c r="AM75" i="1"/>
  <c r="R75" i="1"/>
  <c r="AU75" i="1"/>
  <c r="GN75" i="1"/>
  <c r="AS75" i="1"/>
  <c r="GI75" i="1"/>
  <c r="V10" i="1"/>
  <c r="GV10" i="1"/>
  <c r="AM10" i="1"/>
  <c r="W10" i="1"/>
  <c r="GI63" i="1"/>
  <c r="AM63" i="1"/>
  <c r="R63" i="1"/>
  <c r="GZ18" i="1"/>
  <c r="W18" i="1"/>
  <c r="AM18" i="1"/>
  <c r="AE18" i="1"/>
  <c r="V18" i="1"/>
  <c r="HM28" i="1"/>
  <c r="HN28" i="1"/>
  <c r="GV151" i="1"/>
  <c r="V151" i="1"/>
  <c r="GW152" i="1"/>
  <c r="V152" i="1"/>
  <c r="R152" i="1"/>
  <c r="GZ152" i="1"/>
  <c r="AE147" i="1"/>
  <c r="GV147" i="1"/>
  <c r="GI100" i="1"/>
  <c r="AE146" i="1"/>
  <c r="W146" i="1"/>
  <c r="Y146" i="1"/>
  <c r="GZ146" i="1"/>
  <c r="HB146" i="1"/>
  <c r="R124" i="1"/>
  <c r="AL124" i="1"/>
  <c r="AM124" i="1"/>
  <c r="AE124" i="1"/>
  <c r="V124" i="1"/>
  <c r="W124" i="1"/>
  <c r="GI124" i="1"/>
  <c r="R99" i="1"/>
  <c r="W99" i="1"/>
  <c r="DC143" i="1"/>
  <c r="BY3" i="1"/>
  <c r="BZ3" i="1" s="1"/>
  <c r="BY7" i="1"/>
  <c r="BZ7" i="1" s="1"/>
  <c r="BY41" i="1"/>
  <c r="BZ41" i="1" s="1"/>
  <c r="T29" i="1"/>
  <c r="S29" i="1"/>
  <c r="W29" i="1"/>
  <c r="Y102" i="1"/>
  <c r="GW18" i="1"/>
  <c r="AE143" i="1"/>
  <c r="Y75" i="1"/>
  <c r="GW124" i="1"/>
  <c r="GZ124" i="1"/>
  <c r="GW19" i="1"/>
  <c r="GN47" i="1"/>
  <c r="GI56" i="1"/>
  <c r="EK38" i="1"/>
  <c r="EN38" i="1" s="1"/>
  <c r="EP38" i="1" s="1"/>
  <c r="AR75" i="1"/>
  <c r="V11" i="1"/>
  <c r="AS27" i="1"/>
  <c r="T139" i="1"/>
  <c r="R17" i="1"/>
  <c r="R4" i="1"/>
  <c r="HB143" i="1"/>
  <c r="AE53" i="1"/>
  <c r="Y53" i="1"/>
  <c r="GZ53" i="1"/>
  <c r="GW102" i="1"/>
  <c r="W143" i="1"/>
  <c r="AL18" i="1"/>
  <c r="GI18" i="1"/>
  <c r="GZ55" i="1"/>
  <c r="GV18" i="1"/>
  <c r="AE47" i="1"/>
  <c r="GV47" i="1"/>
  <c r="AU55" i="1"/>
  <c r="HB124" i="1"/>
  <c r="EK19" i="1"/>
  <c r="GW10" i="1"/>
  <c r="R18" i="1"/>
  <c r="W75" i="1"/>
  <c r="GN56" i="1"/>
  <c r="GN63" i="1"/>
  <c r="GN81" i="1"/>
  <c r="GN129" i="1"/>
  <c r="GN53" i="1"/>
  <c r="AL129" i="1"/>
  <c r="R129" i="1"/>
  <c r="BE129" i="1"/>
  <c r="W9" i="1"/>
  <c r="GZ9" i="1"/>
  <c r="GW9" i="1"/>
  <c r="GV9" i="1"/>
  <c r="HN37" i="1"/>
  <c r="HN109" i="1"/>
  <c r="BZ58" i="1"/>
  <c r="HM31" i="1"/>
  <c r="BZ66" i="1"/>
  <c r="BZ65" i="1"/>
  <c r="BZ55" i="1"/>
  <c r="P194" i="1"/>
  <c r="EP67" i="1"/>
  <c r="S10" i="1"/>
  <c r="BZ67" i="1"/>
  <c r="HN120" i="1"/>
  <c r="HM120" i="1"/>
  <c r="EP69" i="1"/>
  <c r="GI132" i="1"/>
  <c r="AL132" i="1"/>
  <c r="EP13" i="1"/>
  <c r="BC101" i="1"/>
  <c r="BD101" i="1"/>
  <c r="HB126" i="1"/>
  <c r="GI126" i="1"/>
  <c r="W109" i="1"/>
  <c r="R125" i="1"/>
  <c r="W125" i="1"/>
  <c r="M201" i="1"/>
  <c r="N194" i="1" s="1"/>
  <c r="HB109" i="1"/>
  <c r="GZ109" i="1"/>
  <c r="HM43" i="1"/>
  <c r="HN25" i="1"/>
  <c r="HN31" i="1"/>
  <c r="HN16" i="1"/>
  <c r="HM34" i="1"/>
  <c r="HM89" i="1"/>
  <c r="BY105" i="1"/>
  <c r="HN107" i="1"/>
  <c r="FK141" i="1"/>
  <c r="EI141" i="1"/>
  <c r="W96" i="1"/>
  <c r="T96" i="1"/>
  <c r="EP78" i="1"/>
  <c r="AL44" i="1"/>
  <c r="R71" i="1"/>
  <c r="GZ46" i="1"/>
  <c r="GN5" i="1"/>
  <c r="W61" i="1"/>
  <c r="AS61" i="1"/>
  <c r="V61" i="1"/>
  <c r="Y34" i="1"/>
  <c r="W34" i="1"/>
  <c r="AE154" i="1"/>
  <c r="AM154" i="1"/>
  <c r="HM44" i="1"/>
  <c r="HN44" i="1"/>
  <c r="HN68" i="1"/>
  <c r="HM68" i="1"/>
  <c r="GN66" i="1"/>
  <c r="EK20" i="1"/>
  <c r="R29" i="1"/>
  <c r="BE29" i="1"/>
  <c r="GV44" i="1"/>
  <c r="GI46" i="1"/>
  <c r="GN83" i="1"/>
  <c r="AE71" i="1"/>
  <c r="R67" i="1"/>
  <c r="AM46" i="1"/>
  <c r="AL100" i="1"/>
  <c r="R62" i="1"/>
  <c r="AM47" i="1"/>
  <c r="R47" i="1"/>
  <c r="AE103" i="1"/>
  <c r="Y103" i="1"/>
  <c r="AL15" i="1"/>
  <c r="W15" i="1"/>
  <c r="AM15" i="1"/>
  <c r="R15" i="1"/>
  <c r="Y73" i="1"/>
  <c r="AR73" i="1"/>
  <c r="W73" i="1"/>
  <c r="V73" i="1"/>
  <c r="AL77" i="1"/>
  <c r="R77" i="1"/>
  <c r="GV26" i="1"/>
  <c r="R26" i="1"/>
  <c r="GW36" i="1"/>
  <c r="GI36" i="1"/>
  <c r="W36" i="1"/>
  <c r="AE104" i="1"/>
  <c r="Y129" i="1"/>
  <c r="EC129" i="1"/>
  <c r="ED129" i="1" s="1"/>
  <c r="HN119" i="1"/>
  <c r="Y126" i="1"/>
  <c r="EK120" i="1"/>
  <c r="AL126" i="1"/>
  <c r="GW24" i="1"/>
  <c r="BY98" i="1"/>
  <c r="BZ98" i="1" s="1"/>
  <c r="V129" i="1"/>
  <c r="AM126" i="1"/>
  <c r="GZ24" i="1"/>
  <c r="FK25" i="1"/>
  <c r="EF14" i="1"/>
  <c r="EF118" i="1"/>
  <c r="FD118" i="1"/>
  <c r="FD36" i="1"/>
  <c r="FD127" i="1"/>
  <c r="EF33" i="1"/>
  <c r="EF127" i="1"/>
  <c r="FD103" i="1"/>
  <c r="EF104" i="1"/>
  <c r="DI14" i="1"/>
  <c r="DI111" i="1"/>
  <c r="FD33" i="1"/>
  <c r="FD95" i="1"/>
  <c r="FD8" i="1"/>
  <c r="FD11" i="1"/>
  <c r="EF22" i="1"/>
  <c r="EF112" i="1"/>
  <c r="DI22" i="1"/>
  <c r="DI112" i="1"/>
  <c r="FD129" i="1"/>
  <c r="DI23" i="1"/>
  <c r="EF101" i="1"/>
  <c r="EF11" i="1"/>
  <c r="DI98" i="1"/>
  <c r="FD93" i="1"/>
  <c r="FD98" i="1"/>
  <c r="EF90" i="1"/>
  <c r="FD23" i="1"/>
  <c r="DI100" i="1"/>
  <c r="FD72" i="1"/>
  <c r="DI12" i="1"/>
  <c r="FD99" i="1"/>
  <c r="DI101" i="1"/>
  <c r="EF92" i="1"/>
  <c r="DI90" i="1"/>
  <c r="DI116" i="1"/>
  <c r="EF100" i="1"/>
  <c r="FD12" i="1"/>
  <c r="DI92" i="1"/>
  <c r="DI57" i="1"/>
  <c r="DI35" i="1"/>
  <c r="EF139" i="1"/>
  <c r="DI139" i="1"/>
  <c r="EF35" i="1"/>
  <c r="FD110" i="1"/>
  <c r="EF110" i="1"/>
  <c r="DI30" i="1"/>
  <c r="FD115" i="1"/>
  <c r="FD21" i="1"/>
  <c r="FD107" i="1"/>
  <c r="FD25" i="1"/>
  <c r="FD116" i="1"/>
  <c r="FD30" i="1"/>
  <c r="FD39" i="1"/>
  <c r="EF107" i="1"/>
  <c r="DI109" i="1"/>
  <c r="FD73" i="1"/>
  <c r="EF140" i="1"/>
  <c r="EF39" i="1"/>
  <c r="EF141" i="1"/>
  <c r="EF19" i="1"/>
  <c r="FD84" i="1"/>
  <c r="EF111" i="1"/>
  <c r="DI19" i="1"/>
  <c r="FD57" i="1"/>
  <c r="EF129" i="1"/>
  <c r="DI24" i="1"/>
  <c r="EF115" i="1"/>
  <c r="DI141" i="1"/>
  <c r="GN65" i="1"/>
  <c r="GZ51" i="1"/>
  <c r="R51" i="1"/>
  <c r="GZ119" i="1"/>
  <c r="AM119" i="1"/>
  <c r="HB119" i="1"/>
  <c r="Y119" i="1"/>
  <c r="AL119" i="1"/>
  <c r="GN119" i="1"/>
  <c r="GW119" i="1"/>
  <c r="BE119" i="1"/>
  <c r="R119" i="1"/>
  <c r="GI119" i="1"/>
  <c r="AE119" i="1"/>
  <c r="EE36" i="1"/>
  <c r="EL36" i="1"/>
  <c r="ES36" i="1" s="1"/>
  <c r="DC36" i="1"/>
  <c r="GV79" i="1"/>
  <c r="V119" i="1"/>
  <c r="GZ14" i="1"/>
  <c r="GI35" i="1"/>
  <c r="Y155" i="1"/>
  <c r="Y87" i="1"/>
  <c r="V89" i="1"/>
  <c r="Y67" i="1"/>
  <c r="W67" i="1"/>
  <c r="GV67" i="1"/>
  <c r="AQ87" i="1"/>
  <c r="AE87" i="1"/>
  <c r="HB89" i="1"/>
  <c r="GI89" i="1"/>
  <c r="R34" i="1"/>
  <c r="AT83" i="1"/>
  <c r="V51" i="1"/>
  <c r="AM51" i="1"/>
  <c r="V99" i="1"/>
  <c r="GV11" i="1"/>
  <c r="GW11" i="1"/>
  <c r="AT11" i="1"/>
  <c r="AL81" i="1"/>
  <c r="AR81" i="1"/>
  <c r="FD44" i="1"/>
  <c r="W119" i="1"/>
  <c r="GZ2" i="1"/>
  <c r="R2" i="1"/>
  <c r="AS90" i="1"/>
  <c r="EC140" i="1"/>
  <c r="EK140" i="1"/>
  <c r="EE101" i="1"/>
  <c r="FK101" i="1"/>
  <c r="HM12" i="1"/>
  <c r="HN12" i="1"/>
  <c r="GN120" i="1"/>
  <c r="ED24" i="1"/>
  <c r="EI24" i="1"/>
  <c r="EL109" i="1"/>
  <c r="BY109" i="1" s="1"/>
  <c r="EI109" i="1"/>
  <c r="DC109" i="1"/>
  <c r="ED109" i="1"/>
  <c r="AM125" i="1"/>
  <c r="HB125" i="1"/>
  <c r="GZ125" i="1"/>
  <c r="AE125" i="1"/>
  <c r="BE125" i="1"/>
  <c r="Y125" i="1"/>
  <c r="GV125" i="1"/>
  <c r="V125" i="1"/>
  <c r="AL125" i="1"/>
  <c r="GW125" i="1"/>
  <c r="GV120" i="1"/>
  <c r="HB120" i="1"/>
  <c r="GI120" i="1"/>
  <c r="EK126" i="1"/>
  <c r="EC126" i="1"/>
  <c r="EI39" i="1"/>
  <c r="ED39" i="1"/>
  <c r="FK39" i="1"/>
  <c r="EE39" i="1"/>
  <c r="DI125" i="1"/>
  <c r="GN24" i="1"/>
  <c r="EL25" i="1"/>
  <c r="EE37" i="1"/>
  <c r="EF125" i="1"/>
  <c r="E176" i="1"/>
  <c r="EF25" i="1"/>
  <c r="ED25" i="1"/>
  <c r="FK37" i="1"/>
  <c r="V24" i="1"/>
  <c r="DI36" i="1"/>
  <c r="HB9" i="1"/>
  <c r="GN9" i="1"/>
  <c r="V9" i="1"/>
  <c r="GV24" i="1"/>
  <c r="EE25" i="1"/>
  <c r="EI37" i="1"/>
  <c r="AM24" i="1"/>
  <c r="AE24" i="1"/>
  <c r="GI9" i="1"/>
  <c r="AL9" i="1"/>
  <c r="EF138" i="1"/>
  <c r="FD138" i="1"/>
  <c r="DI126" i="1"/>
  <c r="FD126" i="1"/>
  <c r="EF126" i="1"/>
  <c r="DI117" i="1"/>
  <c r="EF117" i="1"/>
  <c r="FD117" i="1"/>
  <c r="DI96" i="1"/>
  <c r="FD96" i="1"/>
  <c r="EF96" i="1"/>
  <c r="EF108" i="1"/>
  <c r="DI108" i="1"/>
  <c r="DI17" i="1"/>
  <c r="FD17" i="1"/>
  <c r="FD124" i="1"/>
  <c r="EF124" i="1"/>
  <c r="EF114" i="1"/>
  <c r="FD114" i="1"/>
  <c r="EF37" i="1"/>
  <c r="DI37" i="1"/>
  <c r="FD34" i="1"/>
  <c r="DI34" i="1"/>
  <c r="EF34" i="1"/>
  <c r="DI113" i="1"/>
  <c r="FD113" i="1"/>
  <c r="EF20" i="1"/>
  <c r="DI20" i="1"/>
  <c r="EF43" i="1"/>
  <c r="DI43" i="1"/>
  <c r="FD43" i="1"/>
  <c r="EF142" i="1"/>
  <c r="FD32" i="1"/>
  <c r="FD102" i="1"/>
  <c r="DI104" i="1"/>
  <c r="DI32" i="1"/>
  <c r="EF8" i="1"/>
  <c r="DI21" i="1"/>
  <c r="DI73" i="1"/>
  <c r="DI142" i="1"/>
  <c r="DI95" i="1"/>
  <c r="GN55" i="1"/>
  <c r="GN134" i="1"/>
  <c r="GN125" i="1"/>
  <c r="FD91" i="1"/>
  <c r="FD120" i="1"/>
  <c r="EF120" i="1"/>
  <c r="DI120" i="1"/>
  <c r="F176" i="1"/>
  <c r="EK119" i="1"/>
  <c r="EC119" i="1"/>
  <c r="G176" i="1"/>
  <c r="BE109" i="1"/>
  <c r="GW109" i="1"/>
  <c r="GN109" i="1"/>
  <c r="AL109" i="1"/>
  <c r="R109" i="1"/>
  <c r="EE120" i="1"/>
  <c r="EI120" i="1"/>
  <c r="R120" i="1"/>
  <c r="GW120" i="1"/>
  <c r="AL120" i="1"/>
  <c r="AE126" i="1"/>
  <c r="BE126" i="1"/>
  <c r="GZ126" i="1"/>
  <c r="GN126" i="1"/>
  <c r="V109" i="1"/>
  <c r="AE109" i="1"/>
  <c r="GI109" i="1"/>
  <c r="AM129" i="1"/>
  <c r="W129" i="1"/>
  <c r="AE129" i="1"/>
  <c r="EL120" i="1"/>
  <c r="ES120" i="1" s="1"/>
  <c r="BE120" i="1"/>
  <c r="AM120" i="1"/>
  <c r="AE120" i="1"/>
  <c r="EC125" i="1"/>
  <c r="W126" i="1"/>
  <c r="R126" i="1"/>
  <c r="GV126" i="1"/>
  <c r="HN125" i="1"/>
  <c r="EE107" i="1"/>
  <c r="ED107" i="1"/>
  <c r="EI107" i="1"/>
  <c r="FK107" i="1"/>
  <c r="EL107" i="1"/>
  <c r="ES107" i="1" s="1"/>
  <c r="Y109" i="1"/>
  <c r="GV109" i="1"/>
  <c r="DC120" i="1"/>
  <c r="Y120" i="1"/>
  <c r="GZ120" i="1"/>
  <c r="V120" i="1"/>
  <c r="GW126" i="1"/>
  <c r="V126" i="1"/>
  <c r="I176" i="1"/>
  <c r="R24" i="1"/>
  <c r="H176" i="1"/>
  <c r="D176" i="1"/>
  <c r="D178" i="1" s="1"/>
  <c r="EE24" i="1"/>
  <c r="HM24" i="1"/>
  <c r="FK24" i="1"/>
  <c r="DC24" i="1"/>
  <c r="FK36" i="1"/>
  <c r="EI36" i="1"/>
  <c r="GI24" i="1"/>
  <c r="EL39" i="1"/>
  <c r="ES39" i="1" s="1"/>
  <c r="FK109" i="1"/>
  <c r="ED36" i="1"/>
  <c r="AL24" i="1"/>
  <c r="O24" i="1"/>
  <c r="HM39" i="1"/>
  <c r="HB24" i="1"/>
  <c r="EL24" i="1"/>
  <c r="EE109" i="1"/>
  <c r="ED37" i="1"/>
  <c r="EF28" i="1"/>
  <c r="DI28" i="1"/>
  <c r="FD140" i="1"/>
  <c r="FD28" i="1"/>
  <c r="FD106" i="1"/>
  <c r="EF106" i="1"/>
  <c r="FD119" i="1"/>
  <c r="DI119" i="1"/>
  <c r="EF122" i="1"/>
  <c r="DI122" i="1"/>
  <c r="EF9" i="1"/>
  <c r="FD9" i="1"/>
  <c r="HH146" i="1" l="1"/>
  <c r="GC146" i="1"/>
  <c r="HI146" i="1"/>
  <c r="HJ146" i="1" s="1"/>
  <c r="HK146" i="1" s="1"/>
  <c r="GE146" i="1"/>
  <c r="GF146" i="1"/>
  <c r="EY146" i="1"/>
  <c r="GR146" i="1"/>
  <c r="GB82" i="1"/>
  <c r="IJ82" i="1" s="1"/>
  <c r="GB105" i="1"/>
  <c r="IJ105" i="1" s="1"/>
  <c r="GB131" i="1"/>
  <c r="IJ131" i="1" s="1"/>
  <c r="GB119" i="1"/>
  <c r="HI119" i="1" s="1"/>
  <c r="GB74" i="1"/>
  <c r="IJ74" i="1" s="1"/>
  <c r="GB112" i="1"/>
  <c r="IJ112" i="1" s="1"/>
  <c r="GB15" i="1"/>
  <c r="IJ15" i="1" s="1"/>
  <c r="GB141" i="1"/>
  <c r="EY141" i="1" s="1"/>
  <c r="GB23" i="1"/>
  <c r="IJ23" i="1" s="1"/>
  <c r="GB126" i="1"/>
  <c r="IJ126" i="1" s="1"/>
  <c r="GB53" i="1"/>
  <c r="IJ53" i="1" s="1"/>
  <c r="GB66" i="1"/>
  <c r="HH66" i="1" s="1"/>
  <c r="GB132" i="1"/>
  <c r="IJ132" i="1" s="1"/>
  <c r="GB34" i="1"/>
  <c r="IJ34" i="1" s="1"/>
  <c r="GB13" i="1"/>
  <c r="GF13" i="1" s="1"/>
  <c r="GB65" i="1"/>
  <c r="GE65" i="1" s="1"/>
  <c r="GB24" i="1"/>
  <c r="IJ24" i="1" s="1"/>
  <c r="GB38" i="1"/>
  <c r="IJ38" i="1" s="1"/>
  <c r="GB133" i="1"/>
  <c r="IJ133" i="1" s="1"/>
  <c r="GB101" i="1"/>
  <c r="GE101" i="1" s="1"/>
  <c r="GB69" i="1"/>
  <c r="IJ69" i="1" s="1"/>
  <c r="GB140" i="1"/>
  <c r="IJ140" i="1" s="1"/>
  <c r="GB83" i="1"/>
  <c r="IJ83" i="1" s="1"/>
  <c r="GB108" i="1"/>
  <c r="EY108" i="1" s="1"/>
  <c r="GB85" i="1"/>
  <c r="IJ85" i="1" s="1"/>
  <c r="GB10" i="1"/>
  <c r="IJ10" i="1" s="1"/>
  <c r="GB64" i="1"/>
  <c r="IJ64" i="1" s="1"/>
  <c r="GB31" i="1"/>
  <c r="GC31" i="1" s="1"/>
  <c r="GB22" i="1"/>
  <c r="IJ22" i="1" s="1"/>
  <c r="GB139" i="1"/>
  <c r="IJ139" i="1" s="1"/>
  <c r="GB61" i="1"/>
  <c r="IJ61" i="1" s="1"/>
  <c r="GB60" i="1"/>
  <c r="HH60" i="1" s="1"/>
  <c r="GB56" i="1"/>
  <c r="IJ56" i="1" s="1"/>
  <c r="GB127" i="1"/>
  <c r="IJ127" i="1" s="1"/>
  <c r="GB115" i="1"/>
  <c r="IJ115" i="1" s="1"/>
  <c r="GB113" i="1"/>
  <c r="IJ113" i="1" s="1"/>
  <c r="IJ25" i="1"/>
  <c r="GC71" i="1"/>
  <c r="IJ71" i="1"/>
  <c r="HI104" i="1"/>
  <c r="IJ104" i="1"/>
  <c r="HC68" i="1"/>
  <c r="IJ68" i="1"/>
  <c r="EY51" i="1"/>
  <c r="IJ51" i="1"/>
  <c r="EY116" i="1"/>
  <c r="IJ116" i="1"/>
  <c r="GF93" i="1"/>
  <c r="IJ93" i="1"/>
  <c r="GE35" i="1"/>
  <c r="IJ35" i="1"/>
  <c r="HC106" i="1"/>
  <c r="IJ106" i="1"/>
  <c r="HC86" i="1"/>
  <c r="IJ86" i="1"/>
  <c r="EY97" i="1"/>
  <c r="IJ97" i="1"/>
  <c r="EY11" i="1"/>
  <c r="IJ11" i="1"/>
  <c r="HH95" i="1"/>
  <c r="IJ95" i="1"/>
  <c r="GR17" i="1"/>
  <c r="IJ17" i="1"/>
  <c r="GR111" i="1"/>
  <c r="IJ111" i="1"/>
  <c r="HI130" i="1"/>
  <c r="HJ130" i="1" s="1"/>
  <c r="HK130" i="1" s="1"/>
  <c r="IJ130" i="1"/>
  <c r="GR9" i="1"/>
  <c r="IJ9" i="1"/>
  <c r="GC89" i="1"/>
  <c r="IJ89" i="1"/>
  <c r="GE46" i="1"/>
  <c r="IJ46" i="1"/>
  <c r="GR103" i="1"/>
  <c r="IJ103" i="1"/>
  <c r="GE91" i="1"/>
  <c r="IJ91" i="1"/>
  <c r="HI96" i="1"/>
  <c r="IJ96" i="1"/>
  <c r="GF100" i="1"/>
  <c r="IJ100" i="1"/>
  <c r="HI107" i="1"/>
  <c r="IJ107" i="1"/>
  <c r="GE32" i="1"/>
  <c r="IJ32" i="1"/>
  <c r="GC50" i="1"/>
  <c r="IJ50" i="1"/>
  <c r="HH44" i="1"/>
  <c r="IJ44" i="1"/>
  <c r="GF37" i="1"/>
  <c r="IJ37" i="1"/>
  <c r="GR138" i="1"/>
  <c r="IJ138" i="1"/>
  <c r="HI90" i="1"/>
  <c r="IJ90" i="1"/>
  <c r="GR124" i="1"/>
  <c r="IJ124" i="1"/>
  <c r="GC57" i="1"/>
  <c r="IJ57" i="1"/>
  <c r="GC18" i="1"/>
  <c r="IJ18" i="1"/>
  <c r="HC28" i="1"/>
  <c r="IJ28" i="1"/>
  <c r="GF117" i="1"/>
  <c r="IJ117" i="1"/>
  <c r="GR80" i="1"/>
  <c r="IJ80" i="1"/>
  <c r="HC42" i="1"/>
  <c r="IJ42" i="1"/>
  <c r="EY122" i="1"/>
  <c r="IJ122" i="1"/>
  <c r="HH98" i="1"/>
  <c r="IJ98" i="1"/>
  <c r="GR6" i="1"/>
  <c r="IJ6" i="1"/>
  <c r="EY72" i="1"/>
  <c r="IJ72" i="1"/>
  <c r="HC118" i="1"/>
  <c r="IJ118" i="1"/>
  <c r="GR129" i="1"/>
  <c r="IJ129" i="1"/>
  <c r="GE52" i="1"/>
  <c r="IJ52" i="1"/>
  <c r="HC8" i="1"/>
  <c r="IJ8" i="1"/>
  <c r="GF43" i="1"/>
  <c r="IJ43" i="1"/>
  <c r="GR94" i="1"/>
  <c r="IJ94" i="1"/>
  <c r="EY21" i="1"/>
  <c r="IJ21" i="1"/>
  <c r="HC110" i="1"/>
  <c r="IJ110" i="1"/>
  <c r="EY54" i="1"/>
  <c r="IJ54" i="1"/>
  <c r="GE114" i="1"/>
  <c r="IJ114" i="1"/>
  <c r="GE33" i="1"/>
  <c r="IJ33" i="1"/>
  <c r="GC67" i="1"/>
  <c r="IJ67" i="1"/>
  <c r="HI75" i="1"/>
  <c r="HJ75" i="1" s="1"/>
  <c r="HK75" i="1" s="1"/>
  <c r="IJ75" i="1"/>
  <c r="GR20" i="1"/>
  <c r="IJ20" i="1"/>
  <c r="EY19" i="1"/>
  <c r="IJ19" i="1"/>
  <c r="GE16" i="1"/>
  <c r="IJ16" i="1"/>
  <c r="HC78" i="1"/>
  <c r="CA41" i="1"/>
  <c r="BX41" i="1"/>
  <c r="CA38" i="1"/>
  <c r="BX38" i="1"/>
  <c r="CA7" i="1"/>
  <c r="BX7" i="1"/>
  <c r="CA77" i="1"/>
  <c r="BX77" i="1"/>
  <c r="CA5" i="1"/>
  <c r="BX5" i="1"/>
  <c r="CA18" i="1"/>
  <c r="BX18" i="1"/>
  <c r="CA15" i="1"/>
  <c r="BX15" i="1"/>
  <c r="CA132" i="1"/>
  <c r="BX132" i="1"/>
  <c r="CA130" i="1"/>
  <c r="BX130" i="1"/>
  <c r="CA98" i="1"/>
  <c r="BX98" i="1"/>
  <c r="CA55" i="1"/>
  <c r="BX55" i="1"/>
  <c r="CA58" i="1"/>
  <c r="BX58" i="1"/>
  <c r="CA3" i="1"/>
  <c r="BX3" i="1"/>
  <c r="CA53" i="1"/>
  <c r="BX53" i="1"/>
  <c r="CA47" i="1"/>
  <c r="BX47" i="1"/>
  <c r="CA60" i="1"/>
  <c r="BX60" i="1"/>
  <c r="CA10" i="1"/>
  <c r="BX10" i="1"/>
  <c r="CA76" i="1"/>
  <c r="BX76" i="1"/>
  <c r="CA65" i="1"/>
  <c r="BX65" i="1"/>
  <c r="CA13" i="1"/>
  <c r="BX13" i="1"/>
  <c r="CA69" i="1"/>
  <c r="BX69" i="1"/>
  <c r="CA95" i="1"/>
  <c r="BX95" i="1"/>
  <c r="CA68" i="1"/>
  <c r="BX68" i="1"/>
  <c r="CA59" i="1"/>
  <c r="BX59" i="1"/>
  <c r="CA83" i="1"/>
  <c r="BX83" i="1"/>
  <c r="CA73" i="1"/>
  <c r="BX73" i="1"/>
  <c r="CA61" i="1"/>
  <c r="BX61" i="1"/>
  <c r="CA66" i="1"/>
  <c r="BX66" i="1"/>
  <c r="CA82" i="1"/>
  <c r="BX82" i="1"/>
  <c r="CA45" i="1"/>
  <c r="BX45" i="1"/>
  <c r="CA88" i="1"/>
  <c r="BX88" i="1"/>
  <c r="CA70" i="1"/>
  <c r="BX70" i="1"/>
  <c r="CA78" i="1"/>
  <c r="BX78" i="1"/>
  <c r="CA136" i="1"/>
  <c r="BX136" i="1"/>
  <c r="CA133" i="1"/>
  <c r="BX133" i="1"/>
  <c r="CA6" i="1"/>
  <c r="BX6" i="1"/>
  <c r="CA63" i="1"/>
  <c r="BX63" i="1"/>
  <c r="CA134" i="1"/>
  <c r="BX134" i="1"/>
  <c r="CA26" i="1"/>
  <c r="BX26" i="1"/>
  <c r="CA37" i="1"/>
  <c r="BX37" i="1"/>
  <c r="CA64" i="1"/>
  <c r="BX64" i="1"/>
  <c r="CA80" i="1"/>
  <c r="BX80" i="1"/>
  <c r="CA50" i="1"/>
  <c r="BX50" i="1"/>
  <c r="CA144" i="1"/>
  <c r="BX144" i="1"/>
  <c r="CA131" i="1"/>
  <c r="BX131" i="1"/>
  <c r="CA67" i="1"/>
  <c r="BX67" i="1"/>
  <c r="CA81" i="1"/>
  <c r="BX81" i="1"/>
  <c r="CA42" i="1"/>
  <c r="BX42" i="1"/>
  <c r="CA51" i="1"/>
  <c r="BX51" i="1"/>
  <c r="CA52" i="1"/>
  <c r="BX52" i="1"/>
  <c r="CA48" i="1"/>
  <c r="BX48" i="1"/>
  <c r="CA56" i="1"/>
  <c r="BX56" i="1"/>
  <c r="CA57" i="1"/>
  <c r="BX57" i="1"/>
  <c r="CA49" i="1"/>
  <c r="BX49" i="1"/>
  <c r="CA137" i="1"/>
  <c r="BX137" i="1"/>
  <c r="CA141" i="1"/>
  <c r="BX141" i="1"/>
  <c r="AD165" i="1"/>
  <c r="W63" i="1"/>
  <c r="V63" i="1"/>
  <c r="W7" i="1"/>
  <c r="R7" i="1"/>
  <c r="V7" i="1"/>
  <c r="HB57" i="1"/>
  <c r="GC41" i="1"/>
  <c r="BY118" i="1"/>
  <c r="BZ118" i="1" s="1"/>
  <c r="ES118" i="1"/>
  <c r="EN139" i="1"/>
  <c r="EP139" i="1" s="1"/>
  <c r="BY22" i="1"/>
  <c r="BZ22" i="1" s="1"/>
  <c r="BY101" i="1"/>
  <c r="BZ101" i="1" s="1"/>
  <c r="ES101" i="1"/>
  <c r="BY28" i="1"/>
  <c r="BZ28" i="1" s="1"/>
  <c r="BY100" i="1"/>
  <c r="BZ100" i="1" s="1"/>
  <c r="ES100" i="1"/>
  <c r="BY24" i="1"/>
  <c r="BZ24" i="1" s="1"/>
  <c r="BZ109" i="1"/>
  <c r="ES109" i="1"/>
  <c r="EN127" i="1"/>
  <c r="EP127" i="1" s="1"/>
  <c r="ES127" i="1"/>
  <c r="EN116" i="1"/>
  <c r="EP116" i="1" s="1"/>
  <c r="EP44" i="1"/>
  <c r="EP59" i="1"/>
  <c r="EP68" i="1"/>
  <c r="EP41" i="1"/>
  <c r="GV76" i="1"/>
  <c r="GF17" i="1"/>
  <c r="GV57" i="1"/>
  <c r="R16" i="1"/>
  <c r="GW16" i="1"/>
  <c r="Y16" i="1"/>
  <c r="GR93" i="1"/>
  <c r="V16" i="1"/>
  <c r="W16" i="1"/>
  <c r="HI93" i="1"/>
  <c r="HJ93" i="1" s="1"/>
  <c r="HK93" i="1" s="1"/>
  <c r="GN16" i="1"/>
  <c r="HB16" i="1"/>
  <c r="GV16" i="1"/>
  <c r="EY93" i="1"/>
  <c r="GI16" i="1"/>
  <c r="AM16" i="1"/>
  <c r="AE16" i="1"/>
  <c r="AL16" i="1"/>
  <c r="EL114" i="1"/>
  <c r="ED114" i="1"/>
  <c r="EI114" i="1"/>
  <c r="EE114" i="1"/>
  <c r="FK114" i="1"/>
  <c r="GF33" i="1"/>
  <c r="EI116" i="1"/>
  <c r="DC116" i="1"/>
  <c r="HI33" i="1"/>
  <c r="GR33" i="1"/>
  <c r="FK12" i="1"/>
  <c r="HH33" i="1"/>
  <c r="EI12" i="1"/>
  <c r="EE12" i="1"/>
  <c r="HJ12" i="1" s="1"/>
  <c r="HK12" i="1" s="1"/>
  <c r="DC12" i="1"/>
  <c r="EL12" i="1"/>
  <c r="GW57" i="1"/>
  <c r="AL57" i="1"/>
  <c r="R57" i="1"/>
  <c r="GI57" i="1"/>
  <c r="AM57" i="1"/>
  <c r="AE57" i="1"/>
  <c r="V57" i="1"/>
  <c r="EY33" i="1"/>
  <c r="W57" i="1"/>
  <c r="HI94" i="1"/>
  <c r="HJ94" i="1" s="1"/>
  <c r="HK94" i="1" s="1"/>
  <c r="GF103" i="1"/>
  <c r="EY103" i="1"/>
  <c r="HI142" i="1"/>
  <c r="HH142" i="1"/>
  <c r="HI134" i="1"/>
  <c r="HJ134" i="1" s="1"/>
  <c r="HK134" i="1" s="1"/>
  <c r="HH134" i="1"/>
  <c r="GE103" i="1"/>
  <c r="HH103" i="1"/>
  <c r="EY94" i="1"/>
  <c r="HH132" i="1"/>
  <c r="HI132" i="1"/>
  <c r="HJ132" i="1" s="1"/>
  <c r="HK132" i="1" s="1"/>
  <c r="BY139" i="1"/>
  <c r="BZ139" i="1" s="1"/>
  <c r="EY136" i="1"/>
  <c r="HI136" i="1"/>
  <c r="HJ136" i="1" s="1"/>
  <c r="HK136" i="1" s="1"/>
  <c r="HH136" i="1"/>
  <c r="GE94" i="1"/>
  <c r="HH94" i="1"/>
  <c r="GF94" i="1"/>
  <c r="GR137" i="1"/>
  <c r="HI137" i="1"/>
  <c r="HJ137" i="1" s="1"/>
  <c r="HK137" i="1" s="1"/>
  <c r="HH137" i="1"/>
  <c r="HI103" i="1"/>
  <c r="HJ103" i="1" s="1"/>
  <c r="HK103" i="1" s="1"/>
  <c r="BY148" i="1"/>
  <c r="BZ148" i="1" s="1"/>
  <c r="DC155" i="1"/>
  <c r="DC147" i="1"/>
  <c r="BY150" i="1"/>
  <c r="BZ150" i="1" s="1"/>
  <c r="BY145" i="1"/>
  <c r="BZ145" i="1" s="1"/>
  <c r="DC160" i="1"/>
  <c r="DC151" i="1"/>
  <c r="DC152" i="1"/>
  <c r="DC149" i="1"/>
  <c r="BY154" i="1"/>
  <c r="BZ154" i="1" s="1"/>
  <c r="HI35" i="1"/>
  <c r="EY90" i="1"/>
  <c r="EE112" i="1"/>
  <c r="GE90" i="1"/>
  <c r="HH41" i="1"/>
  <c r="EI112" i="1"/>
  <c r="HC90" i="1"/>
  <c r="DC112" i="1"/>
  <c r="ED112" i="1"/>
  <c r="FK112" i="1"/>
  <c r="ED19" i="1"/>
  <c r="DC19" i="1"/>
  <c r="HH35" i="1"/>
  <c r="GR72" i="1"/>
  <c r="EE19" i="1"/>
  <c r="EI19" i="1"/>
  <c r="FK19" i="1"/>
  <c r="EN19" i="1"/>
  <c r="EP19" i="1" s="1"/>
  <c r="EL32" i="1"/>
  <c r="EE32" i="1"/>
  <c r="DC32" i="1"/>
  <c r="FK32" i="1"/>
  <c r="EI32" i="1"/>
  <c r="FK127" i="1"/>
  <c r="ED116" i="1"/>
  <c r="EE116" i="1"/>
  <c r="FK116" i="1"/>
  <c r="EN112" i="1"/>
  <c r="EP112" i="1" s="1"/>
  <c r="GN57" i="1"/>
  <c r="EY35" i="1"/>
  <c r="GZ57" i="1"/>
  <c r="GR35" i="1"/>
  <c r="EN124" i="1"/>
  <c r="EP124" i="1" s="1"/>
  <c r="GF35" i="1"/>
  <c r="BE57" i="1"/>
  <c r="GE54" i="1"/>
  <c r="GF44" i="1"/>
  <c r="GE44" i="1"/>
  <c r="EY44" i="1"/>
  <c r="GR44" i="1"/>
  <c r="HI44" i="1"/>
  <c r="HJ44" i="1" s="1"/>
  <c r="HK44" i="1" s="1"/>
  <c r="GR54" i="1"/>
  <c r="EY18" i="1"/>
  <c r="DC110" i="1"/>
  <c r="GF54" i="1"/>
  <c r="HI54" i="1"/>
  <c r="HJ54" i="1" s="1"/>
  <c r="HK54" i="1" s="1"/>
  <c r="EE110" i="1"/>
  <c r="EI110" i="1"/>
  <c r="ED110" i="1"/>
  <c r="EL110" i="1"/>
  <c r="HH54" i="1"/>
  <c r="GF72" i="1"/>
  <c r="GR122" i="1"/>
  <c r="GE72" i="1"/>
  <c r="Y76" i="1"/>
  <c r="HH72" i="1"/>
  <c r="HI72" i="1"/>
  <c r="HJ72" i="1" s="1"/>
  <c r="HK72" i="1" s="1"/>
  <c r="AL76" i="1"/>
  <c r="GN76" i="1"/>
  <c r="GZ16" i="1"/>
  <c r="GF20" i="1"/>
  <c r="GF16" i="1"/>
  <c r="EL9" i="1"/>
  <c r="HH97" i="1"/>
  <c r="GE20" i="1"/>
  <c r="ED9" i="1"/>
  <c r="EN92" i="1"/>
  <c r="EP92" i="1" s="1"/>
  <c r="EY32" i="1"/>
  <c r="GR32" i="1"/>
  <c r="V76" i="1"/>
  <c r="HH32" i="1"/>
  <c r="GF91" i="1"/>
  <c r="HI91" i="1"/>
  <c r="HJ91" i="1" s="1"/>
  <c r="HK91" i="1" s="1"/>
  <c r="ED8" i="1"/>
  <c r="EY20" i="1"/>
  <c r="EY91" i="1"/>
  <c r="HH20" i="1"/>
  <c r="HI20" i="1"/>
  <c r="HH91" i="1"/>
  <c r="GR91" i="1"/>
  <c r="HI126" i="1"/>
  <c r="GC126" i="1"/>
  <c r="HC126" i="1"/>
  <c r="GY76" i="1"/>
  <c r="GI76" i="1"/>
  <c r="GW76" i="1"/>
  <c r="W76" i="1"/>
  <c r="GF74" i="1"/>
  <c r="HH74" i="1"/>
  <c r="GC74" i="1"/>
  <c r="GE74" i="1"/>
  <c r="HC74" i="1"/>
  <c r="EY74" i="1"/>
  <c r="HI74" i="1"/>
  <c r="HJ74" i="1" s="1"/>
  <c r="GR74" i="1"/>
  <c r="GC112" i="1"/>
  <c r="GR112" i="1"/>
  <c r="GE112" i="1"/>
  <c r="EY112" i="1"/>
  <c r="GF112" i="1"/>
  <c r="GC56" i="1"/>
  <c r="GE56" i="1"/>
  <c r="GE132" i="1"/>
  <c r="GC132" i="1"/>
  <c r="GR132" i="1"/>
  <c r="EY132" i="1"/>
  <c r="GF132" i="1"/>
  <c r="GF66" i="1"/>
  <c r="HC154" i="1"/>
  <c r="HH105" i="1"/>
  <c r="GR105" i="1"/>
  <c r="GF105" i="1"/>
  <c r="EY53" i="1"/>
  <c r="EY115" i="1"/>
  <c r="GR23" i="1"/>
  <c r="HI23" i="1"/>
  <c r="GF23" i="1"/>
  <c r="GC69" i="1"/>
  <c r="GE69" i="1"/>
  <c r="HI69" i="1"/>
  <c r="HJ69" i="1" s="1"/>
  <c r="HH69" i="1"/>
  <c r="GR69" i="1"/>
  <c r="GF69" i="1"/>
  <c r="HC69" i="1"/>
  <c r="GE10" i="1"/>
  <c r="GC10" i="1"/>
  <c r="EY10" i="1"/>
  <c r="GR25" i="1"/>
  <c r="HC64" i="1"/>
  <c r="HH24" i="1"/>
  <c r="HI24" i="1"/>
  <c r="HJ24" i="1" s="1"/>
  <c r="HK24" i="1" s="1"/>
  <c r="GF24" i="1"/>
  <c r="HH22" i="1"/>
  <c r="HC22" i="1"/>
  <c r="HC31" i="1"/>
  <c r="EY31" i="1"/>
  <c r="HI31" i="1"/>
  <c r="HJ31" i="1" s="1"/>
  <c r="HK31" i="1" s="1"/>
  <c r="GC127" i="1"/>
  <c r="GF127" i="1"/>
  <c r="HC119" i="1"/>
  <c r="GF97" i="1"/>
  <c r="EY130" i="1"/>
  <c r="AE76" i="1"/>
  <c r="GR130" i="1"/>
  <c r="Y57" i="1"/>
  <c r="GE97" i="1"/>
  <c r="GE28" i="1"/>
  <c r="HM99" i="1"/>
  <c r="HH19" i="1"/>
  <c r="GR97" i="1"/>
  <c r="HI19" i="1"/>
  <c r="HN4" i="1"/>
  <c r="GR19" i="1"/>
  <c r="HC124" i="1"/>
  <c r="GF19" i="1"/>
  <c r="GE19" i="1"/>
  <c r="HH93" i="1"/>
  <c r="GE93" i="1"/>
  <c r="HI97" i="1"/>
  <c r="HJ97" i="1" s="1"/>
  <c r="HK97" i="1" s="1"/>
  <c r="AM76" i="1"/>
  <c r="GF32" i="1"/>
  <c r="HI32" i="1"/>
  <c r="GE110" i="1"/>
  <c r="GR110" i="1"/>
  <c r="GC111" i="1"/>
  <c r="GF122" i="1"/>
  <c r="EY110" i="1"/>
  <c r="EY111" i="1"/>
  <c r="HI16" i="1"/>
  <c r="HJ16" i="1" s="1"/>
  <c r="HK16" i="1" s="1"/>
  <c r="EY16" i="1"/>
  <c r="GE43" i="1"/>
  <c r="GC110" i="1"/>
  <c r="HH16" i="1"/>
  <c r="HI110" i="1"/>
  <c r="GF110" i="1"/>
  <c r="HH110" i="1"/>
  <c r="HC16" i="1"/>
  <c r="GC16" i="1"/>
  <c r="HI111" i="1"/>
  <c r="HJ111" i="1" s="1"/>
  <c r="HK111" i="1" s="1"/>
  <c r="GR16" i="1"/>
  <c r="GE122" i="1"/>
  <c r="GC122" i="1"/>
  <c r="GR107" i="1"/>
  <c r="EN118" i="1"/>
  <c r="EP118" i="1" s="1"/>
  <c r="GE17" i="1"/>
  <c r="HC17" i="1"/>
  <c r="HH111" i="1"/>
  <c r="EY138" i="1"/>
  <c r="EY52" i="1"/>
  <c r="HH17" i="1"/>
  <c r="HI17" i="1"/>
  <c r="GE130" i="1"/>
  <c r="ED127" i="1"/>
  <c r="GC17" i="1"/>
  <c r="EY17" i="1"/>
  <c r="GC130" i="1"/>
  <c r="GE111" i="1"/>
  <c r="EE43" i="1"/>
  <c r="EI43" i="1"/>
  <c r="FK9" i="1"/>
  <c r="DC43" i="1"/>
  <c r="DC9" i="1"/>
  <c r="FK43" i="1"/>
  <c r="HH100" i="1"/>
  <c r="GE107" i="1"/>
  <c r="GE8" i="1"/>
  <c r="GR78" i="1"/>
  <c r="GF130" i="1"/>
  <c r="HC111" i="1"/>
  <c r="HH130" i="1"/>
  <c r="HH139" i="1"/>
  <c r="EL43" i="1"/>
  <c r="HI8" i="1"/>
  <c r="EI115" i="1"/>
  <c r="DC115" i="1"/>
  <c r="EY86" i="1"/>
  <c r="EL115" i="1"/>
  <c r="ED115" i="1"/>
  <c r="EY124" i="1"/>
  <c r="HH124" i="1"/>
  <c r="EN100" i="1"/>
  <c r="EP100" i="1" s="1"/>
  <c r="EY100" i="1"/>
  <c r="HI124" i="1"/>
  <c r="HJ124" i="1" s="1"/>
  <c r="HK124" i="1" s="1"/>
  <c r="EE115" i="1"/>
  <c r="GF137" i="1"/>
  <c r="GF80" i="1"/>
  <c r="DO67" i="1"/>
  <c r="EN36" i="1"/>
  <c r="EP36" i="1" s="1"/>
  <c r="EY80" i="1"/>
  <c r="HH107" i="1"/>
  <c r="EL113" i="1"/>
  <c r="GF107" i="1"/>
  <c r="EY107" i="1"/>
  <c r="DC139" i="1"/>
  <c r="HJ107" i="1"/>
  <c r="HK107" i="1" s="1"/>
  <c r="HC107" i="1"/>
  <c r="D195" i="1"/>
  <c r="GC90" i="1"/>
  <c r="BZ105" i="1"/>
  <c r="ED23" i="1"/>
  <c r="GE137" i="1"/>
  <c r="GF111" i="1"/>
  <c r="GC107" i="1"/>
  <c r="EY137" i="1"/>
  <c r="HC37" i="1"/>
  <c r="GC137" i="1"/>
  <c r="GR114" i="1"/>
  <c r="DC108" i="1"/>
  <c r="HH80" i="1"/>
  <c r="GR87" i="1"/>
  <c r="GC78" i="1"/>
  <c r="HH117" i="1"/>
  <c r="ED104" i="1"/>
  <c r="GC51" i="1"/>
  <c r="GF87" i="1"/>
  <c r="EL142" i="1"/>
  <c r="HC117" i="1"/>
  <c r="HC51" i="1"/>
  <c r="EY87" i="1"/>
  <c r="EI9" i="1"/>
  <c r="GF18" i="1"/>
  <c r="EY75" i="1"/>
  <c r="FK104" i="1"/>
  <c r="HC160" i="1"/>
  <c r="ED113" i="1"/>
  <c r="EE17" i="1"/>
  <c r="DC17" i="1"/>
  <c r="EL104" i="1"/>
  <c r="ES104" i="1" s="1"/>
  <c r="EE104" i="1"/>
  <c r="HJ104" i="1" s="1"/>
  <c r="HK104" i="1" s="1"/>
  <c r="HH87" i="1"/>
  <c r="HH75" i="1"/>
  <c r="GC124" i="1"/>
  <c r="GE124" i="1"/>
  <c r="GF124" i="1"/>
  <c r="HH28" i="1"/>
  <c r="HI28" i="1"/>
  <c r="HJ28" i="1" s="1"/>
  <c r="HK28" i="1" s="1"/>
  <c r="HJ14" i="1"/>
  <c r="HK14" i="1" s="1"/>
  <c r="EY133" i="1"/>
  <c r="HJ102" i="1"/>
  <c r="HK102" i="1" s="1"/>
  <c r="GC43" i="1"/>
  <c r="HI43" i="1"/>
  <c r="EI139" i="1"/>
  <c r="EY43" i="1"/>
  <c r="GR43" i="1"/>
  <c r="HC43" i="1"/>
  <c r="HH43" i="1"/>
  <c r="HC6" i="1"/>
  <c r="GC86" i="1"/>
  <c r="GE86" i="1"/>
  <c r="GE100" i="1"/>
  <c r="GR89" i="1"/>
  <c r="DC127" i="1"/>
  <c r="FK17" i="1"/>
  <c r="EL138" i="1"/>
  <c r="EE23" i="1"/>
  <c r="HC18" i="1"/>
  <c r="EL23" i="1"/>
  <c r="FK23" i="1"/>
  <c r="EE127" i="1"/>
  <c r="EI127" i="1"/>
  <c r="GC8" i="1"/>
  <c r="GR8" i="1"/>
  <c r="GF8" i="1"/>
  <c r="GE50" i="1"/>
  <c r="HH8" i="1"/>
  <c r="GF90" i="1"/>
  <c r="EL17" i="1"/>
  <c r="DC23" i="1"/>
  <c r="HC100" i="1"/>
  <c r="EY8" i="1"/>
  <c r="GR100" i="1"/>
  <c r="HH90" i="1"/>
  <c r="GR90" i="1"/>
  <c r="DC113" i="1"/>
  <c r="GR37" i="1"/>
  <c r="ED14" i="1"/>
  <c r="HH37" i="1"/>
  <c r="DC14" i="1"/>
  <c r="ED139" i="1"/>
  <c r="EE113" i="1"/>
  <c r="FK14" i="1"/>
  <c r="HI37" i="1"/>
  <c r="HJ37" i="1" s="1"/>
  <c r="HK37" i="1" s="1"/>
  <c r="EN28" i="1"/>
  <c r="EP28" i="1" s="1"/>
  <c r="EY37" i="1"/>
  <c r="GE37" i="1"/>
  <c r="FK113" i="1"/>
  <c r="GC37" i="1"/>
  <c r="EI14" i="1"/>
  <c r="EL14" i="1"/>
  <c r="EE139" i="1"/>
  <c r="HC147" i="1"/>
  <c r="EN111" i="1"/>
  <c r="EP111" i="1" s="1"/>
  <c r="GF116" i="1"/>
  <c r="FK8" i="1"/>
  <c r="HC71" i="1"/>
  <c r="EI8" i="1"/>
  <c r="GC114" i="1"/>
  <c r="GC75" i="1"/>
  <c r="EN101" i="1"/>
  <c r="EP101" i="1" s="1"/>
  <c r="GF75" i="1"/>
  <c r="FK142" i="1"/>
  <c r="HH52" i="1"/>
  <c r="HC75" i="1"/>
  <c r="HH138" i="1"/>
  <c r="EI142" i="1"/>
  <c r="GF138" i="1"/>
  <c r="HC138" i="1"/>
  <c r="HI138" i="1"/>
  <c r="HJ138" i="1" s="1"/>
  <c r="HK138" i="1" s="1"/>
  <c r="GC116" i="1"/>
  <c r="EE8" i="1"/>
  <c r="GR116" i="1"/>
  <c r="HC52" i="1"/>
  <c r="GE75" i="1"/>
  <c r="GC52" i="1"/>
  <c r="GE138" i="1"/>
  <c r="GC138" i="1"/>
  <c r="GF96" i="1"/>
  <c r="GE80" i="1"/>
  <c r="GE87" i="1"/>
  <c r="HI100" i="1"/>
  <c r="HJ100" i="1" s="1"/>
  <c r="HK100" i="1" s="1"/>
  <c r="HC152" i="1"/>
  <c r="HI80" i="1"/>
  <c r="HJ80" i="1" s="1"/>
  <c r="HK80" i="1" s="1"/>
  <c r="HC87" i="1"/>
  <c r="GC100" i="1"/>
  <c r="GF114" i="1"/>
  <c r="GF86" i="1"/>
  <c r="EY50" i="1"/>
  <c r="HH46" i="1"/>
  <c r="GF50" i="1"/>
  <c r="GF51" i="1"/>
  <c r="EL117" i="1"/>
  <c r="GR51" i="1"/>
  <c r="GF71" i="1"/>
  <c r="GF11" i="1"/>
  <c r="HI18" i="1"/>
  <c r="HJ18" i="1" s="1"/>
  <c r="EY68" i="1"/>
  <c r="GE117" i="1"/>
  <c r="GC117" i="1"/>
  <c r="DS67" i="1"/>
  <c r="GE11" i="1"/>
  <c r="GR117" i="1"/>
  <c r="EY117" i="1"/>
  <c r="FK71" i="1"/>
  <c r="HI117" i="1"/>
  <c r="HI118" i="1"/>
  <c r="HJ118" i="1" s="1"/>
  <c r="HK118" i="1" s="1"/>
  <c r="DC117" i="1"/>
  <c r="EY114" i="1"/>
  <c r="GC95" i="1"/>
  <c r="GR18" i="1"/>
  <c r="HC50" i="1"/>
  <c r="FK138" i="1"/>
  <c r="GE9" i="1"/>
  <c r="EY96" i="1"/>
  <c r="DC138" i="1"/>
  <c r="HH18" i="1"/>
  <c r="GE18" i="1"/>
  <c r="HH9" i="1"/>
  <c r="EN22" i="1"/>
  <c r="EP22" i="1" s="1"/>
  <c r="GR52" i="1"/>
  <c r="GE116" i="1"/>
  <c r="EE142" i="1"/>
  <c r="GF52" i="1"/>
  <c r="HI52" i="1"/>
  <c r="HJ52" i="1" s="1"/>
  <c r="DC142" i="1"/>
  <c r="EL8" i="1"/>
  <c r="HC46" i="1"/>
  <c r="FK139" i="1"/>
  <c r="GC98" i="1"/>
  <c r="GR98" i="1"/>
  <c r="GF46" i="1"/>
  <c r="HI87" i="1"/>
  <c r="HJ87" i="1" s="1"/>
  <c r="HK87" i="1" s="1"/>
  <c r="GC80" i="1"/>
  <c r="HC80" i="1"/>
  <c r="HH51" i="1"/>
  <c r="GE51" i="1"/>
  <c r="HC155" i="1"/>
  <c r="GF67" i="1"/>
  <c r="HI51" i="1"/>
  <c r="HJ51" i="1" s="1"/>
  <c r="GF95" i="1"/>
  <c r="GC46" i="1"/>
  <c r="EY46" i="1"/>
  <c r="EY98" i="1"/>
  <c r="GC11" i="1"/>
  <c r="GE98" i="1"/>
  <c r="HI46" i="1"/>
  <c r="HJ46" i="1" s="1"/>
  <c r="GF98" i="1"/>
  <c r="HI98" i="1"/>
  <c r="HJ98" i="1" s="1"/>
  <c r="HK98" i="1" s="1"/>
  <c r="GR46" i="1"/>
  <c r="BY124" i="1"/>
  <c r="BZ124" i="1" s="1"/>
  <c r="HI9" i="1"/>
  <c r="HJ9" i="1" s="1"/>
  <c r="HK9" i="1" s="1"/>
  <c r="GC9" i="1"/>
  <c r="GF9" i="1"/>
  <c r="EY81" i="1"/>
  <c r="HI21" i="1"/>
  <c r="GR82" i="1"/>
  <c r="EY106" i="1"/>
  <c r="EY41" i="1"/>
  <c r="HC151" i="1"/>
  <c r="GC82" i="1"/>
  <c r="HI6" i="1"/>
  <c r="HJ6" i="1" s="1"/>
  <c r="GF41" i="1"/>
  <c r="GR75" i="1"/>
  <c r="HC98" i="1"/>
  <c r="H196" i="1"/>
  <c r="D197" i="1"/>
  <c r="EI138" i="1"/>
  <c r="ED138" i="1"/>
  <c r="HC9" i="1"/>
  <c r="EY9" i="1"/>
  <c r="H197" i="1"/>
  <c r="DC129" i="1"/>
  <c r="HC59" i="1"/>
  <c r="GC59" i="1"/>
  <c r="EY59" i="1"/>
  <c r="HI59" i="1"/>
  <c r="HJ59" i="1" s="1"/>
  <c r="GF59" i="1"/>
  <c r="GR59" i="1"/>
  <c r="GE59" i="1"/>
  <c r="HH59" i="1"/>
  <c r="HH50" i="1"/>
  <c r="GR50" i="1"/>
  <c r="HI50" i="1"/>
  <c r="HJ50" i="1" s="1"/>
  <c r="FK129" i="1"/>
  <c r="GR86" i="1"/>
  <c r="HI86" i="1"/>
  <c r="HJ86" i="1" s="1"/>
  <c r="HK86" i="1" s="1"/>
  <c r="HH86" i="1"/>
  <c r="GE92" i="1"/>
  <c r="GF92" i="1"/>
  <c r="EY92" i="1"/>
  <c r="HI92" i="1"/>
  <c r="HJ92" i="1" s="1"/>
  <c r="HH92" i="1"/>
  <c r="GR92" i="1"/>
  <c r="GC92" i="1"/>
  <c r="HH73" i="1"/>
  <c r="GC73" i="1"/>
  <c r="HI73" i="1"/>
  <c r="HJ73" i="1" s="1"/>
  <c r="HK73" i="1" s="1"/>
  <c r="GF73" i="1"/>
  <c r="GE73" i="1"/>
  <c r="EY73" i="1"/>
  <c r="GR73" i="1"/>
  <c r="HC73" i="1"/>
  <c r="GC106" i="1"/>
  <c r="HI106" i="1"/>
  <c r="GF106" i="1"/>
  <c r="GE106" i="1"/>
  <c r="HH106" i="1"/>
  <c r="GR106" i="1"/>
  <c r="DC11" i="1"/>
  <c r="ED11" i="1"/>
  <c r="FK11" i="1"/>
  <c r="EE11" i="1"/>
  <c r="EL11" i="1"/>
  <c r="ED117" i="1"/>
  <c r="FK117" i="1"/>
  <c r="EE117" i="1"/>
  <c r="EN102" i="1"/>
  <c r="EP102" i="1" s="1"/>
  <c r="FK102" i="1"/>
  <c r="EL90" i="1"/>
  <c r="ES90" i="1" s="1"/>
  <c r="DC90" i="1"/>
  <c r="ED90" i="1"/>
  <c r="EE90" i="1"/>
  <c r="HJ90" i="1" s="1"/>
  <c r="HK90" i="1" s="1"/>
  <c r="FK90" i="1"/>
  <c r="EY28" i="1"/>
  <c r="GF28" i="1"/>
  <c r="GR28" i="1"/>
  <c r="GC28" i="1"/>
  <c r="HH78" i="1"/>
  <c r="GE78" i="1"/>
  <c r="EY78" i="1"/>
  <c r="GF78" i="1"/>
  <c r="HI78" i="1"/>
  <c r="HJ78" i="1" s="1"/>
  <c r="HK78" i="1" s="1"/>
  <c r="HC146" i="1"/>
  <c r="GF136" i="1"/>
  <c r="GE136" i="1"/>
  <c r="GC136" i="1"/>
  <c r="GR136" i="1"/>
  <c r="HI39" i="1"/>
  <c r="HJ39" i="1" s="1"/>
  <c r="HK39" i="1" s="1"/>
  <c r="HC39" i="1"/>
  <c r="GF39" i="1"/>
  <c r="GC39" i="1"/>
  <c r="GR39" i="1"/>
  <c r="GE39" i="1"/>
  <c r="EY39" i="1"/>
  <c r="HH39" i="1"/>
  <c r="HH2" i="1"/>
  <c r="EY2" i="1"/>
  <c r="HC2" i="1"/>
  <c r="GC2" i="1"/>
  <c r="HI2" i="1"/>
  <c r="HJ2" i="1" s="1"/>
  <c r="HK2" i="1" s="1"/>
  <c r="GE2" i="1"/>
  <c r="GR2" i="1"/>
  <c r="GF2" i="1"/>
  <c r="GC77" i="1"/>
  <c r="GE77" i="1"/>
  <c r="GF77" i="1"/>
  <c r="HI77" i="1"/>
  <c r="HJ77" i="1" s="1"/>
  <c r="HK77" i="1" s="1"/>
  <c r="GR77" i="1"/>
  <c r="HH77" i="1"/>
  <c r="EY77" i="1"/>
  <c r="HC77" i="1"/>
  <c r="EY89" i="1"/>
  <c r="GE89" i="1"/>
  <c r="HI89" i="1"/>
  <c r="HC89" i="1"/>
  <c r="HH89" i="1"/>
  <c r="GF89" i="1"/>
  <c r="DC96" i="1"/>
  <c r="FK96" i="1"/>
  <c r="EL96" i="1"/>
  <c r="EE96" i="1"/>
  <c r="HJ96" i="1" s="1"/>
  <c r="HK96" i="1" s="1"/>
  <c r="ED96" i="1"/>
  <c r="GR71" i="1"/>
  <c r="HI71" i="1"/>
  <c r="GE71" i="1"/>
  <c r="HH71" i="1"/>
  <c r="EY71" i="1"/>
  <c r="HI101" i="1"/>
  <c r="HJ101" i="1" s="1"/>
  <c r="HK101" i="1" s="1"/>
  <c r="EL129" i="1"/>
  <c r="HM4" i="1"/>
  <c r="D200" i="1"/>
  <c r="H199" i="1"/>
  <c r="GC6" i="1"/>
  <c r="EY6" i="1"/>
  <c r="HH6" i="1"/>
  <c r="GE6" i="1"/>
  <c r="GF6" i="1"/>
  <c r="HC104" i="1"/>
  <c r="EY104" i="1"/>
  <c r="GR104" i="1"/>
  <c r="HH104" i="1"/>
  <c r="GC104" i="1"/>
  <c r="GF104" i="1"/>
  <c r="GE104" i="1"/>
  <c r="GR21" i="1"/>
  <c r="GC21" i="1"/>
  <c r="GF21" i="1"/>
  <c r="HH21" i="1"/>
  <c r="GE21" i="1"/>
  <c r="HC21" i="1"/>
  <c r="GF58" i="1"/>
  <c r="GC58" i="1"/>
  <c r="HH58" i="1"/>
  <c r="EY58" i="1"/>
  <c r="HI58" i="1"/>
  <c r="HJ58" i="1" s="1"/>
  <c r="HC58" i="1"/>
  <c r="GR58" i="1"/>
  <c r="GE58" i="1"/>
  <c r="EY7" i="1"/>
  <c r="GE7" i="1"/>
  <c r="HH7" i="1"/>
  <c r="GR7" i="1"/>
  <c r="GC7" i="1"/>
  <c r="GF7" i="1"/>
  <c r="HI7" i="1"/>
  <c r="HJ7" i="1" s="1"/>
  <c r="HC7" i="1"/>
  <c r="EE35" i="1"/>
  <c r="DC35" i="1"/>
  <c r="EN35" i="1"/>
  <c r="EP35" i="1" s="1"/>
  <c r="EI35" i="1"/>
  <c r="ED35" i="1"/>
  <c r="FK35" i="1"/>
  <c r="HC150" i="1"/>
  <c r="EY118" i="1"/>
  <c r="GE118" i="1"/>
  <c r="GC118" i="1"/>
  <c r="HH118" i="1"/>
  <c r="GF118" i="1"/>
  <c r="GR118" i="1"/>
  <c r="HH68" i="1"/>
  <c r="GE68" i="1"/>
  <c r="GF68" i="1"/>
  <c r="GC68" i="1"/>
  <c r="HI68" i="1"/>
  <c r="HJ68" i="1" s="1"/>
  <c r="GR68" i="1"/>
  <c r="HC145" i="1"/>
  <c r="GE63" i="1"/>
  <c r="HI63" i="1"/>
  <c r="HJ63" i="1" s="1"/>
  <c r="GF63" i="1"/>
  <c r="GR63" i="1"/>
  <c r="HH63" i="1"/>
  <c r="HC63" i="1"/>
  <c r="GC63" i="1"/>
  <c r="GR49" i="1"/>
  <c r="GF49" i="1"/>
  <c r="HH49" i="1"/>
  <c r="EY49" i="1"/>
  <c r="GE49" i="1"/>
  <c r="HC49" i="1"/>
  <c r="GC49" i="1"/>
  <c r="HI49" i="1"/>
  <c r="HJ49" i="1" s="1"/>
  <c r="GE38" i="1"/>
  <c r="GR38" i="1"/>
  <c r="HH38" i="1"/>
  <c r="EY38" i="1"/>
  <c r="GC129" i="1"/>
  <c r="HN99" i="1"/>
  <c r="HC70" i="1"/>
  <c r="GE70" i="1"/>
  <c r="HI70" i="1"/>
  <c r="HJ70" i="1" s="1"/>
  <c r="HK70" i="1" s="1"/>
  <c r="GF70" i="1"/>
  <c r="GC70" i="1"/>
  <c r="HH70" i="1"/>
  <c r="EY70" i="1"/>
  <c r="GR70" i="1"/>
  <c r="HI11" i="1"/>
  <c r="HC11" i="1"/>
  <c r="HH11" i="1"/>
  <c r="GR11" i="1"/>
  <c r="GE55" i="1"/>
  <c r="GF55" i="1"/>
  <c r="HH55" i="1"/>
  <c r="HC55" i="1"/>
  <c r="GC55" i="1"/>
  <c r="HI55" i="1"/>
  <c r="HJ55" i="1" s="1"/>
  <c r="EY55" i="1"/>
  <c r="GR55" i="1"/>
  <c r="EY26" i="1"/>
  <c r="HI26" i="1"/>
  <c r="HJ26" i="1" s="1"/>
  <c r="HC26" i="1"/>
  <c r="GE26" i="1"/>
  <c r="GF26" i="1"/>
  <c r="GC26" i="1"/>
  <c r="HH26" i="1"/>
  <c r="GR26" i="1"/>
  <c r="HI67" i="1"/>
  <c r="HJ67" i="1" s="1"/>
  <c r="HH67" i="1"/>
  <c r="EY67" i="1"/>
  <c r="HC67" i="1"/>
  <c r="GE67" i="1"/>
  <c r="GR67" i="1"/>
  <c r="EY95" i="1"/>
  <c r="GR95" i="1"/>
  <c r="HI95" i="1"/>
  <c r="HJ95" i="1" s="1"/>
  <c r="HK95" i="1" s="1"/>
  <c r="HC95" i="1"/>
  <c r="GE95" i="1"/>
  <c r="EI108" i="1"/>
  <c r="EL108" i="1" s="1"/>
  <c r="EE108" i="1"/>
  <c r="ED108" i="1"/>
  <c r="HC88" i="1"/>
  <c r="HH88" i="1"/>
  <c r="EY88" i="1"/>
  <c r="GC88" i="1"/>
  <c r="HI88" i="1"/>
  <c r="HJ88" i="1" s="1"/>
  <c r="HK88" i="1" s="1"/>
  <c r="GF88" i="1"/>
  <c r="GE88" i="1"/>
  <c r="GR88" i="1"/>
  <c r="FK99" i="1"/>
  <c r="FK122" i="1"/>
  <c r="EE122" i="1"/>
  <c r="EL122" i="1"/>
  <c r="ED122" i="1"/>
  <c r="DC122" i="1"/>
  <c r="EI122" i="1"/>
  <c r="GE140" i="1"/>
  <c r="GR140" i="1"/>
  <c r="HC40" i="1"/>
  <c r="D198" i="1"/>
  <c r="H194" i="1"/>
  <c r="H201" i="1" s="1"/>
  <c r="H198" i="1"/>
  <c r="GE142" i="1"/>
  <c r="EY142" i="1"/>
  <c r="GC142" i="1"/>
  <c r="GR142" i="1"/>
  <c r="GF142" i="1"/>
  <c r="HC142" i="1"/>
  <c r="ED106" i="1"/>
  <c r="FK106" i="1"/>
  <c r="DC106" i="1"/>
  <c r="EE106" i="1"/>
  <c r="DC33" i="1"/>
  <c r="ED33" i="1"/>
  <c r="EE33" i="1"/>
  <c r="EI33" i="1"/>
  <c r="FK33" i="1"/>
  <c r="EL33" i="1"/>
  <c r="EE129" i="1"/>
  <c r="H195" i="1"/>
  <c r="GF82" i="1"/>
  <c r="GE82" i="1"/>
  <c r="HC82" i="1"/>
  <c r="EY82" i="1"/>
  <c r="HH36" i="1"/>
  <c r="EY36" i="1"/>
  <c r="HI36" i="1"/>
  <c r="HJ36" i="1" s="1"/>
  <c r="HK36" i="1" s="1"/>
  <c r="HC36" i="1"/>
  <c r="GF36" i="1"/>
  <c r="GE36" i="1"/>
  <c r="GR36" i="1"/>
  <c r="GC36" i="1"/>
  <c r="GC96" i="1"/>
  <c r="GR96" i="1"/>
  <c r="HC96" i="1"/>
  <c r="GE96" i="1"/>
  <c r="HH96" i="1"/>
  <c r="EI129" i="1"/>
  <c r="GF42" i="1"/>
  <c r="GR62" i="1"/>
  <c r="HC62" i="1"/>
  <c r="HH62" i="1"/>
  <c r="GE62" i="1"/>
  <c r="GF62" i="1"/>
  <c r="HI62" i="1"/>
  <c r="HJ62" i="1" s="1"/>
  <c r="EY62" i="1"/>
  <c r="GC62" i="1"/>
  <c r="HC148" i="1"/>
  <c r="DC30" i="1"/>
  <c r="EE30" i="1"/>
  <c r="FK30" i="1"/>
  <c r="EL30" i="1"/>
  <c r="ED30" i="1"/>
  <c r="BY92" i="1"/>
  <c r="BZ92" i="1" s="1"/>
  <c r="J199" i="1"/>
  <c r="P201" i="1"/>
  <c r="J198" i="1"/>
  <c r="D199" i="1"/>
  <c r="D196" i="1"/>
  <c r="L197" i="1"/>
  <c r="L198" i="1"/>
  <c r="L194" i="1"/>
  <c r="L200" i="1"/>
  <c r="L196" i="1"/>
  <c r="L199" i="1"/>
  <c r="GE129" i="1"/>
  <c r="EY57" i="1"/>
  <c r="EE34" i="1"/>
  <c r="HJ34" i="1" s="1"/>
  <c r="EL34" i="1"/>
  <c r="DC34" i="1"/>
  <c r="FK34" i="1"/>
  <c r="ED34" i="1"/>
  <c r="GR41" i="1"/>
  <c r="HC41" i="1"/>
  <c r="HI41" i="1"/>
  <c r="HJ41" i="1" s="1"/>
  <c r="GE41" i="1"/>
  <c r="HC30" i="1"/>
  <c r="GC30" i="1"/>
  <c r="GE30" i="1"/>
  <c r="GR30" i="1"/>
  <c r="GF30" i="1"/>
  <c r="EY30" i="1"/>
  <c r="HH30" i="1"/>
  <c r="HC45" i="1"/>
  <c r="HH45" i="1"/>
  <c r="GF45" i="1"/>
  <c r="GC45" i="1"/>
  <c r="GR45" i="1"/>
  <c r="GE45" i="1"/>
  <c r="HI45" i="1"/>
  <c r="HJ45" i="1" s="1"/>
  <c r="EY45" i="1"/>
  <c r="EY129" i="1"/>
  <c r="GE57" i="1"/>
  <c r="GF129" i="1"/>
  <c r="T22" i="1"/>
  <c r="Y22" i="1"/>
  <c r="S22" i="1"/>
  <c r="W22" i="1"/>
  <c r="DC21" i="1"/>
  <c r="ED21" i="1"/>
  <c r="FK21" i="1"/>
  <c r="EE21" i="1"/>
  <c r="EL21" i="1"/>
  <c r="F197" i="1"/>
  <c r="F199" i="1"/>
  <c r="F200" i="1"/>
  <c r="F194" i="1"/>
  <c r="HH85" i="1"/>
  <c r="GF85" i="1"/>
  <c r="EY85" i="1"/>
  <c r="GE85" i="1"/>
  <c r="GR85" i="1"/>
  <c r="F196" i="1"/>
  <c r="GE34" i="1"/>
  <c r="EY34" i="1"/>
  <c r="HH34" i="1"/>
  <c r="HI34" i="1"/>
  <c r="J196" i="1"/>
  <c r="J200" i="1"/>
  <c r="J197" i="1"/>
  <c r="J195" i="1"/>
  <c r="F195" i="1"/>
  <c r="HH57" i="1"/>
  <c r="GF57" i="1"/>
  <c r="EN109" i="1"/>
  <c r="EP109" i="1" s="1"/>
  <c r="HI57" i="1"/>
  <c r="HJ57" i="1" s="1"/>
  <c r="GR57" i="1"/>
  <c r="HC143" i="1"/>
  <c r="N198" i="1"/>
  <c r="N199" i="1"/>
  <c r="N197" i="1"/>
  <c r="N200" i="1"/>
  <c r="N196" i="1"/>
  <c r="N195" i="1"/>
  <c r="GR81" i="1"/>
  <c r="HI81" i="1"/>
  <c r="HJ81" i="1" s="1"/>
  <c r="HK81" i="1" s="1"/>
  <c r="HC81" i="1"/>
  <c r="GC81" i="1"/>
  <c r="GF81" i="1"/>
  <c r="HH81" i="1"/>
  <c r="GE81" i="1"/>
  <c r="HH42" i="1"/>
  <c r="HI42" i="1"/>
  <c r="HJ42" i="1" s="1"/>
  <c r="GC42" i="1"/>
  <c r="EY42" i="1"/>
  <c r="GR42" i="1"/>
  <c r="GE42" i="1"/>
  <c r="HI48" i="1"/>
  <c r="HJ48" i="1" s="1"/>
  <c r="HK48" i="1" s="1"/>
  <c r="GE48" i="1"/>
  <c r="EY48" i="1"/>
  <c r="GF48" i="1"/>
  <c r="GC48" i="1"/>
  <c r="HH48" i="1"/>
  <c r="GR48" i="1"/>
  <c r="DC20" i="1"/>
  <c r="FK20" i="1"/>
  <c r="EL20" i="1"/>
  <c r="EI20" i="1"/>
  <c r="ED20" i="1"/>
  <c r="EE20" i="1"/>
  <c r="GR47" i="1"/>
  <c r="GF47" i="1"/>
  <c r="GC47" i="1"/>
  <c r="HH47" i="1"/>
  <c r="HI47" i="1"/>
  <c r="HJ47" i="1" s="1"/>
  <c r="EY47" i="1"/>
  <c r="HC47" i="1"/>
  <c r="GE47" i="1"/>
  <c r="E178" i="1"/>
  <c r="Q196" i="1"/>
  <c r="FK126" i="1"/>
  <c r="DC126" i="1"/>
  <c r="EL126" i="1"/>
  <c r="ES126" i="1" s="1"/>
  <c r="EI126" i="1"/>
  <c r="EE126" i="1"/>
  <c r="ED126" i="1"/>
  <c r="EL140" i="1"/>
  <c r="FK140" i="1"/>
  <c r="ED140" i="1"/>
  <c r="EE140" i="1"/>
  <c r="EI140" i="1"/>
  <c r="DC140" i="1"/>
  <c r="BY36" i="1"/>
  <c r="BZ36" i="1" s="1"/>
  <c r="BY25" i="1"/>
  <c r="BZ25" i="1" s="1"/>
  <c r="EN25" i="1"/>
  <c r="EP25" i="1" s="1"/>
  <c r="GC3" i="1"/>
  <c r="GF3" i="1"/>
  <c r="GR3" i="1"/>
  <c r="HC3" i="1"/>
  <c r="GE3" i="1"/>
  <c r="HI3" i="1"/>
  <c r="HJ3" i="1" s="1"/>
  <c r="EY3" i="1"/>
  <c r="HH3" i="1"/>
  <c r="T24" i="1"/>
  <c r="W24" i="1"/>
  <c r="Y24" i="1"/>
  <c r="ED119" i="1"/>
  <c r="DC119" i="1"/>
  <c r="EL119" i="1"/>
  <c r="ES119" i="1" s="1"/>
  <c r="EI119" i="1"/>
  <c r="EE119" i="1"/>
  <c r="FK119" i="1"/>
  <c r="H178" i="1"/>
  <c r="Q199" i="1"/>
  <c r="S24" i="1"/>
  <c r="DC125" i="1"/>
  <c r="EL125" i="1"/>
  <c r="ES125" i="1" s="1"/>
  <c r="EI125" i="1"/>
  <c r="EE125" i="1"/>
  <c r="ED125" i="1"/>
  <c r="FK125" i="1"/>
  <c r="BY120" i="1"/>
  <c r="BZ120" i="1" s="1"/>
  <c r="EN120" i="1"/>
  <c r="EP120" i="1" s="1"/>
  <c r="GC125" i="1"/>
  <c r="HI125" i="1"/>
  <c r="EY125" i="1"/>
  <c r="HC125" i="1"/>
  <c r="GE125" i="1"/>
  <c r="GR125" i="1"/>
  <c r="HH125" i="1"/>
  <c r="GF125" i="1"/>
  <c r="GE134" i="1"/>
  <c r="GF134" i="1"/>
  <c r="GC134" i="1"/>
  <c r="GR134" i="1"/>
  <c r="EY134" i="1"/>
  <c r="EN24" i="1"/>
  <c r="BY39" i="1"/>
  <c r="BZ39" i="1" s="1"/>
  <c r="EN39" i="1"/>
  <c r="EP39" i="1" s="1"/>
  <c r="C178" i="1"/>
  <c r="B176" i="1"/>
  <c r="F178" i="1"/>
  <c r="Q197" i="1"/>
  <c r="Q195" i="1"/>
  <c r="GC120" i="1"/>
  <c r="EY120" i="1"/>
  <c r="GF120" i="1"/>
  <c r="HC120" i="1"/>
  <c r="HI120" i="1"/>
  <c r="HJ120" i="1" s="1"/>
  <c r="HK120" i="1" s="1"/>
  <c r="HH120" i="1"/>
  <c r="GE120" i="1"/>
  <c r="GR120" i="1"/>
  <c r="I178" i="1"/>
  <c r="Q200" i="1"/>
  <c r="EN107" i="1"/>
  <c r="EP107" i="1" s="1"/>
  <c r="BY107" i="1"/>
  <c r="BZ107" i="1" s="1"/>
  <c r="G178" i="1"/>
  <c r="Q198" i="1"/>
  <c r="Q194" i="1"/>
  <c r="GC38" i="1" l="1"/>
  <c r="HI105" i="1"/>
  <c r="HJ105" i="1" s="1"/>
  <c r="HK105" i="1" s="1"/>
  <c r="GE126" i="1"/>
  <c r="EY127" i="1"/>
  <c r="HC10" i="1"/>
  <c r="HC38" i="1"/>
  <c r="GE127" i="1"/>
  <c r="HI10" i="1"/>
  <c r="HJ10" i="1" s="1"/>
  <c r="GC105" i="1"/>
  <c r="GR126" i="1"/>
  <c r="GF10" i="1"/>
  <c r="GE105" i="1"/>
  <c r="HH126" i="1"/>
  <c r="HI38" i="1"/>
  <c r="HJ38" i="1" s="1"/>
  <c r="GR10" i="1"/>
  <c r="EY105" i="1"/>
  <c r="GF126" i="1"/>
  <c r="GF38" i="1"/>
  <c r="GR127" i="1"/>
  <c r="HH10" i="1"/>
  <c r="HC105" i="1"/>
  <c r="EY126" i="1"/>
  <c r="GC85" i="1"/>
  <c r="HI82" i="1"/>
  <c r="HJ82" i="1" s="1"/>
  <c r="HK82" i="1" s="1"/>
  <c r="GC24" i="1"/>
  <c r="GE23" i="1"/>
  <c r="GE24" i="1"/>
  <c r="GC23" i="1"/>
  <c r="HI85" i="1"/>
  <c r="HJ85" i="1" s="1"/>
  <c r="HK85" i="1" s="1"/>
  <c r="EY24" i="1"/>
  <c r="HC23" i="1"/>
  <c r="HC85" i="1"/>
  <c r="HC24" i="1"/>
  <c r="HH23" i="1"/>
  <c r="GR24" i="1"/>
  <c r="EY23" i="1"/>
  <c r="HI56" i="1"/>
  <c r="HJ56" i="1" s="1"/>
  <c r="HI131" i="1"/>
  <c r="HJ131" i="1" s="1"/>
  <c r="HK131" i="1" s="1"/>
  <c r="GF133" i="1"/>
  <c r="GR133" i="1"/>
  <c r="GF64" i="1"/>
  <c r="HI53" i="1"/>
  <c r="HJ53" i="1" s="1"/>
  <c r="GC131" i="1"/>
  <c r="HH133" i="1"/>
  <c r="GE131" i="1"/>
  <c r="HI64" i="1"/>
  <c r="HJ64" i="1" s="1"/>
  <c r="GF53" i="1"/>
  <c r="EY131" i="1"/>
  <c r="GE64" i="1"/>
  <c r="HC53" i="1"/>
  <c r="HI133" i="1"/>
  <c r="HJ133" i="1" s="1"/>
  <c r="HK133" i="1" s="1"/>
  <c r="GC133" i="1"/>
  <c r="GC115" i="1"/>
  <c r="GC53" i="1"/>
  <c r="GE133" i="1"/>
  <c r="HH64" i="1"/>
  <c r="GF115" i="1"/>
  <c r="HH53" i="1"/>
  <c r="GR64" i="1"/>
  <c r="GE115" i="1"/>
  <c r="GE53" i="1"/>
  <c r="GF131" i="1"/>
  <c r="EY63" i="1"/>
  <c r="GR131" i="1"/>
  <c r="GC64" i="1"/>
  <c r="GR115" i="1"/>
  <c r="GR53" i="1"/>
  <c r="HH131" i="1"/>
  <c r="HC65" i="1"/>
  <c r="GR108" i="1"/>
  <c r="GR65" i="1"/>
  <c r="HH108" i="1"/>
  <c r="HC60" i="1"/>
  <c r="EY60" i="1"/>
  <c r="HH61" i="1"/>
  <c r="GC119" i="1"/>
  <c r="GR66" i="1"/>
  <c r="HH119" i="1"/>
  <c r="HH31" i="1"/>
  <c r="EY66" i="1"/>
  <c r="GC101" i="1"/>
  <c r="GE119" i="1"/>
  <c r="HI66" i="1"/>
  <c r="HJ66" i="1" s="1"/>
  <c r="GE108" i="1"/>
  <c r="HI108" i="1"/>
  <c r="GE60" i="1"/>
  <c r="GC108" i="1"/>
  <c r="GC60" i="1"/>
  <c r="GF65" i="1"/>
  <c r="HH65" i="1"/>
  <c r="HC61" i="1"/>
  <c r="HI61" i="1"/>
  <c r="HJ61" i="1" s="1"/>
  <c r="GR61" i="1"/>
  <c r="EY61" i="1"/>
  <c r="GC61" i="1"/>
  <c r="GE61" i="1"/>
  <c r="GC83" i="1"/>
  <c r="HH82" i="1"/>
  <c r="GF61" i="1"/>
  <c r="HI13" i="1"/>
  <c r="HJ13" i="1" s="1"/>
  <c r="EY22" i="1"/>
  <c r="GF83" i="1"/>
  <c r="GE113" i="1"/>
  <c r="GE13" i="1"/>
  <c r="GR139" i="1"/>
  <c r="HC139" i="1"/>
  <c r="HI83" i="1"/>
  <c r="HJ83" i="1" s="1"/>
  <c r="HK83" i="1" s="1"/>
  <c r="HH13" i="1"/>
  <c r="GF140" i="1"/>
  <c r="GC141" i="1"/>
  <c r="GF15" i="1"/>
  <c r="GF22" i="1"/>
  <c r="HC140" i="1"/>
  <c r="GE139" i="1"/>
  <c r="HI22" i="1"/>
  <c r="HJ22" i="1" s="1"/>
  <c r="HK22" i="1" s="1"/>
  <c r="EY83" i="1"/>
  <c r="GR113" i="1"/>
  <c r="HC13" i="1"/>
  <c r="IJ13" i="1"/>
  <c r="HC15" i="1"/>
  <c r="GE141" i="1"/>
  <c r="HI140" i="1"/>
  <c r="GR141" i="1"/>
  <c r="HH15" i="1"/>
  <c r="GF141" i="1"/>
  <c r="GE22" i="1"/>
  <c r="GR83" i="1"/>
  <c r="EY113" i="1"/>
  <c r="GC13" i="1"/>
  <c r="GC140" i="1"/>
  <c r="GC139" i="1"/>
  <c r="HC83" i="1"/>
  <c r="GF113" i="1"/>
  <c r="EY13" i="1"/>
  <c r="HI139" i="1"/>
  <c r="HI15" i="1"/>
  <c r="HJ15" i="1" s="1"/>
  <c r="EY140" i="1"/>
  <c r="GF139" i="1"/>
  <c r="GR22" i="1"/>
  <c r="HH83" i="1"/>
  <c r="GC113" i="1"/>
  <c r="GR13" i="1"/>
  <c r="HH140" i="1"/>
  <c r="EY139" i="1"/>
  <c r="GC22" i="1"/>
  <c r="GE83" i="1"/>
  <c r="GR101" i="1"/>
  <c r="HC56" i="1"/>
  <c r="HC101" i="1"/>
  <c r="GF34" i="1"/>
  <c r="GR56" i="1"/>
  <c r="GF101" i="1"/>
  <c r="GR15" i="1"/>
  <c r="GF56" i="1"/>
  <c r="HK34" i="1"/>
  <c r="GC34" i="1"/>
  <c r="HC34" i="1"/>
  <c r="GR34" i="1"/>
  <c r="GE15" i="1"/>
  <c r="EY56" i="1"/>
  <c r="EY15" i="1"/>
  <c r="GC15" i="1"/>
  <c r="HH56" i="1"/>
  <c r="GF108" i="1"/>
  <c r="EY101" i="1"/>
  <c r="GR60" i="1"/>
  <c r="GF31" i="1"/>
  <c r="EY65" i="1"/>
  <c r="GE66" i="1"/>
  <c r="IJ60" i="1"/>
  <c r="IJ31" i="1"/>
  <c r="IJ108" i="1"/>
  <c r="IJ101" i="1"/>
  <c r="IJ65" i="1"/>
  <c r="IJ66" i="1"/>
  <c r="IJ141" i="1"/>
  <c r="IJ119" i="1"/>
  <c r="GF119" i="1"/>
  <c r="HH101" i="1"/>
  <c r="HH141" i="1"/>
  <c r="HI60" i="1"/>
  <c r="HJ60" i="1" s="1"/>
  <c r="GE31" i="1"/>
  <c r="HI65" i="1"/>
  <c r="HJ65" i="1" s="1"/>
  <c r="HC66" i="1"/>
  <c r="EY119" i="1"/>
  <c r="HI141" i="1"/>
  <c r="HJ141" i="1" s="1"/>
  <c r="HK141" i="1" s="1"/>
  <c r="GF60" i="1"/>
  <c r="GR31" i="1"/>
  <c r="GC65" i="1"/>
  <c r="GC66" i="1"/>
  <c r="GR119" i="1"/>
  <c r="HI25" i="1"/>
  <c r="HJ25" i="1" s="1"/>
  <c r="HK25" i="1" s="1"/>
  <c r="GE25" i="1"/>
  <c r="GC25" i="1"/>
  <c r="GF25" i="1"/>
  <c r="HH25" i="1"/>
  <c r="HC25" i="1"/>
  <c r="EY25" i="1"/>
  <c r="GF109" i="1"/>
  <c r="IJ109" i="1"/>
  <c r="GF99" i="1"/>
  <c r="IJ99" i="1"/>
  <c r="HH27" i="1"/>
  <c r="IJ27" i="1"/>
  <c r="GR5" i="1"/>
  <c r="IJ5" i="1"/>
  <c r="EY4" i="1"/>
  <c r="IJ4" i="1"/>
  <c r="EY79" i="1"/>
  <c r="IJ79" i="1"/>
  <c r="CA145" i="1"/>
  <c r="BX145" i="1"/>
  <c r="CA139" i="1"/>
  <c r="BX139" i="1"/>
  <c r="CA118" i="1"/>
  <c r="BX118" i="1"/>
  <c r="CA100" i="1"/>
  <c r="BX100" i="1"/>
  <c r="CA25" i="1"/>
  <c r="BX25" i="1"/>
  <c r="CA150" i="1"/>
  <c r="BX150" i="1"/>
  <c r="CA36" i="1"/>
  <c r="BX36" i="1"/>
  <c r="CA39" i="1"/>
  <c r="BX39" i="1"/>
  <c r="CA120" i="1"/>
  <c r="BX120" i="1"/>
  <c r="CA154" i="1"/>
  <c r="BX154" i="1"/>
  <c r="CA148" i="1"/>
  <c r="BX148" i="1"/>
  <c r="CA28" i="1"/>
  <c r="BX28" i="1"/>
  <c r="CA92" i="1"/>
  <c r="BX92" i="1"/>
  <c r="CA124" i="1"/>
  <c r="BX124" i="1"/>
  <c r="CA22" i="1"/>
  <c r="BX22" i="1"/>
  <c r="CA107" i="1"/>
  <c r="BX107" i="1"/>
  <c r="CA109" i="1"/>
  <c r="BX109" i="1"/>
  <c r="CA105" i="1"/>
  <c r="BX105" i="1"/>
  <c r="CA24" i="1"/>
  <c r="BX24" i="1"/>
  <c r="CA101" i="1"/>
  <c r="BX101" i="1"/>
  <c r="AE165" i="1"/>
  <c r="EN140" i="1"/>
  <c r="EP140" i="1" s="1"/>
  <c r="EN14" i="1"/>
  <c r="EP14" i="1" s="1"/>
  <c r="BY23" i="1"/>
  <c r="BZ23" i="1" s="1"/>
  <c r="EN113" i="1"/>
  <c r="EP113" i="1" s="1"/>
  <c r="EN114" i="1"/>
  <c r="EP114" i="1" s="1"/>
  <c r="EN33" i="1"/>
  <c r="EP33" i="1" s="1"/>
  <c r="EN43" i="1"/>
  <c r="EP43" i="1" s="1"/>
  <c r="ES43" i="1"/>
  <c r="EN32" i="1"/>
  <c r="EP32" i="1" s="1"/>
  <c r="EN122" i="1"/>
  <c r="EP122" i="1" s="1"/>
  <c r="EN12" i="1"/>
  <c r="EP12" i="1" s="1"/>
  <c r="EN20" i="1"/>
  <c r="EP20" i="1" s="1"/>
  <c r="EN115" i="1"/>
  <c r="EP115" i="1" s="1"/>
  <c r="EN110" i="1"/>
  <c r="EP110" i="1" s="1"/>
  <c r="ES110" i="1"/>
  <c r="EN129" i="1"/>
  <c r="EP129" i="1" s="1"/>
  <c r="ES129" i="1"/>
  <c r="EN96" i="1"/>
  <c r="EP96" i="1" s="1"/>
  <c r="ES96" i="1"/>
  <c r="EN34" i="1"/>
  <c r="EP34" i="1" s="1"/>
  <c r="HJ142" i="1"/>
  <c r="HK142" i="1" s="1"/>
  <c r="HJ33" i="1"/>
  <c r="HK33" i="1" s="1"/>
  <c r="HJ139" i="1"/>
  <c r="HK139" i="1" s="1"/>
  <c r="GE5" i="1"/>
  <c r="BY142" i="1"/>
  <c r="BZ142" i="1" s="1"/>
  <c r="HJ35" i="1"/>
  <c r="HK35" i="1" s="1"/>
  <c r="BY138" i="1"/>
  <c r="BZ138" i="1" s="1"/>
  <c r="BY146" i="1"/>
  <c r="BZ146" i="1" s="1"/>
  <c r="BY147" i="1"/>
  <c r="BZ147" i="1" s="1"/>
  <c r="BY40" i="1"/>
  <c r="BZ40" i="1" s="1"/>
  <c r="BY152" i="1"/>
  <c r="BZ152" i="1" s="1"/>
  <c r="BY151" i="1"/>
  <c r="BZ151" i="1" s="1"/>
  <c r="BY149" i="1"/>
  <c r="BZ149" i="1" s="1"/>
  <c r="BY143" i="1"/>
  <c r="BZ143" i="1" s="1"/>
  <c r="BY29" i="1"/>
  <c r="BZ29" i="1" s="1"/>
  <c r="HJ19" i="1"/>
  <c r="HK19" i="1" s="1"/>
  <c r="HJ32" i="1"/>
  <c r="HK32" i="1" s="1"/>
  <c r="GE109" i="1"/>
  <c r="HC109" i="1"/>
  <c r="EY109" i="1"/>
  <c r="GC109" i="1"/>
  <c r="EN9" i="1"/>
  <c r="EP9" i="1" s="1"/>
  <c r="HH109" i="1"/>
  <c r="HI109" i="1"/>
  <c r="HJ109" i="1" s="1"/>
  <c r="HK109" i="1" s="1"/>
  <c r="HJ20" i="1"/>
  <c r="HK20" i="1" s="1"/>
  <c r="GE79" i="1"/>
  <c r="GC5" i="1"/>
  <c r="GR109" i="1"/>
  <c r="HH4" i="1"/>
  <c r="HC5" i="1"/>
  <c r="BY9" i="1"/>
  <c r="BZ9" i="1" s="1"/>
  <c r="HH5" i="1"/>
  <c r="EY5" i="1"/>
  <c r="HJ110" i="1"/>
  <c r="HK110" i="1" s="1"/>
  <c r="GC79" i="1"/>
  <c r="HI79" i="1"/>
  <c r="HJ79" i="1" s="1"/>
  <c r="HK79" i="1" s="1"/>
  <c r="GF5" i="1"/>
  <c r="HC79" i="1"/>
  <c r="GR4" i="1"/>
  <c r="GF79" i="1"/>
  <c r="HI5" i="1"/>
  <c r="HJ5" i="1" s="1"/>
  <c r="GR79" i="1"/>
  <c r="HH79" i="1"/>
  <c r="EN108" i="1"/>
  <c r="EP108" i="1" s="1"/>
  <c r="HJ126" i="1"/>
  <c r="HK126" i="1" s="1"/>
  <c r="GF27" i="1"/>
  <c r="HI4" i="1"/>
  <c r="HJ4" i="1" s="1"/>
  <c r="HK4" i="1" s="1"/>
  <c r="GE99" i="1"/>
  <c r="GF4" i="1"/>
  <c r="HC4" i="1"/>
  <c r="GC99" i="1"/>
  <c r="GE27" i="1"/>
  <c r="HI99" i="1"/>
  <c r="HJ99" i="1" s="1"/>
  <c r="HK99" i="1" s="1"/>
  <c r="EY27" i="1"/>
  <c r="EY99" i="1"/>
  <c r="GC27" i="1"/>
  <c r="GR99" i="1"/>
  <c r="HI27" i="1"/>
  <c r="HJ27" i="1" s="1"/>
  <c r="HH99" i="1"/>
  <c r="GC4" i="1"/>
  <c r="GR27" i="1"/>
  <c r="HC99" i="1"/>
  <c r="HC27" i="1"/>
  <c r="GE4" i="1"/>
  <c r="HJ119" i="1"/>
  <c r="HK119" i="1" s="1"/>
  <c r="HJ23" i="1"/>
  <c r="HK23" i="1" s="1"/>
  <c r="GZ76" i="1"/>
  <c r="HB76" i="1"/>
  <c r="HJ17" i="1"/>
  <c r="HK17" i="1" s="1"/>
  <c r="HJ43" i="1"/>
  <c r="HK43" i="1" s="1"/>
  <c r="BY43" i="1"/>
  <c r="BZ43" i="1" s="1"/>
  <c r="HJ8" i="1"/>
  <c r="HK8" i="1" s="1"/>
  <c r="EN138" i="1"/>
  <c r="EP138" i="1" s="1"/>
  <c r="HJ21" i="1"/>
  <c r="HK21" i="1" s="1"/>
  <c r="EN142" i="1"/>
  <c r="EP142" i="1" s="1"/>
  <c r="EN71" i="1"/>
  <c r="BY71" i="1"/>
  <c r="BZ71" i="1" s="1"/>
  <c r="BY104" i="1"/>
  <c r="BZ104" i="1" s="1"/>
  <c r="EN104" i="1"/>
  <c r="EP104" i="1" s="1"/>
  <c r="HJ106" i="1"/>
  <c r="HK106" i="1" s="1"/>
  <c r="HJ108" i="1"/>
  <c r="HJ140" i="1"/>
  <c r="HK140" i="1" s="1"/>
  <c r="Q201" i="1"/>
  <c r="HJ117" i="1"/>
  <c r="HK117" i="1" s="1"/>
  <c r="HJ11" i="1"/>
  <c r="HK11" i="1" s="1"/>
  <c r="HJ71" i="1"/>
  <c r="HK71" i="1" s="1"/>
  <c r="HJ89" i="1"/>
  <c r="HK89" i="1" s="1"/>
  <c r="HJ125" i="1"/>
  <c r="HK125" i="1" s="1"/>
  <c r="BY17" i="1"/>
  <c r="BZ17" i="1" s="1"/>
  <c r="BY117" i="1"/>
  <c r="BZ117" i="1" s="1"/>
  <c r="EN17" i="1"/>
  <c r="EN23" i="1"/>
  <c r="EP23" i="1" s="1"/>
  <c r="EN117" i="1"/>
  <c r="EP117" i="1" s="1"/>
  <c r="BY89" i="1"/>
  <c r="BZ89" i="1" s="1"/>
  <c r="EN89" i="1"/>
  <c r="EP89" i="1" s="1"/>
  <c r="DU67" i="1"/>
  <c r="DV67" i="1"/>
  <c r="DX67" i="1" s="1"/>
  <c r="BY8" i="1"/>
  <c r="BZ8" i="1" s="1"/>
  <c r="EN8" i="1"/>
  <c r="BY90" i="1"/>
  <c r="BZ90" i="1" s="1"/>
  <c r="EN90" i="1"/>
  <c r="BY96" i="1"/>
  <c r="BZ96" i="1" s="1"/>
  <c r="BY11" i="1"/>
  <c r="BZ11" i="1" s="1"/>
  <c r="EN11" i="1"/>
  <c r="BY108" i="1"/>
  <c r="BZ108" i="1" s="1"/>
  <c r="BY30" i="1"/>
  <c r="BZ30" i="1" s="1"/>
  <c r="BY106" i="1"/>
  <c r="BZ106" i="1" s="1"/>
  <c r="EN99" i="1"/>
  <c r="EP99" i="1" s="1"/>
  <c r="BY99" i="1"/>
  <c r="BZ99" i="1" s="1"/>
  <c r="EN30" i="1"/>
  <c r="EN106" i="1"/>
  <c r="L201" i="1"/>
  <c r="D201" i="1"/>
  <c r="BY21" i="1"/>
  <c r="BZ21" i="1" s="1"/>
  <c r="EN21" i="1"/>
  <c r="J201" i="1"/>
  <c r="BY34" i="1"/>
  <c r="BZ34" i="1" s="1"/>
  <c r="F201" i="1"/>
  <c r="N201" i="1"/>
  <c r="BY140" i="1"/>
  <c r="BZ140" i="1" s="1"/>
  <c r="EN126" i="1"/>
  <c r="EP126" i="1" s="1"/>
  <c r="BY126" i="1"/>
  <c r="BZ126" i="1" s="1"/>
  <c r="B178" i="1"/>
  <c r="EP24" i="1"/>
  <c r="BY125" i="1"/>
  <c r="BZ125" i="1" s="1"/>
  <c r="EN125" i="1"/>
  <c r="EP125" i="1" s="1"/>
  <c r="BY119" i="1"/>
  <c r="BZ119" i="1" s="1"/>
  <c r="EN119" i="1"/>
  <c r="EP119" i="1" s="1"/>
  <c r="GE166" i="1" l="1"/>
  <c r="CA140" i="1"/>
  <c r="BX140" i="1"/>
  <c r="CA30" i="1"/>
  <c r="BX30" i="1"/>
  <c r="CA146" i="1"/>
  <c r="BX146" i="1"/>
  <c r="CA125" i="1"/>
  <c r="BX125" i="1"/>
  <c r="CA9" i="1"/>
  <c r="BX9" i="1"/>
  <c r="CA29" i="1"/>
  <c r="BX29" i="1"/>
  <c r="CA138" i="1"/>
  <c r="BX138" i="1"/>
  <c r="CA143" i="1"/>
  <c r="BX143" i="1"/>
  <c r="CA21" i="1"/>
  <c r="BX21" i="1"/>
  <c r="CA71" i="1"/>
  <c r="BX71" i="1"/>
  <c r="CA34" i="1"/>
  <c r="BX34" i="1"/>
  <c r="CA11" i="1"/>
  <c r="BX11" i="1"/>
  <c r="CA8" i="1"/>
  <c r="BX8" i="1"/>
  <c r="CA117" i="1"/>
  <c r="BX117" i="1"/>
  <c r="CA149" i="1"/>
  <c r="BX149" i="1"/>
  <c r="CA142" i="1"/>
  <c r="BX142" i="1"/>
  <c r="CA23" i="1"/>
  <c r="BX23" i="1"/>
  <c r="CA108" i="1"/>
  <c r="BX108" i="1"/>
  <c r="CA96" i="1"/>
  <c r="BX96" i="1"/>
  <c r="CA17" i="1"/>
  <c r="BX17" i="1"/>
  <c r="CA151" i="1"/>
  <c r="BX151" i="1"/>
  <c r="CA152" i="1"/>
  <c r="BX152" i="1"/>
  <c r="CA126" i="1"/>
  <c r="BX126" i="1"/>
  <c r="CA90" i="1"/>
  <c r="BX90" i="1"/>
  <c r="CA43" i="1"/>
  <c r="BX43" i="1"/>
  <c r="CA40" i="1"/>
  <c r="BX40" i="1"/>
  <c r="CA99" i="1"/>
  <c r="BX99" i="1"/>
  <c r="CA119" i="1"/>
  <c r="BX119" i="1"/>
  <c r="CA106" i="1"/>
  <c r="BX106" i="1"/>
  <c r="CA89" i="1"/>
  <c r="BX89" i="1"/>
  <c r="CA104" i="1"/>
  <c r="BX104" i="1"/>
  <c r="CA147" i="1"/>
  <c r="BX147" i="1"/>
  <c r="EP17" i="1"/>
  <c r="EP90" i="1"/>
  <c r="EP71" i="1"/>
  <c r="EP8" i="1"/>
  <c r="HM76" i="1"/>
  <c r="HN76" i="1"/>
  <c r="GB166" i="1"/>
  <c r="EP11" i="1"/>
  <c r="EP106" i="1"/>
  <c r="EP30" i="1"/>
  <c r="EP21" i="1"/>
  <c r="IJ76" i="1" l="1"/>
  <c r="EY76" i="1"/>
  <c r="GF76" i="1"/>
  <c r="GF166" i="1" s="1"/>
  <c r="HC76" i="1"/>
  <c r="GR76" i="1"/>
  <c r="GC76" i="1"/>
  <c r="GC166" i="1" s="1"/>
  <c r="HH76" i="1"/>
  <c r="GE76" i="1"/>
  <c r="HI76" i="1"/>
  <c r="HJ76" i="1" l="1"/>
  <c r="HK76" i="1" l="1"/>
  <c r="HL87" i="1" l="1"/>
  <c r="HM87" i="1" l="1"/>
  <c r="HN8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O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K1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  <comment ref="AV1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4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F5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K7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7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<sst xmlns="http://schemas.openxmlformats.org/spreadsheetml/2006/main" count="2434" uniqueCount="962">
  <si>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</si>
  <si>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</si>
  <si>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</si>
  <si>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</si>
  <si>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</si>
  <si>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</si>
  <si>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</si>
  <si>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</si>
  <si>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</si>
  <si>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</si>
  <si>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</si>
  <si>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</si>
  <si>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</si>
  <si>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</si>
  <si>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</si>
  <si>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</si>
  <si>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</si>
  <si>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</si>
  <si>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</si>
  <si>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</si>
  <si>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</si>
  <si>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</si>
  <si>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</si>
  <si>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</si>
  <si>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</si>
  <si>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</si>
  <si>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</si>
  <si>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</si>
  <si>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</si>
  <si>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</si>
  <si>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</si>
  <si>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</si>
  <si>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</si>
  <si>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</si>
  <si>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</si>
  <si>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</si>
  <si>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</si>
  <si>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</si>
  <si>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</si>
  <si>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</si>
  <si>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</si>
  <si>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</si>
  <si>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</si>
  <si>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</si>
  <si>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</si>
  <si>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</si>
  <si>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</si>
  <si>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</si>
  <si>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</si>
  <si>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</si>
  <si>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</si>
  <si>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</si>
  <si>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</si>
  <si>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</si>
  <si>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</si>
  <si>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</si>
  <si>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</si>
  <si>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</si>
  <si>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</si>
  <si>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</si>
  <si>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</si>
  <si>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</si>
  <si>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</si>
  <si>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</si>
  <si>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</si>
  <si>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</si>
  <si>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</si>
  <si>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</si>
  <si>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</si>
  <si>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</si>
  <si>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</si>
  <si>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</si>
  <si>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</si>
  <si>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</si>
  <si>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</si>
  <si>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</si>
  <si>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</si>
  <si>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</si>
  <si>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</si>
  <si>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</si>
  <si>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</si>
  <si>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</si>
  <si>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</si>
  <si>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</si>
  <si>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</si>
  <si>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</si>
  <si>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</si>
  <si>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</si>
  <si>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</si>
  <si>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</si>
  <si>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</si>
  <si>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</si>
  <si>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</si>
  <si>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</si>
  <si>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</si>
  <si>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</si>
  <si>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</si>
  <si>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</si>
  <si>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</si>
  <si>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</si>
  <si>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</si>
  <si>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</si>
  <si>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</si>
  <si>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</si>
  <si>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</si>
  <si>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</si>
  <si>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</si>
  <si>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</si>
  <si>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</si>
  <si>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</si>
  <si>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</si>
  <si>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</si>
  <si>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</si>
  <si>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</si>
  <si>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</si>
  <si>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</si>
  <si>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</si>
  <si>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</si>
  <si>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</si>
  <si>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</si>
  <si>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</si>
  <si>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</si>
  <si>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</si>
  <si>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</si>
  <si>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</si>
  <si>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</si>
  <si>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</si>
  <si>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</si>
  <si>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</si>
  <si>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</si>
  <si>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</si>
  <si>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</si>
  <si>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</si>
  <si>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</si>
  <si>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</si>
  <si>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</si>
  <si>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</si>
  <si>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SRI</t>
  </si>
  <si>
    <t>NLE</t>
  </si>
  <si>
    <t>DBE</t>
  </si>
  <si>
    <t>% AIDES PUBLIQUES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</si>
  <si>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</si>
  <si>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</si>
  <si>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</si>
  <si>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</si>
  <si>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</si>
  <si>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</si>
  <si>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</si>
  <si>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</si>
  <si>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</si>
  <si>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</si>
  <si>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</si>
  <si>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</si>
  <si>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</si>
  <si>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</si>
  <si>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</si>
  <si>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</si>
  <si>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</si>
  <si>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</si>
  <si>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</si>
  <si>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</si>
  <si>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</si>
  <si>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</si>
  <si>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</si>
  <si>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</si>
  <si>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</si>
  <si>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</si>
  <si>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</si>
  <si>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</si>
  <si>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</si>
  <si>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</si>
  <si>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</si>
  <si>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</si>
  <si>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</si>
  <si>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</si>
  <si>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</si>
  <si>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</si>
  <si>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</si>
  <si>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</si>
  <si>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</si>
  <si>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</si>
  <si>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</si>
  <si>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</si>
  <si>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</si>
  <si>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</si>
  <si>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</si>
  <si>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</si>
  <si>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</si>
  <si>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</si>
  <si>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</si>
  <si>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</si>
  <si>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</si>
  <si>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</si>
  <si>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</si>
  <si>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</si>
  <si>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</si>
  <si>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</si>
  <si>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</si>
  <si>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</si>
  <si>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</si>
  <si>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</si>
  <si>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</si>
  <si>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</si>
  <si>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</si>
  <si>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</si>
  <si>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</si>
  <si>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</si>
  <si>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</si>
  <si>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</si>
  <si>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</si>
  <si>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</si>
  <si>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</si>
  <si>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</si>
  <si>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</si>
  <si>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</si>
  <si>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</si>
  <si>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</si>
  <si>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</si>
  <si>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</si>
  <si>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</si>
  <si>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</si>
  <si>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</si>
  <si>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</si>
  <si>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</si>
  <si>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</si>
  <si>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</si>
  <si>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</si>
  <si>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</si>
  <si>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</si>
  <si>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</si>
  <si>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</si>
  <si>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</si>
  <si>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</si>
  <si>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</si>
  <si>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</si>
  <si>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</si>
  <si>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</si>
  <si>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</si>
  <si>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</si>
  <si>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</si>
  <si>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</si>
  <si>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</si>
  <si>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</si>
  <si>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</si>
  <si>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</si>
  <si>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</si>
  <si>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</si>
  <si>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</si>
  <si>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</si>
  <si>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</si>
  <si>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</si>
  <si>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</si>
  <si>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</si>
  <si>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</si>
  <si>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</si>
  <si>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</si>
  <si>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</si>
  <si>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</si>
  <si>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</si>
  <si>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</si>
  <si>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</si>
  <si>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</si>
  <si>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</si>
  <si>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</si>
  <si>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</si>
  <si>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</si>
  <si>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</si>
  <si>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</si>
  <si>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</si>
  <si>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</si>
  <si>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</si>
  <si>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</si>
  <si>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</si>
  <si>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</si>
  <si>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</si>
  <si>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</si>
  <si>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</si>
  <si>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</si>
  <si>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</si>
  <si>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</si>
  <si>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</si>
  <si>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</si>
  <si>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</si>
  <si>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</si>
  <si>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</si>
  <si>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</si>
  <si>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</si>
  <si>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</si>
  <si>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</si>
  <si>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</si>
  <si>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</si>
  <si>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</si>
  <si>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</si>
  <si>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</si>
  <si>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</si>
  <si>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</si>
  <si>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</si>
  <si>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</si>
  <si>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</si>
  <si>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</si>
  <si>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</si>
  <si>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</si>
  <si>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</si>
  <si>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</si>
  <si>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</si>
  <si>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</si>
  <si>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</si>
  <si>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</si>
  <si>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</si>
  <si>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</si>
  <si>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</si>
  <si>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</si>
  <si>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</si>
  <si>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</si>
  <si>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</si>
  <si>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</si>
  <si>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</si>
  <si>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</si>
  <si>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</si>
  <si>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</si>
  <si>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</si>
  <si>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</si>
  <si>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</si>
  <si>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</si>
  <si>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</si>
  <si>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</si>
  <si>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</si>
  <si>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</si>
  <si>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</si>
  <si>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</si>
  <si>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</si>
  <si>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</si>
  <si>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</si>
  <si>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</si>
  <si>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</si>
  <si>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</si>
  <si>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</si>
  <si>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</si>
  <si>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</si>
  <si>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</si>
  <si>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</si>
  <si>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</si>
  <si>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</si>
  <si>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</si>
  <si>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</si>
  <si>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</si>
  <si>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</si>
  <si>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</si>
  <si>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</si>
  <si>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</si>
  <si>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</si>
  <si>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</si>
  <si>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</si>
  <si>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</si>
  <si>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</si>
  <si>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</si>
  <si>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</si>
  <si>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</si>
  <si>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</si>
  <si>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</si>
  <si>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</si>
  <si>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</si>
  <si>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</si>
  <si>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</si>
  <si>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</si>
  <si>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</si>
  <si>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</si>
  <si>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</si>
  <si>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</si>
  <si>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</si>
  <si>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</si>
  <si>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</si>
  <si>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</si>
  <si>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</si>
  <si>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</si>
  <si>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</si>
  <si>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sauf Peinture</t>
  </si>
  <si>
    <t>Année Inauguration</t>
  </si>
  <si>
    <t>IMPREVUS AU DEMARRAGE</t>
  </si>
  <si>
    <t>-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</si>
  <si>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</si>
  <si>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</si>
  <si>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</si>
  <si>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</si>
  <si>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</si>
  <si>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</si>
  <si>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</si>
  <si>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</si>
  <si>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</si>
  <si>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</si>
  <si>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</si>
  <si>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</si>
  <si>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</si>
  <si>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</si>
  <si>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</si>
  <si>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</si>
  <si>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</si>
  <si>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</si>
  <si>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</si>
  <si>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</si>
  <si>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</si>
  <si>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</si>
  <si>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</si>
  <si>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</si>
  <si>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</si>
  <si>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</si>
  <si>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</si>
  <si>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</si>
  <si>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</si>
  <si>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</si>
  <si>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</si>
  <si>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</si>
  <si>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</si>
  <si>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</si>
  <si>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</si>
  <si>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</si>
  <si>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</si>
  <si>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</si>
  <si>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</si>
  <si>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</si>
  <si>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</si>
  <si>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</si>
  <si>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</si>
  <si>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</si>
  <si>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</si>
  <si>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</si>
  <si>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</si>
  <si>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</si>
  <si>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</si>
  <si>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</si>
  <si>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</si>
  <si>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</si>
  <si>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</si>
  <si>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</si>
  <si>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</si>
  <si>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</si>
  <si>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</si>
  <si>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</si>
  <si>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</si>
  <si>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</si>
  <si>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</si>
  <si>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</si>
  <si>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</si>
  <si>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</si>
  <si>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</si>
  <si>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</si>
  <si>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</si>
  <si>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</si>
  <si>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</si>
  <si>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</si>
  <si>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</si>
  <si>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</si>
  <si>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</si>
  <si>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</si>
  <si>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</si>
  <si>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</si>
  <si>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</si>
  <si>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</si>
  <si>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</si>
  <si>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</si>
  <si>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</si>
  <si>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</si>
  <si>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</si>
  <si>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</si>
  <si>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</si>
  <si>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</si>
  <si>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</si>
  <si>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</si>
  <si>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</si>
  <si>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</si>
  <si>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</si>
  <si>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</si>
  <si>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</si>
  <si>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</si>
  <si>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</si>
  <si>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</si>
  <si>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</si>
  <si>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</si>
  <si>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</si>
  <si>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</si>
  <si>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</si>
  <si>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</si>
  <si>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</si>
  <si>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</si>
  <si>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</si>
  <si>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</si>
  <si>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</si>
  <si>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</si>
  <si>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</si>
  <si>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</si>
  <si>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</si>
  <si>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</si>
  <si>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</si>
  <si>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</si>
  <si>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</si>
  <si>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</si>
  <si>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</si>
  <si>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</si>
  <si>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</si>
  <si>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</si>
  <si>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</si>
  <si>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</si>
  <si>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</si>
  <si>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</si>
  <si>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</si>
  <si>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</si>
  <si>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</si>
  <si>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</si>
  <si>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</si>
  <si>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</si>
  <si>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</si>
  <si>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</si>
  <si>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</si>
  <si>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</si>
  <si>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</si>
  <si>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</si>
  <si>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</si>
  <si>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</si>
  <si>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</si>
  <si>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</si>
  <si>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</si>
  <si>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</si>
  <si>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</si>
  <si>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</si>
  <si>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</si>
  <si>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</si>
  <si>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</si>
  <si>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</si>
  <si>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</si>
  <si>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</si>
  <si>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Retard livraison VEFA (mois)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</si>
  <si>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</si>
  <si>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</si>
  <si>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</si>
  <si>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</si>
  <si>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</si>
  <si>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</si>
  <si>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</si>
  <si>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</si>
  <si>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</si>
  <si>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</si>
  <si>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</si>
  <si>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</si>
  <si>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</si>
  <si>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</si>
  <si>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</si>
  <si>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</si>
  <si>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</si>
  <si>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</si>
  <si>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</si>
  <si>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</si>
  <si>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</si>
  <si>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</si>
  <si>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</si>
  <si>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</si>
  <si>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</si>
  <si>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</si>
  <si>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</si>
  <si>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</si>
  <si>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</si>
  <si>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</si>
  <si>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</si>
  <si>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</si>
  <si>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</si>
  <si>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</si>
  <si>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</si>
  <si>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</si>
  <si>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</si>
  <si>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</si>
  <si>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</si>
  <si>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</si>
  <si>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</si>
  <si>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</si>
  <si>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</si>
  <si>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</si>
  <si>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</si>
  <si>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</si>
  <si>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</si>
  <si>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</si>
  <si>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</si>
  <si>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</si>
  <si>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</si>
  <si>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</si>
  <si>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</si>
  <si>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</si>
  <si>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</si>
  <si>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</si>
  <si>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</si>
  <si>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</si>
  <si>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</si>
  <si>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</si>
  <si>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</si>
  <si>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</si>
  <si>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</si>
  <si>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</si>
  <si>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</si>
  <si>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</si>
  <si>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</si>
  <si>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</si>
  <si>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</si>
  <si>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</si>
  <si>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</si>
  <si>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</si>
  <si>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</si>
  <si>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</si>
  <si>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</si>
  <si>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</si>
  <si>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</si>
  <si>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</si>
  <si>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</si>
  <si>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</si>
  <si>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</si>
  <si>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</si>
  <si>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</si>
  <si>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</si>
  <si>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</si>
  <si>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</si>
  <si>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</si>
  <si>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</si>
  <si>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</si>
  <si>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</si>
  <si>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</si>
  <si>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</si>
  <si>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</si>
  <si>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</si>
  <si>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</si>
  <si>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</si>
  <si>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</si>
  <si>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</si>
  <si>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</si>
  <si>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</si>
  <si>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</si>
  <si>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</si>
  <si>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</si>
  <si>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</si>
  <si>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</si>
  <si>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</si>
  <si>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</si>
  <si>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</si>
  <si>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</si>
  <si>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</si>
  <si>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</si>
  <si>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</si>
  <si>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</si>
  <si>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</si>
  <si>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</si>
  <si>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</si>
  <si>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</si>
  <si>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</si>
  <si>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</si>
  <si>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</si>
  <si>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</si>
  <si>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</si>
  <si>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</si>
  <si>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</si>
  <si>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</si>
  <si>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</si>
  <si>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</si>
  <si>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</si>
  <si>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</si>
  <si>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</si>
  <si>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</si>
  <si>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</si>
  <si>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</si>
  <si>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</si>
  <si>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</si>
  <si>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</si>
  <si>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</si>
  <si>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</si>
  <si>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</si>
  <si>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</si>
  <si>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</si>
  <si>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</si>
  <si>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</si>
  <si>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</si>
  <si>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</si>
  <si>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</si>
  <si>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</si>
  <si>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</si>
  <si>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</si>
  <si>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</si>
  <si>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</si>
  <si>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</si>
  <si>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</si>
  <si>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</si>
  <si>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</si>
  <si>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</si>
  <si>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</si>
  <si>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</si>
  <si>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</si>
  <si>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</si>
  <si>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</si>
  <si>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</si>
  <si>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</si>
  <si>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</si>
  <si>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</si>
  <si>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</si>
  <si>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</si>
  <si>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</si>
  <si>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</si>
  <si>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</si>
  <si>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</si>
  <si>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</si>
  <si>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</si>
  <si>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</si>
  <si>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</si>
  <si>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</si>
  <si>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</si>
  <si>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</si>
  <si>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</si>
  <si>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</si>
  <si>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</si>
  <si>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</si>
  <si>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</si>
  <si>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</si>
  <si>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</si>
  <si>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</si>
  <si>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</si>
  <si>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</si>
  <si>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</si>
  <si>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</si>
  <si>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</si>
  <si>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</si>
  <si>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</si>
  <si>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</si>
  <si>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</si>
  <si>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</si>
  <si>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</si>
  <si>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</si>
  <si>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</si>
  <si>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</si>
  <si>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</si>
  <si>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</si>
  <si>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</si>
  <si>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</si>
  <si>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</si>
  <si>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</si>
  <si>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</si>
  <si>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</si>
  <si>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</si>
  <si>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</si>
  <si>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</si>
  <si>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</si>
  <si>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</si>
  <si>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</si>
  <si>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</si>
  <si>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</si>
  <si>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</si>
  <si>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</si>
  <si>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</si>
  <si>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</si>
  <si>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</si>
  <si>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</si>
  <si>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</si>
  <si>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</si>
  <si>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</si>
  <si>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</si>
  <si>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</si>
  <si>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</si>
  <si>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</si>
  <si>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</si>
  <si>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DUREE D'OBTENTION DES PRETS</t>
  </si>
  <si>
    <t>Année de demande</t>
  </si>
  <si>
    <t>Délai d'obtention</t>
  </si>
  <si>
    <t>Délai obtention prêt</t>
  </si>
  <si>
    <t>Délai min</t>
  </si>
  <si>
    <t>Délai max</t>
  </si>
  <si>
    <t>OS en  attente de délivrance</t>
  </si>
  <si>
    <t>Délai obtention LBU</t>
  </si>
  <si>
    <t>Demande LBU</t>
  </si>
  <si>
    <t>DUREE D'OBTENTION DES ARRETES LBU</t>
  </si>
  <si>
    <t>JMO / NBL / FBR / BBL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</si>
  <si>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</si>
  <si>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</si>
  <si>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</si>
  <si>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</si>
  <si>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</si>
  <si>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</si>
  <si>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</si>
  <si>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</si>
  <si>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</si>
  <si>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</si>
  <si>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</si>
  <si>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</si>
  <si>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</si>
  <si>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</si>
  <si>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</si>
  <si>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</si>
  <si>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</si>
  <si>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</si>
  <si>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</si>
  <si>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</si>
  <si>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</si>
  <si>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</si>
  <si>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</si>
  <si>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</si>
  <si>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</si>
  <si>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</si>
  <si>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</si>
  <si>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</si>
  <si>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</si>
  <si>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</si>
  <si>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</si>
  <si>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</si>
  <si>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</si>
  <si>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</si>
  <si>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</si>
  <si>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</si>
  <si>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</si>
  <si>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dont prix foncier</t>
  </si>
  <si>
    <t>GO</t>
  </si>
  <si>
    <t>HDE  (bardage / étanchéité / couverture)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</si>
  <si>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</si>
  <si>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</si>
  <si>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</si>
  <si>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</si>
  <si>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</si>
  <si>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</si>
  <si>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</si>
  <si>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</si>
  <si>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</si>
  <si>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</si>
  <si>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</si>
  <si>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</si>
  <si>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</si>
  <si>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</si>
  <si>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</si>
  <si>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</si>
  <si>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</si>
  <si>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</si>
  <si>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</si>
  <si>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</si>
  <si>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</si>
  <si>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</si>
  <si>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</si>
  <si>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</si>
  <si>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</si>
  <si>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</si>
  <si>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</si>
  <si>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</si>
  <si>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</si>
  <si>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</si>
  <si>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</si>
  <si>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</si>
  <si>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</si>
  <si>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</si>
  <si>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</si>
  <si>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</si>
  <si>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</si>
  <si>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</si>
  <si>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</si>
  <si>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</si>
  <si>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</si>
  <si>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</si>
  <si>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</si>
  <si>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</si>
  <si>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</si>
  <si>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</si>
  <si>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</si>
  <si>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</si>
  <si>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</si>
  <si>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</si>
  <si>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</si>
  <si>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</si>
  <si>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</si>
  <si>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</si>
  <si>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</si>
  <si>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</si>
  <si>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</si>
  <si>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</si>
  <si>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</si>
  <si>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</si>
  <si>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</si>
  <si>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</si>
  <si>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</si>
  <si>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</si>
  <si>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</si>
  <si>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</si>
  <si>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</si>
  <si>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</si>
  <si>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</si>
  <si>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</si>
  <si>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</si>
  <si>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</si>
  <si>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</si>
  <si>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</si>
  <si>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</si>
  <si>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</si>
  <si>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</si>
  <si>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</si>
  <si>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</si>
  <si>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</si>
  <si>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</si>
  <si>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</si>
  <si>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</si>
  <si>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</si>
  <si>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</si>
  <si>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</si>
  <si>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</si>
  <si>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</si>
  <si>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</si>
  <si>
    <t>Ecart2</t>
  </si>
  <si>
    <t>Ecart3</t>
  </si>
  <si>
    <t>Ecart4</t>
  </si>
  <si>
    <t>Ecart5</t>
  </si>
  <si>
    <t>Ecart6</t>
  </si>
  <si>
    <t>Ecart7</t>
  </si>
  <si>
    <t>Ecart8</t>
  </si>
  <si>
    <t>Ecart9</t>
  </si>
  <si>
    <t>Ecart10</t>
  </si>
  <si>
    <t>Ecart11</t>
  </si>
  <si>
    <t>RESTE A DEPENSER jusqu'au 31/12/20</t>
  </si>
  <si>
    <t>PRETS TOTAUX</t>
  </si>
  <si>
    <t>BERIVE</t>
  </si>
  <si>
    <t>BV 176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</si>
  <si>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JWH BV 176</t>
    </r>
  </si>
  <si>
    <t>CL 267 - 151</t>
  </si>
  <si>
    <t>Cr14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</si>
  <si>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Trèfles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</si>
  <si>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 Guillaume</t>
    </r>
  </si>
  <si>
    <t>COLTRAV : pb Tableau6[AVANCEMENT] sous-traitant
J2S : pb Tableau6[AVANCEMENT] - 20 j pénalités
SMOI : pénalités
4 j intempéries</t>
  </si>
  <si>
    <t>problématique foncière non anticipée et propre à la vente en VEFA défisc
changements de RO
Tableau6[AVANCEMENT] SMOI</t>
  </si>
  <si>
    <t>Avancement</t>
  </si>
  <si>
    <t>% dépenses</t>
  </si>
  <si>
    <t>% dépenses à fin 2020</t>
  </si>
  <si>
    <t>% subventions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</si>
  <si>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EK 319</t>
    </r>
  </si>
  <si>
    <t>EK 319</t>
  </si>
  <si>
    <t>FONCIER2</t>
  </si>
  <si>
    <t>Libération RG</t>
  </si>
  <si>
    <t>PERSM problématique
mur soutènement arrière
intempéries</t>
  </si>
  <si>
    <t>Reconsultation Lot 3 et Lot 5 avant démarrage travaux</t>
  </si>
  <si>
    <t>1 MOIS = pb effectif Gros Œuvre / plaquiste + retards de paiement SODEGIS
3 MOIS = SIDELEC
2 SEMAINES = GILETS JAUNES</t>
  </si>
  <si>
    <t>à finaliser</t>
  </si>
  <si>
    <t>1e échéance de prêt (36 mois)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</si>
  <si>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</si>
  <si>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t>consignation EDF 11/09/20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</si>
  <si>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>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</si>
  <si>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</si>
  <si>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LLTS</t>
    </r>
  </si>
  <si>
    <t>VRD / Espaces verts</t>
  </si>
  <si>
    <t>TRAVAUX BATIS</t>
  </si>
  <si>
    <t>AUTRES FRAIS</t>
  </si>
  <si>
    <t>ELECTRICITE</t>
  </si>
  <si>
    <t>PLOMBERIE</t>
  </si>
  <si>
    <t>ECS</t>
  </si>
  <si>
    <t>ASCENSEUR</t>
  </si>
  <si>
    <t>METALLERIE</t>
  </si>
  <si>
    <t>MENUISERIES INTERIEURES</t>
  </si>
  <si>
    <t>CLOISONS</t>
  </si>
  <si>
    <t>PEINTURE</t>
  </si>
  <si>
    <t>SOLS SOUPLES</t>
  </si>
  <si>
    <t>MENUISERIES EXTERIEURES</t>
  </si>
  <si>
    <t>CARRELAGE</t>
  </si>
  <si>
    <t>complément de LBU</t>
  </si>
  <si>
    <t>LBU totale nécessaire</t>
  </si>
  <si>
    <t>LBU / lgt</t>
  </si>
  <si>
    <t>insuffisance de financement</t>
  </si>
  <si>
    <t>AV</t>
  </si>
  <si>
    <t>fait</t>
  </si>
  <si>
    <t>11/12/20 au plus tard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</si>
  <si>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BZ 273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</si>
</sst>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2" formatCode="0.0"/>
    <numFmt numFmtId="173" formatCode="#,##0.00\ _€"/>
    <numFmt numFmtId="174" formatCode="#,##0.0"/>
    <numFmt numFmtId="175" formatCode="&quot;RESTE A DEPENSER jusqu'au&quot;\ dd/mm/yy;@"/>
    <numFmt numFmtId="176" formatCode="#,##0_ ;\-#,##0\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1"/>
      <color rgb="FFFF5050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thick">
        <color rgb="FF00B05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1" fillId="0" borderId="0"/>
    <xf numFmtId="0" fontId="13" fillId="0" borderId="0"/>
    <xf numFmtId="169" fontId="11" fillId="0" borderId="0" applyFont="0" applyFill="0" applyBorder="0" applyAlignment="0" applyProtection="0"/>
    <xf numFmtId="0" fontId="11" fillId="0" borderId="0"/>
    <xf numFmtId="0" fontId="11" fillId="0" borderId="0">
      <alignment vertical="center"/>
    </xf>
    <xf numFmtId="0" fontId="22" fillId="0" borderId="0"/>
    <xf numFmtId="9" fontId="23" fillId="0" borderId="0" applyFont="0" applyFill="0" applyBorder="0" applyAlignment="0" applyProtection="0"/>
    <xf numFmtId="0" fontId="25" fillId="0" borderId="0" applyNumberFormat="0" applyBorder="0" applyProtection="0"/>
    <xf numFmtId="0" fontId="26" fillId="0" borderId="0" applyNumberFormat="0" applyBorder="0" applyProtection="0"/>
    <xf numFmtId="0" fontId="26" fillId="0" borderId="0" applyNumberFormat="0" applyBorder="0" applyProtection="0"/>
    <xf numFmtId="0" fontId="38" fillId="0" borderId="0">
      <alignment vertical="center"/>
    </xf>
    <xf numFmtId="165" fontId="1" fillId="0" borderId="0" applyFont="0" applyFill="0" applyBorder="0" applyAlignment="0" applyProtection="0"/>
    <xf numFmtId="0" fontId="11" fillId="0" borderId="0"/>
  </cellStyleXfs>
  <cellXfs count="852">
    <xf numFmtId="0" fontId="0" fillId="0" borderId="0" xfId="0"/>
    <xf numFmtId="167" fontId="0" fillId="0" borderId="0" xfId="0" applyNumberFormat="1"/>
    <xf numFmtId="0" fontId="0" fillId="7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7" fillId="10" borderId="1" xfId="1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167" fontId="0" fillId="15" borderId="1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7" fillId="10" borderId="1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7" fontId="0" fillId="15" borderId="6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4" fontId="0" fillId="7" borderId="6" xfId="0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3" fontId="0" fillId="7" borderId="6" xfId="0" applyNumberFormat="1" applyFont="1" applyFill="1" applyBorder="1" applyAlignment="1">
      <alignment horizontal="center" vertical="center"/>
    </xf>
    <xf numFmtId="3" fontId="7" fillId="7" borderId="6" xfId="0" applyNumberFormat="1" applyFont="1" applyFill="1" applyBorder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49" fontId="0" fillId="7" borderId="6" xfId="0" applyNumberFormat="1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3" fontId="0" fillId="12" borderId="6" xfId="0" applyNumberFormat="1" applyFont="1" applyFill="1" applyBorder="1" applyAlignment="1">
      <alignment horizontal="center" vertical="center"/>
    </xf>
    <xf numFmtId="165" fontId="7" fillId="10" borderId="6" xfId="1" applyFont="1" applyFill="1" applyBorder="1" applyAlignment="1">
      <alignment horizontal="center" vertical="center" wrapText="1"/>
    </xf>
    <xf numFmtId="167" fontId="0" fillId="10" borderId="6" xfId="0" applyNumberFormat="1" applyFont="1" applyFill="1" applyBorder="1" applyAlignment="1">
      <alignment horizontal="center" vertical="center"/>
    </xf>
    <xf numFmtId="167" fontId="7" fillId="10" borderId="6" xfId="0" applyNumberFormat="1" applyFont="1" applyFill="1" applyBorder="1" applyAlignment="1">
      <alignment horizontal="center" vertical="center"/>
    </xf>
    <xf numFmtId="164" fontId="0" fillId="7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9" fontId="0" fillId="7" borderId="6" xfId="2" applyFont="1" applyFill="1" applyBorder="1" applyAlignment="1">
      <alignment horizontal="center" vertical="center"/>
    </xf>
    <xf numFmtId="9" fontId="7" fillId="7" borderId="6" xfId="2" applyFont="1" applyFill="1" applyBorder="1" applyAlignment="1">
      <alignment horizontal="center" vertical="center"/>
    </xf>
    <xf numFmtId="167" fontId="7" fillId="15" borderId="6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167" fontId="0" fillId="11" borderId="6" xfId="0" applyNumberFormat="1" applyFont="1" applyFill="1" applyBorder="1" applyAlignment="1">
      <alignment horizontal="center" vertical="center"/>
    </xf>
    <xf numFmtId="9" fontId="7" fillId="10" borderId="6" xfId="2" applyFont="1" applyFill="1" applyBorder="1" applyAlignment="1">
      <alignment horizontal="center" vertical="center" wrapText="1"/>
    </xf>
    <xf numFmtId="167" fontId="0" fillId="9" borderId="6" xfId="0" applyNumberFormat="1" applyFont="1" applyFill="1" applyBorder="1" applyAlignment="1">
      <alignment horizontal="center" vertical="center"/>
    </xf>
    <xf numFmtId="165" fontId="7" fillId="20" borderId="6" xfId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14" fontId="7" fillId="18" borderId="6" xfId="4" applyNumberFormat="1" applyFont="1" applyFill="1" applyBorder="1" applyAlignment="1">
      <alignment horizontal="center" vertical="center"/>
    </xf>
    <xf numFmtId="0" fontId="4" fillId="13" borderId="6" xfId="6" applyFont="1" applyFill="1" applyBorder="1" applyAlignment="1">
      <alignment horizontal="center" vertical="center" wrapText="1"/>
    </xf>
    <xf numFmtId="0" fontId="7" fillId="8" borderId="1" xfId="7" applyFont="1" applyFill="1" applyBorder="1" applyAlignment="1">
      <alignment horizontal="center" vertical="center"/>
    </xf>
    <xf numFmtId="166" fontId="7" fillId="8" borderId="1" xfId="7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9" fontId="0" fillId="12" borderId="6" xfId="2" applyFont="1" applyFill="1" applyBorder="1" applyAlignment="1">
      <alignment horizontal="center" vertical="center"/>
    </xf>
    <xf numFmtId="0" fontId="7" fillId="13" borderId="6" xfId="6" applyFont="1" applyFill="1" applyBorder="1" applyAlignment="1">
      <alignment horizontal="center" vertical="center" wrapText="1"/>
    </xf>
    <xf numFmtId="14" fontId="0" fillId="25" borderId="6" xfId="0" applyNumberFormat="1" applyFont="1" applyFill="1" applyBorder="1" applyAlignment="1">
      <alignment horizontal="center" vertical="center"/>
    </xf>
    <xf numFmtId="0" fontId="0" fillId="25" borderId="6" xfId="0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166" fontId="7" fillId="0" borderId="6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/>
    </xf>
    <xf numFmtId="166" fontId="0" fillId="25" borderId="6" xfId="0" applyNumberFormat="1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/>
    </xf>
    <xf numFmtId="1" fontId="0" fillId="25" borderId="6" xfId="0" applyNumberFormat="1" applyFont="1" applyFill="1" applyBorder="1" applyAlignment="1">
      <alignment horizontal="center" vertical="center"/>
    </xf>
    <xf numFmtId="166" fontId="0" fillId="25" borderId="6" xfId="1" applyNumberFormat="1" applyFont="1" applyFill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4" fillId="8" borderId="1" xfId="3" applyFont="1" applyFill="1" applyBorder="1" applyAlignment="1">
      <alignment horizontal="center" vertical="center" wrapText="1"/>
    </xf>
    <xf numFmtId="14" fontId="7" fillId="13" borderId="1" xfId="6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/>
    </xf>
    <xf numFmtId="166" fontId="7" fillId="8" borderId="1" xfId="5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 wrapText="1"/>
    </xf>
    <xf numFmtId="0" fontId="7" fillId="13" borderId="6" xfId="6" applyFont="1" applyFill="1" applyBorder="1" applyAlignment="1">
      <alignment horizontal="center" vertical="center"/>
    </xf>
    <xf numFmtId="166" fontId="7" fillId="8" borderId="6" xfId="5" applyNumberFormat="1" applyFont="1" applyFill="1" applyBorder="1" applyAlignment="1">
      <alignment horizontal="center" vertical="center"/>
    </xf>
    <xf numFmtId="0" fontId="7" fillId="8" borderId="6" xfId="7" applyFont="1" applyFill="1" applyBorder="1" applyAlignment="1">
      <alignment horizontal="center" vertical="center"/>
    </xf>
    <xf numFmtId="166" fontId="7" fillId="8" borderId="6" xfId="7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0" fillId="25" borderId="6" xfId="0" applyNumberFormat="1" applyFont="1" applyFill="1" applyBorder="1" applyAlignment="1">
      <alignment horizontal="center" vertical="center" wrapText="1"/>
    </xf>
    <xf numFmtId="164" fontId="0" fillId="12" borderId="6" xfId="0" applyNumberFormat="1" applyFont="1" applyFill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 wrapText="1"/>
    </xf>
    <xf numFmtId="166" fontId="8" fillId="7" borderId="6" xfId="1" applyNumberFormat="1" applyFont="1" applyFill="1" applyBorder="1" applyAlignment="1">
      <alignment horizontal="center" vertical="center"/>
    </xf>
    <xf numFmtId="166" fontId="0" fillId="7" borderId="6" xfId="2" applyNumberFormat="1" applyFont="1" applyFill="1" applyBorder="1" applyAlignment="1">
      <alignment horizontal="center" vertical="center"/>
    </xf>
    <xf numFmtId="14" fontId="7" fillId="7" borderId="6" xfId="0" applyNumberFormat="1" applyFont="1" applyFill="1" applyBorder="1" applyAlignment="1">
      <alignment horizontal="center" vertical="center"/>
    </xf>
    <xf numFmtId="1" fontId="0" fillId="7" borderId="6" xfId="0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7" fillId="26" borderId="6" xfId="0" applyNumberFormat="1" applyFont="1" applyFill="1" applyBorder="1" applyAlignment="1">
      <alignment horizontal="center" vertical="center" wrapText="1"/>
    </xf>
    <xf numFmtId="14" fontId="7" fillId="31" borderId="1" xfId="6" applyNumberFormat="1" applyFont="1" applyFill="1" applyBorder="1" applyAlignment="1">
      <alignment horizontal="center" vertical="center"/>
    </xf>
    <xf numFmtId="14" fontId="7" fillId="31" borderId="6" xfId="6" applyNumberFormat="1" applyFont="1" applyFill="1" applyBorder="1" applyAlignment="1">
      <alignment horizontal="center" vertical="center"/>
    </xf>
    <xf numFmtId="14" fontId="7" fillId="30" borderId="6" xfId="4" applyNumberFormat="1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9" fontId="0" fillId="8" borderId="6" xfId="2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9" fontId="0" fillId="8" borderId="1" xfId="2" applyFont="1" applyFill="1" applyBorder="1" applyAlignment="1">
      <alignment horizontal="center" vertical="center"/>
    </xf>
    <xf numFmtId="3" fontId="7" fillId="8" borderId="6" xfId="0" applyNumberFormat="1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9" fontId="7" fillId="8" borderId="6" xfId="2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 wrapText="1"/>
    </xf>
    <xf numFmtId="3" fontId="7" fillId="8" borderId="6" xfId="0" applyNumberFormat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3" fontId="0" fillId="25" borderId="6" xfId="0" applyNumberFormat="1" applyFont="1" applyFill="1" applyBorder="1" applyAlignment="1">
      <alignment horizontal="center" vertical="center"/>
    </xf>
    <xf numFmtId="3" fontId="7" fillId="7" borderId="6" xfId="1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 wrapText="1"/>
    </xf>
    <xf numFmtId="166" fontId="7" fillId="26" borderId="6" xfId="1" applyNumberFormat="1" applyFont="1" applyFill="1" applyBorder="1" applyAlignment="1">
      <alignment horizontal="center" vertical="center"/>
    </xf>
    <xf numFmtId="166" fontId="7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 wrapText="1"/>
    </xf>
    <xf numFmtId="14" fontId="0" fillId="26" borderId="6" xfId="2" applyNumberFormat="1" applyFont="1" applyFill="1" applyBorder="1" applyAlignment="1">
      <alignment horizontal="center" vertical="center"/>
    </xf>
    <xf numFmtId="14" fontId="7" fillId="26" borderId="6" xfId="0" applyNumberFormat="1" applyFont="1" applyFill="1" applyBorder="1" applyAlignment="1">
      <alignment horizontal="center" vertical="center"/>
    </xf>
    <xf numFmtId="1" fontId="7" fillId="26" borderId="6" xfId="1" applyNumberFormat="1" applyFont="1" applyFill="1" applyBorder="1" applyAlignment="1">
      <alignment horizontal="center" vertical="center"/>
    </xf>
    <xf numFmtId="1" fontId="15" fillId="7" borderId="6" xfId="1" applyNumberFormat="1" applyFont="1" applyFill="1" applyBorder="1" applyAlignment="1">
      <alignment horizontal="center" vertical="center"/>
    </xf>
    <xf numFmtId="1" fontId="1" fillId="26" borderId="6" xfId="1" applyNumberFormat="1" applyFont="1" applyFill="1" applyBorder="1" applyAlignment="1">
      <alignment horizontal="center" vertical="center"/>
    </xf>
    <xf numFmtId="1" fontId="0" fillId="26" borderId="6" xfId="0" applyNumberFormat="1" applyFont="1" applyFill="1" applyBorder="1" applyAlignment="1">
      <alignment horizontal="center" vertical="center"/>
    </xf>
    <xf numFmtId="1" fontId="15" fillId="7" borderId="6" xfId="0" applyNumberFormat="1" applyFont="1" applyFill="1" applyBorder="1" applyAlignment="1">
      <alignment horizontal="center" vertical="center"/>
    </xf>
    <xf numFmtId="3" fontId="15" fillId="7" borderId="6" xfId="0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1" fontId="7" fillId="25" borderId="6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7" fillId="12" borderId="6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8" fillId="7" borderId="6" xfId="0" applyNumberFormat="1" applyFont="1" applyFill="1" applyBorder="1" applyAlignment="1">
      <alignment horizontal="center" vertical="center"/>
    </xf>
    <xf numFmtId="171" fontId="8" fillId="0" borderId="6" xfId="0" applyNumberFormat="1" applyFont="1" applyBorder="1" applyAlignment="1">
      <alignment horizontal="center" vertical="center" wrapText="1"/>
    </xf>
    <xf numFmtId="0" fontId="0" fillId="23" borderId="0" xfId="0" applyFont="1" applyFill="1" applyAlignment="1">
      <alignment horizontal="center" vertical="center"/>
    </xf>
    <xf numFmtId="0" fontId="5" fillId="23" borderId="0" xfId="0" applyFont="1" applyFill="1" applyAlignment="1">
      <alignment horizontal="center" vertical="center"/>
    </xf>
    <xf numFmtId="0" fontId="0" fillId="23" borderId="6" xfId="0" applyFont="1" applyFill="1" applyBorder="1" applyAlignment="1">
      <alignment horizontal="center" vertical="center"/>
    </xf>
    <xf numFmtId="0" fontId="16" fillId="23" borderId="10" xfId="11" applyFont="1" applyFill="1" applyBorder="1"/>
    <xf numFmtId="0" fontId="16" fillId="23" borderId="10" xfId="8" applyFont="1" applyFill="1" applyBorder="1"/>
    <xf numFmtId="0" fontId="0" fillId="27" borderId="6" xfId="0" applyFont="1" applyFill="1" applyBorder="1" applyAlignment="1">
      <alignment horizontal="center" vertical="center"/>
    </xf>
    <xf numFmtId="170" fontId="8" fillId="0" borderId="6" xfId="0" applyNumberFormat="1" applyFont="1" applyBorder="1" applyAlignment="1">
      <alignment horizontal="center" vertical="center"/>
    </xf>
    <xf numFmtId="166" fontId="8" fillId="7" borderId="6" xfId="0" applyNumberFormat="1" applyFont="1" applyFill="1" applyBorder="1" applyAlignment="1">
      <alignment horizontal="center" vertical="center"/>
    </xf>
    <xf numFmtId="0" fontId="0" fillId="26" borderId="6" xfId="0" applyFont="1" applyFill="1" applyBorder="1" applyAlignment="1">
      <alignment horizontal="center" vertical="center"/>
    </xf>
    <xf numFmtId="14" fontId="0" fillId="26" borderId="6" xfId="2" applyNumberFormat="1" applyFont="1" applyFill="1" applyBorder="1" applyAlignment="1">
      <alignment horizontal="center" vertical="center" wrapText="1"/>
    </xf>
    <xf numFmtId="167" fontId="7" fillId="11" borderId="6" xfId="0" applyNumberFormat="1" applyFont="1" applyFill="1" applyBorder="1" applyAlignment="1">
      <alignment horizontal="center" vertical="center"/>
    </xf>
    <xf numFmtId="166" fontId="7" fillId="34" borderId="6" xfId="6" applyNumberFormat="1" applyFont="1" applyFill="1" applyBorder="1" applyAlignment="1">
      <alignment horizontal="center" vertical="center" wrapText="1"/>
    </xf>
    <xf numFmtId="166" fontId="7" fillId="34" borderId="6" xfId="6" applyNumberFormat="1" applyFont="1" applyFill="1" applyBorder="1" applyAlignment="1">
      <alignment horizontal="center" vertical="center"/>
    </xf>
    <xf numFmtId="0" fontId="7" fillId="8" borderId="6" xfId="3" applyFont="1" applyFill="1" applyBorder="1" applyAlignment="1">
      <alignment horizontal="center" vertical="center" wrapText="1"/>
    </xf>
    <xf numFmtId="166" fontId="7" fillId="8" borderId="6" xfId="7" applyNumberFormat="1" applyFont="1" applyFill="1" applyBorder="1" applyAlignment="1">
      <alignment horizontal="center" vertical="center" wrapText="1"/>
    </xf>
    <xf numFmtId="3" fontId="5" fillId="8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0" fontId="5" fillId="25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/>
    </xf>
    <xf numFmtId="166" fontId="7" fillId="25" borderId="6" xfId="0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17" fillId="35" borderId="7" xfId="0" applyFont="1" applyFill="1" applyBorder="1"/>
    <xf numFmtId="0" fontId="17" fillId="35" borderId="4" xfId="0" applyFont="1" applyFill="1" applyBorder="1"/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7" fillId="25" borderId="6" xfId="0" applyNumberFormat="1" applyFont="1" applyFill="1" applyBorder="1" applyAlignment="1">
      <alignment horizontal="center" vertical="center" wrapText="1"/>
    </xf>
    <xf numFmtId="0" fontId="4" fillId="25" borderId="6" xfId="0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/>
    </xf>
    <xf numFmtId="1" fontId="7" fillId="26" borderId="6" xfId="0" applyNumberFormat="1" applyFont="1" applyFill="1" applyBorder="1" applyAlignment="1">
      <alignment horizontal="center" vertical="center"/>
    </xf>
    <xf numFmtId="166" fontId="8" fillId="26" borderId="6" xfId="0" applyNumberFormat="1" applyFont="1" applyFill="1" applyBorder="1" applyAlignment="1">
      <alignment horizontal="center" vertical="center"/>
    </xf>
    <xf numFmtId="3" fontId="8" fillId="26" borderId="6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25" borderId="12" xfId="0" applyNumberFormat="1" applyFont="1" applyFill="1" applyBorder="1" applyAlignment="1">
      <alignment horizontal="center" vertical="center"/>
    </xf>
    <xf numFmtId="0" fontId="1" fillId="26" borderId="12" xfId="1" applyNumberFormat="1" applyFont="1" applyFill="1" applyBorder="1" applyAlignment="1">
      <alignment horizontal="center" vertical="center"/>
    </xf>
    <xf numFmtId="0" fontId="7" fillId="25" borderId="12" xfId="1" applyNumberFormat="1" applyFont="1" applyFill="1" applyBorder="1" applyAlignment="1">
      <alignment horizontal="center" vertical="center"/>
    </xf>
    <xf numFmtId="0" fontId="15" fillId="7" borderId="12" xfId="0" applyNumberFormat="1" applyFont="1" applyFill="1" applyBorder="1" applyAlignment="1">
      <alignment horizontal="center" vertical="center"/>
    </xf>
    <xf numFmtId="0" fontId="15" fillId="7" borderId="12" xfId="2" applyNumberFormat="1" applyFont="1" applyFill="1" applyBorder="1" applyAlignment="1">
      <alignment horizontal="center" vertical="center"/>
    </xf>
    <xf numFmtId="0" fontId="14" fillId="7" borderId="12" xfId="1" applyNumberFormat="1" applyFont="1" applyFill="1" applyBorder="1" applyAlignment="1">
      <alignment horizontal="center" vertical="center"/>
    </xf>
    <xf numFmtId="166" fontId="7" fillId="26" borderId="13" xfId="1" applyNumberFormat="1" applyFont="1" applyFill="1" applyBorder="1" applyAlignment="1">
      <alignment horizontal="center" vertical="center"/>
    </xf>
    <xf numFmtId="166" fontId="0" fillId="25" borderId="13" xfId="0" applyNumberFormat="1" applyFont="1" applyFill="1" applyBorder="1" applyAlignment="1">
      <alignment horizontal="center" vertical="center"/>
    </xf>
    <xf numFmtId="166" fontId="7" fillId="25" borderId="13" xfId="1" applyNumberFormat="1" applyFont="1" applyFill="1" applyBorder="1" applyAlignment="1">
      <alignment horizontal="center" vertical="center"/>
    </xf>
    <xf numFmtId="166" fontId="7" fillId="26" borderId="13" xfId="0" applyNumberFormat="1" applyFont="1" applyFill="1" applyBorder="1" applyAlignment="1">
      <alignment horizontal="center" vertical="center"/>
    </xf>
    <xf numFmtId="166" fontId="0" fillId="25" borderId="13" xfId="1" applyNumberFormat="1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 wrapText="1"/>
    </xf>
    <xf numFmtId="0" fontId="5" fillId="23" borderId="9" xfId="0" applyFont="1" applyFill="1" applyBorder="1" applyAlignment="1">
      <alignment horizontal="center" vertical="center"/>
    </xf>
    <xf numFmtId="164" fontId="5" fillId="23" borderId="2" xfId="0" applyNumberFormat="1" applyFont="1" applyFill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164" fontId="5" fillId="23" borderId="0" xfId="0" applyNumberFormat="1" applyFont="1" applyFill="1" applyAlignment="1">
      <alignment horizontal="center" vertical="center"/>
    </xf>
    <xf numFmtId="164" fontId="0" fillId="23" borderId="8" xfId="0" applyNumberFormat="1" applyFont="1" applyFill="1" applyBorder="1" applyAlignment="1"/>
    <xf numFmtId="164" fontId="0" fillId="23" borderId="5" xfId="0" applyNumberFormat="1" applyFont="1" applyFill="1" applyBorder="1" applyAlignment="1"/>
    <xf numFmtId="0" fontId="0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9" fontId="0" fillId="0" borderId="16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9" fontId="0" fillId="0" borderId="18" xfId="2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9" fontId="5" fillId="0" borderId="22" xfId="2" applyFont="1" applyBorder="1" applyAlignment="1">
      <alignment horizontal="center" vertical="center"/>
    </xf>
    <xf numFmtId="9" fontId="5" fillId="0" borderId="24" xfId="2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 wrapText="1"/>
    </xf>
    <xf numFmtId="9" fontId="5" fillId="0" borderId="22" xfId="2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7" fontId="0" fillId="12" borderId="6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165" fontId="7" fillId="12" borderId="6" xfId="1" applyFont="1" applyFill="1" applyBorder="1" applyAlignment="1">
      <alignment horizontal="center" vertical="center" wrapText="1"/>
    </xf>
    <xf numFmtId="0" fontId="5" fillId="3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25" borderId="6" xfId="0" applyFont="1" applyFill="1" applyBorder="1" applyAlignment="1">
      <alignment horizontal="center" vertical="center" wrapText="1"/>
    </xf>
    <xf numFmtId="14" fontId="7" fillId="7" borderId="6" xfId="0" applyNumberFormat="1" applyFont="1" applyFill="1" applyBorder="1" applyAlignment="1">
      <alignment horizontal="center" vertical="center" wrapText="1"/>
    </xf>
    <xf numFmtId="4" fontId="7" fillId="20" borderId="6" xfId="0" applyNumberFormat="1" applyFont="1" applyFill="1" applyBorder="1" applyAlignment="1">
      <alignment horizontal="center" vertical="center"/>
    </xf>
    <xf numFmtId="166" fontId="8" fillId="7" borderId="12" xfId="1" applyNumberFormat="1" applyFont="1" applyFill="1" applyBorder="1" applyAlignment="1">
      <alignment horizontal="center" vertical="center"/>
    </xf>
    <xf numFmtId="0" fontId="7" fillId="8" borderId="1" xfId="3" applyFont="1" applyFill="1" applyBorder="1" applyAlignment="1">
      <alignment horizontal="center" vertical="center" wrapText="1"/>
    </xf>
    <xf numFmtId="4" fontId="7" fillId="20" borderId="1" xfId="0" applyNumberFormat="1" applyFont="1" applyFill="1" applyBorder="1" applyAlignment="1">
      <alignment horizontal="center" vertical="center"/>
    </xf>
    <xf numFmtId="166" fontId="8" fillId="25" borderId="6" xfId="0" applyNumberFormat="1" applyFont="1" applyFill="1" applyBorder="1" applyAlignment="1">
      <alignment horizontal="center" vertical="center"/>
    </xf>
    <xf numFmtId="3" fontId="8" fillId="25" borderId="6" xfId="0" applyNumberFormat="1" applyFont="1" applyFill="1" applyBorder="1" applyAlignment="1">
      <alignment horizontal="center" vertical="center"/>
    </xf>
    <xf numFmtId="14" fontId="0" fillId="12" borderId="6" xfId="0" applyNumberFormat="1" applyFont="1" applyFill="1" applyBorder="1" applyAlignment="1">
      <alignment horizontal="center" vertical="center"/>
    </xf>
    <xf numFmtId="166" fontId="7" fillId="25" borderId="13" xfId="0" applyNumberFormat="1" applyFont="1" applyFill="1" applyBorder="1" applyAlignment="1">
      <alignment horizontal="center" vertical="center"/>
    </xf>
    <xf numFmtId="0" fontId="7" fillId="25" borderId="12" xfId="0" applyNumberFormat="1" applyFont="1" applyFill="1" applyBorder="1" applyAlignment="1">
      <alignment horizontal="center" vertical="center"/>
    </xf>
    <xf numFmtId="1" fontId="15" fillId="7" borderId="12" xfId="0" applyNumberFormat="1" applyFont="1" applyFill="1" applyBorder="1" applyAlignment="1">
      <alignment horizontal="center" vertical="center"/>
    </xf>
    <xf numFmtId="1" fontId="0" fillId="25" borderId="12" xfId="0" applyNumberFormat="1" applyFont="1" applyFill="1" applyBorder="1" applyAlignment="1">
      <alignment horizontal="center" vertical="center"/>
    </xf>
    <xf numFmtId="1" fontId="7" fillId="25" borderId="12" xfId="1" applyNumberFormat="1" applyFont="1" applyFill="1" applyBorder="1" applyAlignment="1">
      <alignment horizontal="center" vertical="center"/>
    </xf>
    <xf numFmtId="1" fontId="1" fillId="26" borderId="12" xfId="1" applyNumberFormat="1" applyFont="1" applyFill="1" applyBorder="1" applyAlignment="1">
      <alignment horizontal="center" vertical="center"/>
    </xf>
    <xf numFmtId="1" fontId="7" fillId="25" borderId="12" xfId="0" applyNumberFormat="1" applyFont="1" applyFill="1" applyBorder="1" applyAlignment="1">
      <alignment horizontal="center" vertical="center"/>
    </xf>
    <xf numFmtId="1" fontId="15" fillId="7" borderId="12" xfId="2" applyNumberFormat="1" applyFont="1" applyFill="1" applyBorder="1" applyAlignment="1">
      <alignment horizontal="center" vertical="center"/>
    </xf>
    <xf numFmtId="9" fontId="15" fillId="7" borderId="6" xfId="2" applyFont="1" applyFill="1" applyBorder="1" applyAlignment="1">
      <alignment horizontal="center" vertical="center"/>
    </xf>
    <xf numFmtId="9" fontId="7" fillId="26" borderId="6" xfId="2" applyFont="1" applyFill="1" applyBorder="1" applyAlignment="1">
      <alignment horizontal="center" vertical="center"/>
    </xf>
    <xf numFmtId="9" fontId="0" fillId="26" borderId="6" xfId="2" applyFont="1" applyFill="1" applyBorder="1" applyAlignment="1">
      <alignment horizontal="center" vertical="center"/>
    </xf>
    <xf numFmtId="166" fontId="7" fillId="25" borderId="26" xfId="1" applyNumberFormat="1" applyFont="1" applyFill="1" applyBorder="1" applyAlignment="1">
      <alignment horizontal="center" vertical="center"/>
    </xf>
    <xf numFmtId="0" fontId="0" fillId="25" borderId="12" xfId="1" applyNumberFormat="1" applyFont="1" applyFill="1" applyBorder="1" applyAlignment="1">
      <alignment horizontal="center" vertical="center"/>
    </xf>
    <xf numFmtId="166" fontId="8" fillId="7" borderId="26" xfId="1" applyNumberFormat="1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 wrapText="1"/>
    </xf>
    <xf numFmtId="0" fontId="27" fillId="8" borderId="6" xfId="0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164" fontId="27" fillId="7" borderId="6" xfId="0" applyNumberFormat="1" applyFont="1" applyFill="1" applyBorder="1" applyAlignment="1">
      <alignment horizontal="center" vertical="center" wrapText="1"/>
    </xf>
    <xf numFmtId="9" fontId="27" fillId="7" borderId="6" xfId="2" applyFont="1" applyFill="1" applyBorder="1" applyAlignment="1">
      <alignment horizontal="center" vertical="center" wrapText="1"/>
    </xf>
    <xf numFmtId="0" fontId="27" fillId="27" borderId="6" xfId="1" applyNumberFormat="1" applyFont="1" applyFill="1" applyBorder="1" applyAlignment="1">
      <alignment horizontal="center" vertical="center" wrapText="1"/>
    </xf>
    <xf numFmtId="0" fontId="27" fillId="30" borderId="1" xfId="4" applyFont="1" applyFill="1" applyBorder="1" applyAlignment="1">
      <alignment horizontal="center" vertical="center" wrapText="1"/>
    </xf>
    <xf numFmtId="0" fontId="27" fillId="3" borderId="6" xfId="4" applyFont="1" applyBorder="1" applyAlignment="1">
      <alignment horizontal="center" vertical="center" wrapText="1"/>
    </xf>
    <xf numFmtId="0" fontId="27" fillId="5" borderId="1" xfId="6" applyFont="1" applyBorder="1" applyAlignment="1">
      <alignment horizontal="center" vertical="center" wrapText="1"/>
    </xf>
    <xf numFmtId="0" fontId="27" fillId="31" borderId="1" xfId="6" applyFont="1" applyFill="1" applyBorder="1" applyAlignment="1">
      <alignment horizontal="center" vertical="center" wrapText="1"/>
    </xf>
    <xf numFmtId="0" fontId="27" fillId="5" borderId="6" xfId="6" applyFont="1" applyBorder="1" applyAlignment="1">
      <alignment horizontal="center" vertical="center" wrapText="1"/>
    </xf>
    <xf numFmtId="0" fontId="27" fillId="34" borderId="6" xfId="6" applyFont="1" applyFill="1" applyBorder="1" applyAlignment="1">
      <alignment horizontal="center" vertical="center" wrapText="1"/>
    </xf>
    <xf numFmtId="0" fontId="27" fillId="29" borderId="6" xfId="1" applyNumberFormat="1" applyFont="1" applyFill="1" applyBorder="1" applyAlignment="1">
      <alignment horizontal="center" vertical="center" wrapText="1"/>
    </xf>
    <xf numFmtId="0" fontId="27" fillId="29" borderId="12" xfId="1" applyNumberFormat="1" applyFont="1" applyFill="1" applyBorder="1" applyAlignment="1">
      <alignment horizontal="center" vertical="center" wrapText="1"/>
    </xf>
    <xf numFmtId="1" fontId="27" fillId="29" borderId="6" xfId="1" applyNumberFormat="1" applyFont="1" applyFill="1" applyBorder="1" applyAlignment="1">
      <alignment horizontal="center" vertical="center" wrapText="1"/>
    </xf>
    <xf numFmtId="0" fontId="27" fillId="28" borderId="6" xfId="1" applyNumberFormat="1" applyFont="1" applyFill="1" applyBorder="1" applyAlignment="1">
      <alignment horizontal="center" vertical="center" wrapText="1"/>
    </xf>
    <xf numFmtId="0" fontId="27" fillId="28" borderId="6" xfId="1" applyNumberFormat="1" applyFont="1" applyFill="1" applyBorder="1" applyAlignment="1">
      <alignment horizontal="center" vertical="center"/>
    </xf>
    <xf numFmtId="3" fontId="27" fillId="10" borderId="1" xfId="1" applyNumberFormat="1" applyFont="1" applyFill="1" applyBorder="1" applyAlignment="1">
      <alignment horizontal="center" vertical="center" wrapText="1"/>
    </xf>
    <xf numFmtId="3" fontId="27" fillId="14" borderId="1" xfId="1" applyNumberFormat="1" applyFont="1" applyFill="1" applyBorder="1" applyAlignment="1">
      <alignment horizontal="center" vertical="center" wrapText="1"/>
    </xf>
    <xf numFmtId="165" fontId="27" fillId="10" borderId="1" xfId="1" applyFont="1" applyFill="1" applyBorder="1" applyAlignment="1">
      <alignment horizontal="center" vertical="center" wrapText="1"/>
    </xf>
    <xf numFmtId="165" fontId="27" fillId="14" borderId="1" xfId="1" applyFont="1" applyFill="1" applyBorder="1" applyAlignment="1">
      <alignment horizontal="center" vertical="center" wrapText="1"/>
    </xf>
    <xf numFmtId="165" fontId="27" fillId="10" borderId="6" xfId="1" applyFont="1" applyFill="1" applyBorder="1" applyAlignment="1">
      <alignment horizontal="center" vertical="center" wrapText="1"/>
    </xf>
    <xf numFmtId="165" fontId="27" fillId="14" borderId="6" xfId="1" applyFont="1" applyFill="1" applyBorder="1" applyAlignment="1">
      <alignment horizontal="center" vertical="center" wrapText="1"/>
    </xf>
    <xf numFmtId="0" fontId="28" fillId="36" borderId="0" xfId="9" applyFont="1" applyFill="1" applyAlignment="1">
      <alignment horizontal="center" vertical="center" wrapText="1"/>
    </xf>
    <xf numFmtId="0" fontId="29" fillId="36" borderId="0" xfId="9" applyFont="1" applyFill="1" applyAlignment="1">
      <alignment horizontal="center" vertical="center" wrapText="1"/>
    </xf>
    <xf numFmtId="0" fontId="28" fillId="10" borderId="0" xfId="9" applyFont="1" applyFill="1" applyAlignment="1">
      <alignment horizontal="center" vertical="center" wrapText="1"/>
    </xf>
    <xf numFmtId="0" fontId="28" fillId="39" borderId="0" xfId="9" applyFont="1" applyFill="1" applyAlignment="1">
      <alignment horizontal="center" vertical="center" wrapText="1"/>
    </xf>
    <xf numFmtId="0" fontId="27" fillId="7" borderId="0" xfId="0" applyFont="1" applyFill="1" applyAlignment="1">
      <alignment horizontal="center" vertical="center" wrapText="1"/>
    </xf>
    <xf numFmtId="1" fontId="18" fillId="41" borderId="6" xfId="0" applyNumberFormat="1" applyFont="1" applyFill="1" applyBorder="1" applyAlignment="1">
      <alignment horizontal="center" vertical="center"/>
    </xf>
    <xf numFmtId="166" fontId="31" fillId="25" borderId="10" xfId="0" applyNumberFormat="1" applyFont="1" applyFill="1" applyBorder="1" applyAlignment="1">
      <alignment horizontal="center" vertical="center"/>
    </xf>
    <xf numFmtId="166" fontId="31" fillId="25" borderId="6" xfId="0" applyNumberFormat="1" applyFont="1" applyFill="1" applyBorder="1" applyAlignment="1">
      <alignment horizontal="center" vertical="center"/>
    </xf>
    <xf numFmtId="1" fontId="31" fillId="41" borderId="6" xfId="0" applyNumberFormat="1" applyFont="1" applyFill="1" applyBorder="1" applyAlignment="1">
      <alignment horizontal="center" vertical="center"/>
    </xf>
    <xf numFmtId="166" fontId="8" fillId="11" borderId="6" xfId="0" applyNumberFormat="1" applyFont="1" applyFill="1" applyBorder="1" applyAlignment="1">
      <alignment horizontal="center" vertical="center"/>
    </xf>
    <xf numFmtId="3" fontId="0" fillId="11" borderId="6" xfId="0" applyNumberFormat="1" applyFont="1" applyFill="1" applyBorder="1" applyAlignment="1">
      <alignment horizontal="center" vertical="center"/>
    </xf>
    <xf numFmtId="1" fontId="18" fillId="43" borderId="6" xfId="0" applyNumberFormat="1" applyFont="1" applyFill="1" applyBorder="1" applyAlignment="1">
      <alignment horizontal="center" vertical="center"/>
    </xf>
    <xf numFmtId="1" fontId="31" fillId="43" borderId="6" xfId="0" applyNumberFormat="1" applyFont="1" applyFill="1" applyBorder="1" applyAlignment="1">
      <alignment horizontal="center" vertical="center"/>
    </xf>
    <xf numFmtId="1" fontId="0" fillId="11" borderId="6" xfId="0" applyNumberFormat="1" applyFont="1" applyFill="1" applyBorder="1" applyAlignment="1">
      <alignment horizontal="center" vertical="center"/>
    </xf>
    <xf numFmtId="166" fontId="0" fillId="11" borderId="6" xfId="0" applyNumberFormat="1" applyFont="1" applyFill="1" applyBorder="1" applyAlignment="1">
      <alignment horizontal="center" vertical="center"/>
    </xf>
    <xf numFmtId="0" fontId="0" fillId="11" borderId="6" xfId="0" applyFont="1" applyFill="1" applyBorder="1" applyAlignment="1">
      <alignment horizontal="center" vertical="center"/>
    </xf>
    <xf numFmtId="166" fontId="7" fillId="11" borderId="6" xfId="0" applyNumberFormat="1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166" fontId="8" fillId="33" borderId="6" xfId="0" applyNumberFormat="1" applyFont="1" applyFill="1" applyBorder="1" applyAlignment="1">
      <alignment horizontal="center" vertical="center"/>
    </xf>
    <xf numFmtId="0" fontId="0" fillId="33" borderId="6" xfId="0" applyFont="1" applyFill="1" applyBorder="1" applyAlignment="1">
      <alignment horizontal="center" vertical="center"/>
    </xf>
    <xf numFmtId="166" fontId="0" fillId="33" borderId="6" xfId="0" applyNumberFormat="1" applyFont="1" applyFill="1" applyBorder="1" applyAlignment="1">
      <alignment horizontal="center" vertical="center"/>
    </xf>
    <xf numFmtId="3" fontId="0" fillId="33" borderId="6" xfId="0" applyNumberFormat="1" applyFont="1" applyFill="1" applyBorder="1" applyAlignment="1">
      <alignment horizontal="center" vertical="center"/>
    </xf>
    <xf numFmtId="1" fontId="18" fillId="44" borderId="6" xfId="0" applyNumberFormat="1" applyFont="1" applyFill="1" applyBorder="1" applyAlignment="1">
      <alignment horizontal="center" vertical="center"/>
    </xf>
    <xf numFmtId="1" fontId="0" fillId="33" borderId="6" xfId="0" applyNumberFormat="1" applyFont="1" applyFill="1" applyBorder="1" applyAlignment="1">
      <alignment horizontal="center" vertical="center"/>
    </xf>
    <xf numFmtId="3" fontId="8" fillId="33" borderId="6" xfId="0" applyNumberFormat="1" applyFont="1" applyFill="1" applyBorder="1" applyAlignment="1">
      <alignment horizontal="center" vertical="center"/>
    </xf>
    <xf numFmtId="166" fontId="7" fillId="33" borderId="6" xfId="0" applyNumberFormat="1" applyFont="1" applyFill="1" applyBorder="1" applyAlignment="1">
      <alignment horizontal="center" vertical="center"/>
    </xf>
    <xf numFmtId="1" fontId="18" fillId="25" borderId="6" xfId="0" applyNumberFormat="1" applyFont="1" applyFill="1" applyBorder="1" applyAlignment="1">
      <alignment horizontal="center" vertical="center"/>
    </xf>
    <xf numFmtId="166" fontId="0" fillId="11" borderId="10" xfId="0" applyNumberFormat="1" applyFont="1" applyFill="1" applyBorder="1" applyAlignment="1">
      <alignment horizontal="center" vertical="center"/>
    </xf>
    <xf numFmtId="0" fontId="0" fillId="42" borderId="6" xfId="0" applyFont="1" applyFill="1" applyBorder="1" applyAlignment="1">
      <alignment horizontal="center" vertical="center"/>
    </xf>
    <xf numFmtId="0" fontId="0" fillId="19" borderId="6" xfId="0" applyFont="1" applyFill="1" applyBorder="1" applyAlignment="1">
      <alignment horizontal="center" vertical="center"/>
    </xf>
    <xf numFmtId="3" fontId="30" fillId="19" borderId="6" xfId="9" applyNumberFormat="1" applyFont="1" applyFill="1" applyBorder="1" applyAlignment="1">
      <alignment horizontal="center" vertical="center" wrapText="1"/>
    </xf>
    <xf numFmtId="3" fontId="30" fillId="19" borderId="6" xfId="9" applyNumberFormat="1" applyFont="1" applyFill="1" applyBorder="1" applyAlignment="1">
      <alignment horizontal="right" vertical="center" wrapText="1"/>
    </xf>
    <xf numFmtId="3" fontId="0" fillId="42" borderId="6" xfId="0" applyNumberFormat="1" applyFont="1" applyFill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/>
    </xf>
    <xf numFmtId="0" fontId="0" fillId="19" borderId="11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28" fillId="10" borderId="0" xfId="9" applyNumberFormat="1" applyFont="1" applyFill="1" applyAlignment="1">
      <alignment horizontal="center" vertical="center" wrapText="1"/>
    </xf>
    <xf numFmtId="166" fontId="29" fillId="10" borderId="0" xfId="9" applyNumberFormat="1" applyFont="1" applyFill="1" applyAlignment="1">
      <alignment horizontal="center" vertical="center" wrapText="1"/>
    </xf>
    <xf numFmtId="166" fontId="12" fillId="11" borderId="6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Alignment="1">
      <alignment horizontal="center" vertical="center" wrapText="1"/>
    </xf>
    <xf numFmtId="0" fontId="0" fillId="19" borderId="6" xfId="0" applyFont="1" applyFill="1" applyBorder="1" applyAlignment="1">
      <alignment horizontal="center" vertical="center" wrapText="1"/>
    </xf>
    <xf numFmtId="166" fontId="0" fillId="25" borderId="10" xfId="0" applyNumberFormat="1" applyFont="1" applyFill="1" applyBorder="1" applyAlignment="1">
      <alignment horizontal="center" vertical="center"/>
    </xf>
    <xf numFmtId="1" fontId="31" fillId="25" borderId="6" xfId="0" applyNumberFormat="1" applyFont="1" applyFill="1" applyBorder="1" applyAlignment="1">
      <alignment horizontal="center" vertical="center"/>
    </xf>
    <xf numFmtId="1" fontId="5" fillId="25" borderId="6" xfId="0" applyNumberFormat="1" applyFont="1" applyFill="1" applyBorder="1" applyAlignment="1">
      <alignment horizontal="center" vertical="center"/>
    </xf>
    <xf numFmtId="166" fontId="8" fillId="7" borderId="10" xfId="1" applyNumberFormat="1" applyFont="1" applyFill="1" applyBorder="1" applyAlignment="1">
      <alignment horizontal="center" vertical="center"/>
    </xf>
    <xf numFmtId="166" fontId="7" fillId="26" borderId="26" xfId="1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 wrapText="1"/>
    </xf>
    <xf numFmtId="0" fontId="0" fillId="19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28" fillId="27" borderId="0" xfId="9" applyNumberFormat="1" applyFont="1" applyFill="1" applyAlignment="1">
      <alignment horizontal="center" vertical="center" wrapText="1"/>
    </xf>
    <xf numFmtId="3" fontId="4" fillId="7" borderId="0" xfId="0" applyNumberFormat="1" applyFont="1" applyFill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2" borderId="6" xfId="0" applyNumberFormat="1" applyFont="1" applyFill="1" applyBorder="1" applyAlignment="1">
      <alignment horizontal="center" vertical="center" wrapText="1"/>
    </xf>
    <xf numFmtId="166" fontId="7" fillId="26" borderId="13" xfId="1" applyNumberFormat="1" applyFont="1" applyFill="1" applyBorder="1" applyAlignment="1">
      <alignment horizontal="center" vertical="center" wrapText="1"/>
    </xf>
    <xf numFmtId="0" fontId="7" fillId="25" borderId="12" xfId="1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 wrapText="1"/>
    </xf>
    <xf numFmtId="166" fontId="0" fillId="25" borderId="26" xfId="1" applyNumberFormat="1" applyFont="1" applyFill="1" applyBorder="1" applyAlignment="1">
      <alignment horizontal="center" vertical="center"/>
    </xf>
    <xf numFmtId="166" fontId="7" fillId="25" borderId="26" xfId="0" applyNumberFormat="1" applyFont="1" applyFill="1" applyBorder="1" applyAlignment="1">
      <alignment horizontal="center" vertical="center"/>
    </xf>
    <xf numFmtId="166" fontId="7" fillId="25" borderId="13" xfId="1" applyNumberFormat="1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 wrapText="1"/>
    </xf>
    <xf numFmtId="3" fontId="0" fillId="25" borderId="6" xfId="0" applyNumberFormat="1" applyFont="1" applyFill="1" applyBorder="1" applyAlignment="1">
      <alignment horizontal="center" vertical="center" wrapText="1"/>
    </xf>
    <xf numFmtId="168" fontId="27" fillId="7" borderId="6" xfId="1" applyNumberFormat="1" applyFont="1" applyFill="1" applyBorder="1" applyAlignment="1">
      <alignment horizontal="center" vertical="center" wrapText="1"/>
    </xf>
    <xf numFmtId="168" fontId="7" fillId="7" borderId="6" xfId="1" applyNumberFormat="1" applyFont="1" applyFill="1" applyBorder="1" applyAlignment="1">
      <alignment horizontal="center" vertical="center"/>
    </xf>
    <xf numFmtId="168" fontId="7" fillId="0" borderId="0" xfId="1" applyNumberFormat="1" applyFont="1" applyAlignment="1">
      <alignment horizontal="center" vertical="center"/>
    </xf>
    <xf numFmtId="168" fontId="7" fillId="7" borderId="6" xfId="1" applyNumberFormat="1" applyFont="1" applyFill="1" applyBorder="1" applyAlignment="1">
      <alignment horizontal="center" vertical="center" wrapText="1"/>
    </xf>
    <xf numFmtId="168" fontId="8" fillId="7" borderId="6" xfId="1" applyNumberFormat="1" applyFont="1" applyFill="1" applyBorder="1" applyAlignment="1">
      <alignment horizontal="center" vertical="center"/>
    </xf>
    <xf numFmtId="166" fontId="7" fillId="25" borderId="10" xfId="0" applyNumberFormat="1" applyFont="1" applyFill="1" applyBorder="1" applyAlignment="1">
      <alignment horizontal="center" vertical="center"/>
    </xf>
    <xf numFmtId="1" fontId="32" fillId="41" borderId="6" xfId="0" applyNumberFormat="1" applyFont="1" applyFill="1" applyBorder="1" applyAlignment="1">
      <alignment horizontal="center" vertical="center"/>
    </xf>
    <xf numFmtId="166" fontId="7" fillId="25" borderId="6" xfId="2" applyNumberFormat="1" applyFont="1" applyFill="1" applyBorder="1" applyAlignment="1">
      <alignment horizontal="center" vertical="center"/>
    </xf>
    <xf numFmtId="164" fontId="8" fillId="7" borderId="6" xfId="0" applyNumberFormat="1" applyFont="1" applyFill="1" applyBorder="1" applyAlignment="1">
      <alignment horizontal="center" vertical="center"/>
    </xf>
    <xf numFmtId="14" fontId="0" fillId="25" borderId="6" xfId="0" applyNumberFormat="1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 wrapText="1"/>
    </xf>
    <xf numFmtId="14" fontId="8" fillId="11" borderId="6" xfId="0" applyNumberFormat="1" applyFont="1" applyFill="1" applyBorder="1" applyAlignment="1">
      <alignment horizontal="center" vertical="center"/>
    </xf>
    <xf numFmtId="166" fontId="5" fillId="25" borderId="6" xfId="0" applyNumberFormat="1" applyFont="1" applyFill="1" applyBorder="1" applyAlignment="1">
      <alignment horizontal="center" vertical="center"/>
    </xf>
    <xf numFmtId="168" fontId="27" fillId="14" borderId="1" xfId="1" applyNumberFormat="1" applyFont="1" applyFill="1" applyBorder="1" applyAlignment="1">
      <alignment horizontal="center" vertical="center" wrapText="1"/>
    </xf>
    <xf numFmtId="168" fontId="0" fillId="15" borderId="1" xfId="1" applyNumberFormat="1" applyFont="1" applyFill="1" applyBorder="1" applyAlignment="1">
      <alignment horizontal="center" vertical="center"/>
    </xf>
    <xf numFmtId="168" fontId="0" fillId="15" borderId="6" xfId="1" applyNumberFormat="1" applyFont="1" applyFill="1" applyBorder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5" fontId="27" fillId="14" borderId="12" xfId="1" applyFont="1" applyFill="1" applyBorder="1" applyAlignment="1">
      <alignment horizontal="center" vertical="center" wrapText="1"/>
    </xf>
    <xf numFmtId="167" fontId="0" fillId="15" borderId="12" xfId="0" applyNumberFormat="1" applyFont="1" applyFill="1" applyBorder="1" applyAlignment="1">
      <alignment horizontal="center" vertical="center"/>
    </xf>
    <xf numFmtId="165" fontId="27" fillId="10" borderId="27" xfId="1" applyFont="1" applyFill="1" applyBorder="1" applyAlignment="1">
      <alignment horizontal="center" vertical="center" wrapText="1"/>
    </xf>
    <xf numFmtId="167" fontId="7" fillId="17" borderId="13" xfId="0" applyNumberFormat="1" applyFont="1" applyFill="1" applyBorder="1" applyAlignment="1">
      <alignment horizontal="center" vertical="center"/>
    </xf>
    <xf numFmtId="9" fontId="0" fillId="25" borderId="6" xfId="2" applyFont="1" applyFill="1" applyBorder="1" applyAlignment="1">
      <alignment horizontal="center" vertical="center"/>
    </xf>
    <xf numFmtId="167" fontId="7" fillId="17" borderId="6" xfId="0" applyNumberFormat="1" applyFont="1" applyFill="1" applyBorder="1" applyAlignment="1">
      <alignment horizontal="center" vertical="center"/>
    </xf>
    <xf numFmtId="166" fontId="0" fillId="27" borderId="6" xfId="0" applyNumberFormat="1" applyFont="1" applyFill="1" applyBorder="1" applyAlignment="1">
      <alignment horizontal="center" vertical="center"/>
    </xf>
    <xf numFmtId="166" fontId="0" fillId="25" borderId="6" xfId="2" applyNumberFormat="1" applyFont="1" applyFill="1" applyBorder="1" applyAlignment="1">
      <alignment horizontal="center" vertical="center"/>
    </xf>
    <xf numFmtId="0" fontId="35" fillId="19" borderId="6" xfId="0" applyFont="1" applyFill="1" applyBorder="1" applyAlignment="1">
      <alignment horizontal="center" vertical="center" wrapText="1"/>
    </xf>
    <xf numFmtId="0" fontId="35" fillId="19" borderId="6" xfId="0" applyFont="1" applyFill="1" applyBorder="1" applyAlignment="1">
      <alignment horizontal="center" vertical="center"/>
    </xf>
    <xf numFmtId="14" fontId="0" fillId="11" borderId="6" xfId="0" applyNumberFormat="1" applyFont="1" applyFill="1" applyBorder="1" applyAlignment="1">
      <alignment horizontal="center" vertical="center"/>
    </xf>
    <xf numFmtId="17" fontId="0" fillId="32" borderId="6" xfId="0" applyNumberFormat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 wrapText="1"/>
    </xf>
    <xf numFmtId="1" fontId="0" fillId="12" borderId="6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 wrapText="1"/>
    </xf>
    <xf numFmtId="0" fontId="36" fillId="36" borderId="0" xfId="9" applyFont="1" applyFill="1" applyAlignment="1">
      <alignment horizontal="center" vertical="center" wrapText="1"/>
    </xf>
    <xf numFmtId="166" fontId="37" fillId="36" borderId="0" xfId="9" applyNumberFormat="1" applyFont="1" applyFill="1" applyAlignment="1">
      <alignment horizontal="center" vertical="center" wrapText="1"/>
    </xf>
    <xf numFmtId="166" fontId="36" fillId="36" borderId="0" xfId="9" applyNumberFormat="1" applyFont="1" applyFill="1" applyAlignment="1">
      <alignment horizontal="center" vertical="center" wrapText="1"/>
    </xf>
    <xf numFmtId="0" fontId="36" fillId="40" borderId="0" xfId="9" applyFont="1" applyFill="1" applyAlignment="1">
      <alignment horizontal="center" vertical="center" wrapText="1"/>
    </xf>
    <xf numFmtId="0" fontId="37" fillId="36" borderId="0" xfId="9" applyFont="1" applyFill="1" applyAlignment="1">
      <alignment horizontal="center" vertical="center" wrapText="1"/>
    </xf>
    <xf numFmtId="166" fontId="37" fillId="10" borderId="0" xfId="9" applyNumberFormat="1" applyFont="1" applyFill="1" applyAlignment="1">
      <alignment horizontal="center" vertical="center" wrapText="1"/>
    </xf>
    <xf numFmtId="166" fontId="36" fillId="10" borderId="0" xfId="9" applyNumberFormat="1" applyFont="1" applyFill="1" applyAlignment="1">
      <alignment horizontal="center" vertical="center" wrapText="1"/>
    </xf>
    <xf numFmtId="0" fontId="36" fillId="10" borderId="0" xfId="9" applyFont="1" applyFill="1" applyAlignment="1">
      <alignment horizontal="center" vertical="center" wrapText="1"/>
    </xf>
    <xf numFmtId="166" fontId="0" fillId="7" borderId="6" xfId="2" applyNumberFormat="1" applyFont="1" applyFill="1" applyBorder="1" applyAlignment="1">
      <alignment horizontal="center" vertical="center" wrapText="1"/>
    </xf>
    <xf numFmtId="3" fontId="7" fillId="34" borderId="6" xfId="6" applyNumberFormat="1" applyFont="1" applyFill="1" applyBorder="1" applyAlignment="1">
      <alignment horizontal="center" vertical="center" wrapText="1"/>
    </xf>
    <xf numFmtId="0" fontId="27" fillId="38" borderId="6" xfId="0" applyFont="1" applyFill="1" applyBorder="1" applyAlignment="1">
      <alignment horizontal="center" vertical="center" wrapText="1"/>
    </xf>
    <xf numFmtId="167" fontId="0" fillId="25" borderId="6" xfId="0" applyNumberFormat="1" applyFont="1" applyFill="1" applyBorder="1" applyAlignment="1">
      <alignment horizontal="center" vertical="center"/>
    </xf>
    <xf numFmtId="167" fontId="7" fillId="25" borderId="6" xfId="0" applyNumberFormat="1" applyFont="1" applyFill="1" applyBorder="1" applyAlignment="1">
      <alignment horizontal="center" vertical="center"/>
    </xf>
    <xf numFmtId="167" fontId="7" fillId="26" borderId="6" xfId="0" applyNumberFormat="1" applyFont="1" applyFill="1" applyBorder="1" applyAlignment="1">
      <alignment horizontal="center" vertical="center" wrapText="1"/>
    </xf>
    <xf numFmtId="167" fontId="0" fillId="26" borderId="6" xfId="0" applyNumberFormat="1" applyFont="1" applyFill="1" applyBorder="1" applyAlignment="1">
      <alignment horizontal="center" vertical="center"/>
    </xf>
    <xf numFmtId="167" fontId="7" fillId="25" borderId="6" xfId="1" applyNumberFormat="1" applyFont="1" applyFill="1" applyBorder="1" applyAlignment="1">
      <alignment horizontal="center" vertical="center"/>
    </xf>
    <xf numFmtId="167" fontId="8" fillId="7" borderId="6" xfId="0" applyNumberFormat="1" applyFont="1" applyFill="1" applyBorder="1" applyAlignment="1">
      <alignment horizontal="center" vertical="center"/>
    </xf>
    <xf numFmtId="1" fontId="39" fillId="41" borderId="6" xfId="0" applyNumberFormat="1" applyFont="1" applyFill="1" applyBorder="1" applyAlignment="1">
      <alignment horizontal="center" vertical="center"/>
    </xf>
    <xf numFmtId="166" fontId="8" fillId="7" borderId="13" xfId="0" applyNumberFormat="1" applyFont="1" applyFill="1" applyBorder="1" applyAlignment="1">
      <alignment horizontal="center" vertical="center"/>
    </xf>
    <xf numFmtId="1" fontId="8" fillId="7" borderId="6" xfId="0" applyNumberFormat="1" applyFont="1" applyFill="1" applyBorder="1" applyAlignment="1">
      <alignment horizontal="center" vertical="center"/>
    </xf>
    <xf numFmtId="1" fontId="8" fillId="7" borderId="6" xfId="2" applyNumberFormat="1" applyFont="1" applyFill="1" applyBorder="1" applyAlignment="1">
      <alignment horizontal="center" vertical="center"/>
    </xf>
    <xf numFmtId="14" fontId="8" fillId="13" borderId="6" xfId="6" applyNumberFormat="1" applyFont="1" applyFill="1" applyBorder="1" applyAlignment="1">
      <alignment horizontal="center" vertical="center"/>
    </xf>
    <xf numFmtId="166" fontId="40" fillId="36" borderId="0" xfId="9" applyNumberFormat="1" applyFont="1" applyFill="1" applyAlignment="1">
      <alignment horizontal="center" vertical="center" wrapText="1"/>
    </xf>
    <xf numFmtId="167" fontId="0" fillId="42" borderId="6" xfId="0" applyNumberFormat="1" applyFont="1" applyFill="1" applyBorder="1" applyAlignment="1">
      <alignment horizontal="center" vertical="center"/>
    </xf>
    <xf numFmtId="3" fontId="7" fillId="25" borderId="12" xfId="1" applyNumberFormat="1" applyFont="1" applyFill="1" applyBorder="1" applyAlignment="1">
      <alignment horizontal="center" vertical="center"/>
    </xf>
    <xf numFmtId="3" fontId="7" fillId="25" borderId="12" xfId="0" applyNumberFormat="1" applyFont="1" applyFill="1" applyBorder="1" applyAlignment="1">
      <alignment horizontal="center" vertical="center"/>
    </xf>
    <xf numFmtId="3" fontId="8" fillId="7" borderId="12" xfId="1" applyNumberFormat="1" applyFont="1" applyFill="1" applyBorder="1" applyAlignment="1">
      <alignment horizontal="center" vertical="center"/>
    </xf>
    <xf numFmtId="3" fontId="0" fillId="25" borderId="12" xfId="0" applyNumberFormat="1" applyFont="1" applyFill="1" applyBorder="1" applyAlignment="1">
      <alignment horizontal="center" vertical="center"/>
    </xf>
    <xf numFmtId="166" fontId="7" fillId="25" borderId="11" xfId="0" applyNumberFormat="1" applyFont="1" applyFill="1" applyBorder="1" applyAlignment="1">
      <alignment horizontal="center" vertical="center"/>
    </xf>
    <xf numFmtId="3" fontId="7" fillId="26" borderId="12" xfId="1" applyNumberFormat="1" applyFont="1" applyFill="1" applyBorder="1" applyAlignment="1">
      <alignment horizontal="center" vertical="center"/>
    </xf>
    <xf numFmtId="3" fontId="15" fillId="7" borderId="12" xfId="0" applyNumberFormat="1" applyFont="1" applyFill="1" applyBorder="1" applyAlignment="1">
      <alignment horizontal="center" vertical="center"/>
    </xf>
    <xf numFmtId="3" fontId="7" fillId="7" borderId="12" xfId="0" applyNumberFormat="1" applyFont="1" applyFill="1" applyBorder="1" applyAlignment="1">
      <alignment horizontal="center" vertical="center"/>
    </xf>
    <xf numFmtId="3" fontId="0" fillId="25" borderId="28" xfId="1" applyNumberFormat="1" applyFont="1" applyFill="1" applyBorder="1" applyAlignment="1">
      <alignment horizontal="center" vertical="center"/>
    </xf>
    <xf numFmtId="3" fontId="7" fillId="25" borderId="28" xfId="1" applyNumberFormat="1" applyFont="1" applyFill="1" applyBorder="1" applyAlignment="1">
      <alignment horizontal="center" vertical="center" wrapText="1"/>
    </xf>
    <xf numFmtId="3" fontId="7" fillId="25" borderId="28" xfId="1" applyNumberFormat="1" applyFont="1" applyFill="1" applyBorder="1" applyAlignment="1">
      <alignment horizontal="center" vertical="center"/>
    </xf>
    <xf numFmtId="3" fontId="7" fillId="25" borderId="28" xfId="0" applyNumberFormat="1" applyFont="1" applyFill="1" applyBorder="1" applyAlignment="1">
      <alignment horizontal="center" vertical="center"/>
    </xf>
    <xf numFmtId="3" fontId="0" fillId="25" borderId="28" xfId="0" applyNumberFormat="1" applyFont="1" applyFill="1" applyBorder="1" applyAlignment="1">
      <alignment horizontal="center" vertical="center"/>
    </xf>
    <xf numFmtId="1" fontId="7" fillId="25" borderId="28" xfId="1" applyNumberFormat="1" applyFont="1" applyFill="1" applyBorder="1" applyAlignment="1">
      <alignment horizontal="center" vertical="center"/>
    </xf>
    <xf numFmtId="1" fontId="0" fillId="25" borderId="28" xfId="0" applyNumberFormat="1" applyFont="1" applyFill="1" applyBorder="1" applyAlignment="1">
      <alignment horizontal="center" vertical="center"/>
    </xf>
    <xf numFmtId="3" fontId="27" fillId="27" borderId="28" xfId="1" applyNumberFormat="1" applyFont="1" applyFill="1" applyBorder="1" applyAlignment="1">
      <alignment horizontal="center" vertical="center" wrapText="1"/>
    </xf>
    <xf numFmtId="174" fontId="7" fillId="22" borderId="28" xfId="1" applyNumberFormat="1" applyFont="1" applyFill="1" applyBorder="1" applyAlignment="1">
      <alignment horizontal="center" vertical="center"/>
    </xf>
    <xf numFmtId="3" fontId="8" fillId="22" borderId="28" xfId="0" applyNumberFormat="1" applyFont="1" applyFill="1" applyBorder="1" applyAlignment="1">
      <alignment horizontal="center" vertical="center"/>
    </xf>
    <xf numFmtId="1" fontId="15" fillId="22" borderId="28" xfId="1" applyNumberFormat="1" applyFont="1" applyFill="1" applyBorder="1" applyAlignment="1">
      <alignment horizontal="center" vertical="center"/>
    </xf>
    <xf numFmtId="0" fontId="27" fillId="27" borderId="28" xfId="1" applyNumberFormat="1" applyFont="1" applyFill="1" applyBorder="1" applyAlignment="1">
      <alignment horizontal="center" vertical="center" wrapText="1"/>
    </xf>
    <xf numFmtId="166" fontId="8" fillId="11" borderId="26" xfId="1" applyNumberFormat="1" applyFont="1" applyFill="1" applyBorder="1" applyAlignment="1">
      <alignment horizontal="center" vertical="center"/>
    </xf>
    <xf numFmtId="166" fontId="8" fillId="11" borderId="13" xfId="1" applyNumberFormat="1" applyFont="1" applyFill="1" applyBorder="1" applyAlignment="1">
      <alignment horizontal="center" vertical="center"/>
    </xf>
    <xf numFmtId="166" fontId="8" fillId="11" borderId="26" xfId="0" applyNumberFormat="1" applyFont="1" applyFill="1" applyBorder="1" applyAlignment="1">
      <alignment horizontal="center" vertical="center"/>
    </xf>
    <xf numFmtId="166" fontId="7" fillId="25" borderId="26" xfId="1" applyNumberFormat="1" applyFont="1" applyFill="1" applyBorder="1" applyAlignment="1">
      <alignment horizontal="center" vertical="center" wrapText="1"/>
    </xf>
    <xf numFmtId="170" fontId="7" fillId="25" borderId="6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2" borderId="11" xfId="0" applyNumberFormat="1" applyFont="1" applyFill="1" applyBorder="1" applyAlignment="1">
      <alignment horizontal="center" vertical="center"/>
    </xf>
    <xf numFmtId="10" fontId="0" fillId="42" borderId="6" xfId="2" applyNumberFormat="1" applyFont="1" applyFill="1" applyBorder="1" applyAlignment="1">
      <alignment horizontal="center" vertical="center"/>
    </xf>
    <xf numFmtId="10" fontId="0" fillId="25" borderId="6" xfId="2" applyNumberFormat="1" applyFont="1" applyFill="1" applyBorder="1" applyAlignment="1">
      <alignment horizontal="center" vertical="center"/>
    </xf>
    <xf numFmtId="14" fontId="32" fillId="25" borderId="6" xfId="9" applyNumberFormat="1" applyFont="1" applyFill="1" applyBorder="1" applyAlignment="1">
      <alignment horizontal="center" vertical="center" wrapText="1"/>
    </xf>
    <xf numFmtId="166" fontId="42" fillId="10" borderId="29" xfId="9" applyNumberFormat="1" applyFont="1" applyFill="1" applyBorder="1" applyAlignment="1">
      <alignment horizontal="center" vertical="center" wrapText="1"/>
    </xf>
    <xf numFmtId="3" fontId="43" fillId="19" borderId="6" xfId="9" applyNumberFormat="1" applyFont="1" applyFill="1" applyBorder="1" applyAlignment="1">
      <alignment horizontal="center" vertical="center" wrapText="1"/>
    </xf>
    <xf numFmtId="166" fontId="28" fillId="10" borderId="30" xfId="9" applyNumberFormat="1" applyFont="1" applyFill="1" applyBorder="1" applyAlignment="1">
      <alignment horizontal="center" vertical="center" wrapText="1"/>
    </xf>
    <xf numFmtId="166" fontId="44" fillId="10" borderId="29" xfId="9" applyNumberFormat="1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/>
    </xf>
    <xf numFmtId="0" fontId="5" fillId="23" borderId="6" xfId="0" applyFont="1" applyFill="1" applyBorder="1" applyAlignment="1">
      <alignment horizontal="center" vertical="center"/>
    </xf>
    <xf numFmtId="0" fontId="27" fillId="46" borderId="1" xfId="0" applyFont="1" applyFill="1" applyBorder="1" applyAlignment="1">
      <alignment horizontal="center" vertical="center" wrapText="1"/>
    </xf>
    <xf numFmtId="1" fontId="0" fillId="46" borderId="1" xfId="0" applyNumberFormat="1" applyFont="1" applyFill="1" applyBorder="1" applyAlignment="1">
      <alignment horizontal="center" vertical="center"/>
    </xf>
    <xf numFmtId="1" fontId="0" fillId="46" borderId="6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174" fontId="7" fillId="25" borderId="28" xfId="1" applyNumberFormat="1" applyFont="1" applyFill="1" applyBorder="1" applyAlignment="1">
      <alignment horizontal="center" vertical="center"/>
    </xf>
    <xf numFmtId="166" fontId="8" fillId="11" borderId="10" xfId="0" applyNumberFormat="1" applyFont="1" applyFill="1" applyBorder="1" applyAlignment="1">
      <alignment horizontal="center" vertical="center"/>
    </xf>
    <xf numFmtId="165" fontId="0" fillId="0" borderId="0" xfId="0" applyNumberFormat="1"/>
    <xf numFmtId="3" fontId="27" fillId="10" borderId="6" xfId="1" applyNumberFormat="1" applyFont="1" applyFill="1" applyBorder="1" applyAlignment="1">
      <alignment horizontal="center" vertical="center" wrapText="1"/>
    </xf>
    <xf numFmtId="3" fontId="7" fillId="10" borderId="6" xfId="1" applyNumberFormat="1" applyFont="1" applyFill="1" applyBorder="1" applyAlignment="1">
      <alignment horizontal="center" vertical="center" wrapText="1"/>
    </xf>
    <xf numFmtId="172" fontId="7" fillId="25" borderId="28" xfId="1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 wrapText="1"/>
    </xf>
    <xf numFmtId="3" fontId="7" fillId="7" borderId="6" xfId="0" applyNumberFormat="1" applyFont="1" applyFill="1" applyBorder="1" applyAlignment="1">
      <alignment horizontal="center" vertical="center" wrapText="1"/>
    </xf>
    <xf numFmtId="168" fontId="0" fillId="7" borderId="6" xfId="1" applyNumberFormat="1" applyFont="1" applyFill="1" applyBorder="1" applyAlignment="1">
      <alignment horizontal="center" vertical="center"/>
    </xf>
    <xf numFmtId="165" fontId="27" fillId="7" borderId="6" xfId="1" applyFont="1" applyFill="1" applyBorder="1" applyAlignment="1">
      <alignment horizontal="center" vertical="center" wrapText="1"/>
    </xf>
    <xf numFmtId="3" fontId="7" fillId="25" borderId="6" xfId="1" applyNumberFormat="1" applyFont="1" applyFill="1" applyBorder="1" applyAlignment="1">
      <alignment horizontal="center" vertical="center"/>
    </xf>
    <xf numFmtId="0" fontId="5" fillId="36" borderId="6" xfId="0" applyFont="1" applyFill="1" applyBorder="1" applyAlignment="1">
      <alignment horizontal="center" vertical="center"/>
    </xf>
    <xf numFmtId="167" fontId="0" fillId="12" borderId="13" xfId="0" applyNumberFormat="1" applyFont="1" applyFill="1" applyBorder="1" applyAlignment="1">
      <alignment horizontal="center" vertical="center"/>
    </xf>
    <xf numFmtId="1" fontId="0" fillId="7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/>
    </xf>
    <xf numFmtId="166" fontId="8" fillId="11" borderId="6" xfId="1" applyNumberFormat="1" applyFont="1" applyFill="1" applyBorder="1" applyAlignment="1">
      <alignment horizontal="center" vertical="center"/>
    </xf>
    <xf numFmtId="1" fontId="7" fillId="26" borderId="12" xfId="0" applyNumberFormat="1" applyFont="1" applyFill="1" applyBorder="1" applyAlignment="1">
      <alignment horizontal="center" vertical="center"/>
    </xf>
    <xf numFmtId="165" fontId="7" fillId="7" borderId="6" xfId="3" applyNumberFormat="1" applyFont="1" applyFill="1" applyBorder="1" applyAlignment="1">
      <alignment horizontal="center" vertical="center" wrapText="1"/>
    </xf>
    <xf numFmtId="0" fontId="7" fillId="7" borderId="6" xfId="3" applyFont="1" applyFill="1" applyBorder="1" applyAlignment="1">
      <alignment horizontal="center" vertical="center"/>
    </xf>
    <xf numFmtId="165" fontId="4" fillId="7" borderId="6" xfId="3" applyNumberFormat="1" applyFont="1" applyFill="1" applyBorder="1" applyAlignment="1">
      <alignment horizontal="center" vertical="center" wrapText="1"/>
    </xf>
    <xf numFmtId="0" fontId="27" fillId="29" borderId="25" xfId="1" applyNumberFormat="1" applyFont="1" applyFill="1" applyBorder="1" applyAlignment="1">
      <alignment horizontal="center" vertical="center" wrapText="1"/>
    </xf>
    <xf numFmtId="166" fontId="28" fillId="10" borderId="31" xfId="9" applyNumberFormat="1" applyFont="1" applyFill="1" applyBorder="1" applyAlignment="1">
      <alignment horizontal="center" vertical="center" wrapText="1"/>
    </xf>
    <xf numFmtId="166" fontId="7" fillId="25" borderId="32" xfId="1" applyNumberFormat="1" applyFont="1" applyFill="1" applyBorder="1" applyAlignment="1">
      <alignment horizontal="center" vertical="center"/>
    </xf>
    <xf numFmtId="166" fontId="8" fillId="11" borderId="32" xfId="1" applyNumberFormat="1" applyFont="1" applyFill="1" applyBorder="1" applyAlignment="1">
      <alignment horizontal="center" vertical="center"/>
    </xf>
    <xf numFmtId="166" fontId="8" fillId="11" borderId="33" xfId="1" applyNumberFormat="1" applyFont="1" applyFill="1" applyBorder="1" applyAlignment="1">
      <alignment horizontal="center" vertical="center"/>
    </xf>
    <xf numFmtId="166" fontId="8" fillId="11" borderId="12" xfId="1" applyNumberFormat="1" applyFont="1" applyFill="1" applyBorder="1" applyAlignment="1">
      <alignment horizontal="center" vertical="center"/>
    </xf>
    <xf numFmtId="166" fontId="8" fillId="25" borderId="13" xfId="1" applyNumberFormat="1" applyFont="1" applyFill="1" applyBorder="1" applyAlignment="1">
      <alignment horizontal="center" vertical="center"/>
    </xf>
    <xf numFmtId="14" fontId="0" fillId="25" borderId="6" xfId="2" applyNumberFormat="1" applyFont="1" applyFill="1" applyBorder="1" applyAlignment="1">
      <alignment horizontal="center" vertical="center"/>
    </xf>
    <xf numFmtId="165" fontId="7" fillId="7" borderId="6" xfId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6" fontId="45" fillId="36" borderId="0" xfId="9" applyNumberFormat="1" applyFont="1" applyFill="1" applyAlignment="1">
      <alignment horizontal="center" vertical="center" wrapText="1"/>
    </xf>
    <xf numFmtId="166" fontId="44" fillId="36" borderId="0" xfId="9" applyNumberFormat="1" applyFont="1" applyFill="1" applyAlignment="1">
      <alignment horizontal="center" vertical="center" wrapText="1"/>
    </xf>
    <xf numFmtId="0" fontId="4" fillId="13" borderId="1" xfId="6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3" borderId="1" xfId="6" applyFont="1" applyFill="1" applyBorder="1" applyAlignment="1">
      <alignment horizontal="center" vertical="center" wrapText="1"/>
    </xf>
    <xf numFmtId="0" fontId="7" fillId="31" borderId="1" xfId="6" applyFont="1" applyFill="1" applyBorder="1" applyAlignment="1">
      <alignment horizontal="center" vertical="center" wrapText="1"/>
    </xf>
    <xf numFmtId="3" fontId="7" fillId="10" borderId="1" xfId="1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14" fontId="8" fillId="31" borderId="6" xfId="6" applyNumberFormat="1" applyFont="1" applyFill="1" applyBorder="1" applyAlignment="1">
      <alignment horizontal="center" vertical="center"/>
    </xf>
    <xf numFmtId="3" fontId="7" fillId="25" borderId="6" xfId="6" applyNumberFormat="1" applyFont="1" applyFill="1" applyBorder="1" applyAlignment="1">
      <alignment horizontal="center" vertical="center" wrapText="1"/>
    </xf>
    <xf numFmtId="2" fontId="7" fillId="34" borderId="6" xfId="6" applyNumberFormat="1" applyFont="1" applyFill="1" applyBorder="1" applyAlignment="1">
      <alignment horizontal="center" vertical="center" wrapText="1"/>
    </xf>
    <xf numFmtId="166" fontId="4" fillId="31" borderId="1" xfId="6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67" fontId="7" fillId="25" borderId="13" xfId="0" applyNumberFormat="1" applyFont="1" applyFill="1" applyBorder="1" applyAlignment="1">
      <alignment horizontal="center" vertical="center"/>
    </xf>
    <xf numFmtId="164" fontId="5" fillId="23" borderId="5" xfId="0" applyNumberFormat="1" applyFont="1" applyFill="1" applyBorder="1" applyAlignment="1"/>
    <xf numFmtId="0" fontId="5" fillId="0" borderId="15" xfId="0" applyFont="1" applyBorder="1" applyAlignment="1">
      <alignment horizontal="center" vertical="center"/>
    </xf>
    <xf numFmtId="0" fontId="7" fillId="31" borderId="6" xfId="6" applyFont="1" applyFill="1" applyBorder="1" applyAlignment="1">
      <alignment horizontal="center" vertical="center" wrapText="1"/>
    </xf>
    <xf numFmtId="3" fontId="8" fillId="42" borderId="6" xfId="0" applyNumberFormat="1" applyFont="1" applyFill="1" applyBorder="1" applyAlignment="1">
      <alignment horizontal="center" vertical="center"/>
    </xf>
    <xf numFmtId="9" fontId="15" fillId="26" borderId="6" xfId="2" applyFont="1" applyFill="1" applyBorder="1" applyAlignment="1">
      <alignment horizontal="center" vertical="center"/>
    </xf>
    <xf numFmtId="0" fontId="7" fillId="26" borderId="12" xfId="0" applyNumberFormat="1" applyFont="1" applyFill="1" applyBorder="1" applyAlignment="1">
      <alignment horizontal="center" vertical="center"/>
    </xf>
    <xf numFmtId="167" fontId="7" fillId="10" borderId="1" xfId="0" applyNumberFormat="1" applyFont="1" applyFill="1" applyBorder="1" applyAlignment="1">
      <alignment horizontal="center" vertical="center"/>
    </xf>
    <xf numFmtId="167" fontId="8" fillId="25" borderId="6" xfId="0" applyNumberFormat="1" applyFont="1" applyFill="1" applyBorder="1" applyAlignment="1">
      <alignment horizontal="center" vertical="center"/>
    </xf>
    <xf numFmtId="3" fontId="7" fillId="7" borderId="6" xfId="3" applyNumberFormat="1" applyFont="1" applyFill="1" applyBorder="1" applyAlignment="1">
      <alignment horizontal="center" vertical="center"/>
    </xf>
    <xf numFmtId="168" fontId="7" fillId="10" borderId="6" xfId="1" applyNumberFormat="1" applyFont="1" applyFill="1" applyBorder="1" applyAlignment="1">
      <alignment horizontal="center" vertical="center" wrapText="1"/>
    </xf>
    <xf numFmtId="0" fontId="27" fillId="7" borderId="6" xfId="4" applyFont="1" applyFill="1" applyBorder="1" applyAlignment="1">
      <alignment horizontal="center" vertical="center" wrapText="1"/>
    </xf>
    <xf numFmtId="14" fontId="7" fillId="7" borderId="6" xfId="4" applyNumberFormat="1" applyFont="1" applyFill="1" applyBorder="1" applyAlignment="1">
      <alignment horizontal="center" vertical="center"/>
    </xf>
    <xf numFmtId="14" fontId="7" fillId="7" borderId="6" xfId="4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3" fontId="41" fillId="42" borderId="6" xfId="9" applyNumberFormat="1" applyFont="1" applyFill="1" applyBorder="1" applyAlignment="1">
      <alignment horizontal="center" vertical="center" wrapText="1"/>
    </xf>
    <xf numFmtId="3" fontId="33" fillId="45" borderId="6" xfId="9" applyNumberFormat="1" applyFont="1" applyFill="1" applyBorder="1" applyAlignment="1">
      <alignment horizontal="center" vertical="center" wrapText="1"/>
    </xf>
    <xf numFmtId="0" fontId="0" fillId="19" borderId="0" xfId="0" applyFont="1" applyFill="1" applyBorder="1" applyAlignment="1">
      <alignment horizontal="center" vertical="center"/>
    </xf>
    <xf numFmtId="3" fontId="33" fillId="45" borderId="6" xfId="9" applyNumberFormat="1" applyFont="1" applyFill="1" applyBorder="1" applyAlignment="1">
      <alignment horizontal="right" vertical="center" wrapText="1"/>
    </xf>
    <xf numFmtId="0" fontId="0" fillId="19" borderId="0" xfId="0" applyFont="1" applyFill="1" applyBorder="1" applyAlignment="1">
      <alignment horizontal="center" vertical="center" wrapText="1"/>
    </xf>
    <xf numFmtId="1" fontId="18" fillId="47" borderId="6" xfId="0" applyNumberFormat="1" applyFont="1" applyFill="1" applyBorder="1" applyAlignment="1">
      <alignment horizontal="center" vertical="center"/>
    </xf>
    <xf numFmtId="1" fontId="18" fillId="26" borderId="6" xfId="0" applyNumberFormat="1" applyFont="1" applyFill="1" applyBorder="1" applyAlignment="1">
      <alignment horizontal="center" vertical="center"/>
    </xf>
    <xf numFmtId="1" fontId="39" fillId="47" borderId="6" xfId="0" applyNumberFormat="1" applyFont="1" applyFill="1" applyBorder="1" applyAlignment="1">
      <alignment horizontal="center" vertical="center"/>
    </xf>
    <xf numFmtId="3" fontId="27" fillId="16" borderId="6" xfId="1" applyNumberFormat="1" applyFont="1" applyFill="1" applyBorder="1" applyAlignment="1">
      <alignment horizontal="center" vertical="center" wrapText="1"/>
    </xf>
    <xf numFmtId="167" fontId="0" fillId="16" borderId="6" xfId="0" applyNumberFormat="1" applyFont="1" applyFill="1" applyBorder="1" applyAlignment="1">
      <alignment horizontal="center" vertical="center"/>
    </xf>
    <xf numFmtId="0" fontId="27" fillId="27" borderId="26" xfId="1" applyNumberFormat="1" applyFont="1" applyFill="1" applyBorder="1" applyAlignment="1">
      <alignment horizontal="center" vertical="center" wrapText="1"/>
    </xf>
    <xf numFmtId="1" fontId="15" fillId="22" borderId="33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7" fontId="5" fillId="16" borderId="6" xfId="0" applyNumberFormat="1" applyFont="1" applyFill="1" applyBorder="1" applyAlignment="1">
      <alignment horizontal="center" vertical="center"/>
    </xf>
    <xf numFmtId="167" fontId="4" fillId="16" borderId="6" xfId="0" applyNumberFormat="1" applyFont="1" applyFill="1" applyBorder="1" applyAlignment="1">
      <alignment horizontal="center" vertical="center"/>
    </xf>
    <xf numFmtId="166" fontId="8" fillId="25" borderId="26" xfId="1" applyNumberFormat="1" applyFont="1" applyFill="1" applyBorder="1" applyAlignment="1">
      <alignment horizontal="center" vertical="center"/>
    </xf>
    <xf numFmtId="1" fontId="0" fillId="25" borderId="34" xfId="0" applyNumberFormat="1" applyFont="1" applyFill="1" applyBorder="1" applyAlignment="1">
      <alignment horizontal="center" vertical="center"/>
    </xf>
    <xf numFmtId="1" fontId="7" fillId="25" borderId="34" xfId="1" applyNumberFormat="1" applyFont="1" applyFill="1" applyBorder="1" applyAlignment="1">
      <alignment horizontal="center" vertical="center"/>
    </xf>
    <xf numFmtId="172" fontId="7" fillId="25" borderId="34" xfId="1" applyNumberFormat="1" applyFont="1" applyFill="1" applyBorder="1" applyAlignment="1">
      <alignment horizontal="center" vertical="center"/>
    </xf>
    <xf numFmtId="1" fontId="15" fillId="22" borderId="34" xfId="1" applyNumberFormat="1" applyFont="1" applyFill="1" applyBorder="1" applyAlignment="1">
      <alignment horizontal="center" vertical="center"/>
    </xf>
    <xf numFmtId="167" fontId="8" fillId="10" borderId="6" xfId="0" applyNumberFormat="1" applyFont="1" applyFill="1" applyBorder="1" applyAlignment="1">
      <alignment horizontal="center" vertical="center"/>
    </xf>
    <xf numFmtId="167" fontId="8" fillId="11" borderId="6" xfId="0" applyNumberFormat="1" applyFont="1" applyFill="1" applyBorder="1" applyAlignment="1">
      <alignment horizontal="center" vertical="center"/>
    </xf>
    <xf numFmtId="0" fontId="8" fillId="7" borderId="12" xfId="1" applyNumberFormat="1" applyFont="1" applyFill="1" applyBorder="1" applyAlignment="1">
      <alignment horizontal="center" vertical="center"/>
    </xf>
    <xf numFmtId="166" fontId="1" fillId="25" borderId="32" xfId="1" applyNumberFormat="1" applyFont="1" applyFill="1" applyBorder="1" applyAlignment="1">
      <alignment horizontal="center" vertical="center"/>
    </xf>
    <xf numFmtId="166" fontId="1" fillId="25" borderId="13" xfId="1" applyNumberFormat="1" applyFont="1" applyFill="1" applyBorder="1" applyAlignment="1">
      <alignment horizontal="center" vertical="center"/>
    </xf>
    <xf numFmtId="0" fontId="1" fillId="25" borderId="12" xfId="1" applyNumberFormat="1" applyFont="1" applyFill="1" applyBorder="1" applyAlignment="1">
      <alignment horizontal="center" vertical="center" wrapText="1"/>
    </xf>
    <xf numFmtId="174" fontId="1" fillId="25" borderId="28" xfId="1" applyNumberFormat="1" applyFont="1" applyFill="1" applyBorder="1" applyAlignment="1">
      <alignment horizontal="center" vertical="center"/>
    </xf>
    <xf numFmtId="3" fontId="1" fillId="25" borderId="12" xfId="0" applyNumberFormat="1" applyFont="1" applyFill="1" applyBorder="1" applyAlignment="1">
      <alignment horizontal="center" vertical="center"/>
    </xf>
    <xf numFmtId="3" fontId="1" fillId="25" borderId="6" xfId="0" applyNumberFormat="1" applyFont="1" applyFill="1" applyBorder="1" applyAlignment="1">
      <alignment horizontal="center" vertical="center"/>
    </xf>
    <xf numFmtId="166" fontId="1" fillId="25" borderId="6" xfId="0" applyNumberFormat="1" applyFont="1" applyFill="1" applyBorder="1" applyAlignment="1">
      <alignment horizontal="center" vertical="center"/>
    </xf>
    <xf numFmtId="3" fontId="1" fillId="25" borderId="6" xfId="1" applyNumberFormat="1" applyFont="1" applyFill="1" applyBorder="1" applyAlignment="1">
      <alignment horizontal="center" vertical="center"/>
    </xf>
    <xf numFmtId="166" fontId="4" fillId="31" borderId="6" xfId="6" applyNumberFormat="1" applyFont="1" applyFill="1" applyBorder="1" applyAlignment="1">
      <alignment horizontal="center" vertical="center" wrapText="1"/>
    </xf>
    <xf numFmtId="14" fontId="7" fillId="31" borderId="6" xfId="6" applyNumberFormat="1" applyFont="1" applyFill="1" applyBorder="1" applyAlignment="1">
      <alignment horizontal="center" vertical="center" wrapText="1"/>
    </xf>
    <xf numFmtId="0" fontId="27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/>
    </xf>
    <xf numFmtId="0" fontId="8" fillId="31" borderId="6" xfId="6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27" fillId="31" borderId="6" xfId="6" applyFont="1" applyFill="1" applyBorder="1" applyAlignment="1">
      <alignment horizontal="center" vertical="center" wrapText="1"/>
    </xf>
    <xf numFmtId="1" fontId="4" fillId="31" borderId="6" xfId="6" applyNumberFormat="1" applyFont="1" applyFill="1" applyBorder="1" applyAlignment="1">
      <alignment horizontal="center" vertical="center" wrapText="1"/>
    </xf>
    <xf numFmtId="2" fontId="4" fillId="31" borderId="6" xfId="6" applyNumberFormat="1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19" fillId="0" borderId="2" xfId="0" applyFont="1" applyBorder="1" applyAlignment="1">
      <alignment horizontal="center"/>
    </xf>
    <xf numFmtId="2" fontId="18" fillId="0" borderId="8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166" fontId="7" fillId="26" borderId="26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/>
    </xf>
    <xf numFmtId="0" fontId="35" fillId="19" borderId="6" xfId="0" applyFont="1" applyFill="1" applyBorder="1" applyAlignment="1">
      <alignment horizontal="left" vertical="center" wrapText="1"/>
    </xf>
    <xf numFmtId="1" fontId="7" fillId="18" borderId="6" xfId="4" applyNumberFormat="1" applyFont="1" applyFill="1" applyBorder="1" applyAlignment="1">
      <alignment horizontal="center" vertical="center"/>
    </xf>
    <xf numFmtId="166" fontId="7" fillId="30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2" fontId="0" fillId="0" borderId="36" xfId="0" applyNumberFormat="1" applyBorder="1" applyAlignment="1">
      <alignment horizontal="center"/>
    </xf>
    <xf numFmtId="2" fontId="18" fillId="0" borderId="36" xfId="0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2" fontId="0" fillId="0" borderId="37" xfId="0" applyNumberFormat="1" applyBorder="1" applyAlignment="1">
      <alignment horizontal="center"/>
    </xf>
    <xf numFmtId="2" fontId="18" fillId="0" borderId="37" xfId="0" applyNumberFormat="1" applyFont="1" applyBorder="1" applyAlignment="1">
      <alignment horizontal="center"/>
    </xf>
    <xf numFmtId="0" fontId="8" fillId="7" borderId="6" xfId="0" applyFont="1" applyFill="1" applyBorder="1" applyAlignment="1">
      <alignment horizontal="center" vertical="center" wrapText="1"/>
    </xf>
    <xf numFmtId="0" fontId="8" fillId="25" borderId="6" xfId="0" applyFont="1" applyFill="1" applyBorder="1" applyAlignment="1">
      <alignment horizontal="center" vertical="center"/>
    </xf>
    <xf numFmtId="0" fontId="7" fillId="25" borderId="12" xfId="0" applyNumberFormat="1" applyFont="1" applyFill="1" applyBorder="1" applyAlignment="1">
      <alignment horizontal="center" vertical="center" wrapText="1"/>
    </xf>
    <xf numFmtId="9" fontId="15" fillId="25" borderId="6" xfId="2" applyFont="1" applyFill="1" applyBorder="1" applyAlignment="1">
      <alignment horizontal="center" vertical="center"/>
    </xf>
    <xf numFmtId="1" fontId="15" fillId="7" borderId="12" xfId="1" applyNumberFormat="1" applyFont="1" applyFill="1" applyBorder="1" applyAlignment="1">
      <alignment horizontal="center" vertical="center"/>
    </xf>
    <xf numFmtId="165" fontId="27" fillId="21" borderId="6" xfId="1" applyFont="1" applyFill="1" applyBorder="1" applyAlignment="1">
      <alignment horizontal="center" vertical="center" wrapText="1"/>
    </xf>
    <xf numFmtId="165" fontId="7" fillId="21" borderId="6" xfId="1" applyFont="1" applyFill="1" applyBorder="1" applyAlignment="1">
      <alignment horizontal="center" vertical="center" wrapText="1"/>
    </xf>
    <xf numFmtId="3" fontId="4" fillId="7" borderId="6" xfId="1" applyNumberFormat="1" applyFont="1" applyFill="1" applyBorder="1" applyAlignment="1">
      <alignment horizontal="center" vertical="center" wrapText="1"/>
    </xf>
    <xf numFmtId="165" fontId="27" fillId="27" borderId="1" xfId="1" applyFont="1" applyFill="1" applyBorder="1" applyAlignment="1">
      <alignment horizontal="center" vertical="center" wrapText="1"/>
    </xf>
    <xf numFmtId="165" fontId="27" fillId="27" borderId="6" xfId="1" applyFont="1" applyFill="1" applyBorder="1" applyAlignment="1">
      <alignment horizontal="center" vertical="center" wrapText="1"/>
    </xf>
    <xf numFmtId="167" fontId="0" fillId="48" borderId="1" xfId="0" applyNumberFormat="1" applyFont="1" applyFill="1" applyBorder="1" applyAlignment="1">
      <alignment horizontal="center" vertical="center"/>
    </xf>
    <xf numFmtId="9" fontId="0" fillId="48" borderId="6" xfId="2" applyFont="1" applyFill="1" applyBorder="1" applyAlignment="1">
      <alignment horizontal="center" vertical="center"/>
    </xf>
    <xf numFmtId="167" fontId="0" fillId="48" borderId="6" xfId="0" applyNumberFormat="1" applyFont="1" applyFill="1" applyBorder="1" applyAlignment="1">
      <alignment horizontal="center" vertical="center"/>
    </xf>
    <xf numFmtId="167" fontId="5" fillId="48" borderId="1" xfId="0" applyNumberFormat="1" applyFont="1" applyFill="1" applyBorder="1" applyAlignment="1">
      <alignment horizontal="center" vertical="center"/>
    </xf>
    <xf numFmtId="167" fontId="7" fillId="48" borderId="1" xfId="0" applyNumberFormat="1" applyFont="1" applyFill="1" applyBorder="1" applyAlignment="1">
      <alignment horizontal="center" vertical="center"/>
    </xf>
    <xf numFmtId="167" fontId="7" fillId="48" borderId="6" xfId="0" applyNumberFormat="1" applyFont="1" applyFill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3" fontId="0" fillId="42" borderId="0" xfId="0" applyNumberFormat="1" applyFont="1" applyFill="1" applyBorder="1" applyAlignment="1">
      <alignment horizontal="center" vertical="center"/>
    </xf>
    <xf numFmtId="3" fontId="5" fillId="8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2" fontId="4" fillId="8" borderId="6" xfId="2" applyNumberFormat="1" applyFont="1" applyFill="1" applyBorder="1" applyAlignment="1">
      <alignment horizontal="center" vertical="center"/>
    </xf>
    <xf numFmtId="167" fontId="5" fillId="10" borderId="6" xfId="0" applyNumberFormat="1" applyFont="1" applyFill="1" applyBorder="1" applyAlignment="1">
      <alignment horizontal="center" vertical="center"/>
    </xf>
    <xf numFmtId="166" fontId="7" fillId="26" borderId="26" xfId="0" applyNumberFormat="1" applyFont="1" applyFill="1" applyBorder="1" applyAlignment="1">
      <alignment horizontal="center" vertical="center"/>
    </xf>
    <xf numFmtId="1" fontId="18" fillId="49" borderId="6" xfId="0" applyNumberFormat="1" applyFont="1" applyFill="1" applyBorder="1" applyAlignment="1">
      <alignment horizontal="center" vertical="center"/>
    </xf>
    <xf numFmtId="166" fontId="8" fillId="7" borderId="12" xfId="0" applyNumberFormat="1" applyFont="1" applyFill="1" applyBorder="1" applyAlignment="1">
      <alignment horizontal="center" vertical="center"/>
    </xf>
    <xf numFmtId="0" fontId="1" fillId="25" borderId="12" xfId="0" applyNumberFormat="1" applyFont="1" applyFill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0" fontId="7" fillId="27" borderId="6" xfId="0" applyFont="1" applyFill="1" applyBorder="1" applyAlignment="1">
      <alignment horizontal="center" vertical="center"/>
    </xf>
    <xf numFmtId="0" fontId="7" fillId="26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 wrapText="1"/>
    </xf>
    <xf numFmtId="168" fontId="7" fillId="25" borderId="6" xfId="1" applyNumberFormat="1" applyFont="1" applyFill="1" applyBorder="1" applyAlignment="1">
      <alignment horizontal="center" vertical="center"/>
    </xf>
    <xf numFmtId="168" fontId="7" fillId="25" borderId="6" xfId="1" applyNumberFormat="1" applyFont="1" applyFill="1" applyBorder="1" applyAlignment="1">
      <alignment horizontal="center" vertical="center" wrapText="1"/>
    </xf>
    <xf numFmtId="9" fontId="1" fillId="7" borderId="6" xfId="2" applyFont="1" applyFill="1" applyBorder="1" applyAlignment="1">
      <alignment horizontal="center" vertical="center"/>
    </xf>
    <xf numFmtId="1" fontId="7" fillId="31" borderId="6" xfId="6" applyNumberFormat="1" applyFont="1" applyFill="1" applyBorder="1" applyAlignment="1">
      <alignment horizontal="center" vertical="center" wrapText="1"/>
    </xf>
    <xf numFmtId="10" fontId="1" fillId="42" borderId="6" xfId="2" applyNumberFormat="1" applyFont="1" applyFill="1" applyBorder="1" applyAlignment="1">
      <alignment horizontal="center" vertical="center"/>
    </xf>
    <xf numFmtId="9" fontId="1" fillId="48" borderId="6" xfId="2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0" fillId="25" borderId="1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/>
    </xf>
    <xf numFmtId="165" fontId="0" fillId="12" borderId="6" xfId="1" applyFont="1" applyFill="1" applyBorder="1" applyAlignment="1">
      <alignment horizontal="center" vertical="center"/>
    </xf>
    <xf numFmtId="167" fontId="7" fillId="11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0" fontId="35" fillId="25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7" fillId="2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9" fontId="7" fillId="8" borderId="1" xfId="2" applyFont="1" applyFill="1" applyBorder="1" applyAlignment="1">
      <alignment horizontal="center" vertical="center"/>
    </xf>
    <xf numFmtId="170" fontId="7" fillId="25" borderId="26" xfId="1" applyNumberFormat="1" applyFont="1" applyFill="1" applyBorder="1" applyAlignment="1">
      <alignment horizontal="center" vertical="center"/>
    </xf>
    <xf numFmtId="3" fontId="0" fillId="34" borderId="6" xfId="0" applyNumberFormat="1" applyFont="1" applyFill="1" applyBorder="1" applyAlignment="1">
      <alignment horizontal="center" vertical="center"/>
    </xf>
    <xf numFmtId="167" fontId="4" fillId="17" borderId="13" xfId="0" applyNumberFormat="1" applyFont="1" applyFill="1" applyBorder="1" applyAlignment="1">
      <alignment horizontal="center" vertical="center"/>
    </xf>
    <xf numFmtId="167" fontId="7" fillId="12" borderId="13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14" fontId="0" fillId="34" borderId="6" xfId="0" applyNumberFormat="1" applyFont="1" applyFill="1" applyBorder="1" applyAlignment="1">
      <alignment horizontal="center" vertical="center"/>
    </xf>
    <xf numFmtId="166" fontId="8" fillId="11" borderId="10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1" applyNumberFormat="1" applyFont="1" applyBorder="1" applyAlignment="1">
      <alignment horizontal="center" vertical="center"/>
    </xf>
    <xf numFmtId="4" fontId="0" fillId="7" borderId="6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/>
    </xf>
    <xf numFmtId="4" fontId="1" fillId="0" borderId="6" xfId="1" applyNumberFormat="1" applyFont="1" applyBorder="1" applyAlignment="1">
      <alignment horizontal="center" vertical="center"/>
    </xf>
    <xf numFmtId="14" fontId="7" fillId="25" borderId="6" xfId="1" applyNumberFormat="1" applyFont="1" applyFill="1" applyBorder="1" applyAlignment="1">
      <alignment horizontal="center" vertical="center"/>
    </xf>
    <xf numFmtId="0" fontId="35" fillId="19" borderId="6" xfId="0" applyFont="1" applyFill="1" applyBorder="1" applyAlignment="1">
      <alignment horizontal="left" vertical="top" wrapText="1"/>
    </xf>
    <xf numFmtId="0" fontId="6" fillId="7" borderId="6" xfId="0" applyFont="1" applyFill="1" applyBorder="1" applyAlignment="1">
      <alignment horizontal="center" vertical="center"/>
    </xf>
    <xf numFmtId="166" fontId="0" fillId="33" borderId="12" xfId="0" applyNumberFormat="1" applyFont="1" applyFill="1" applyBorder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166" fontId="7" fillId="0" borderId="6" xfId="0" applyNumberFormat="1" applyFont="1" applyFill="1" applyBorder="1" applyAlignment="1">
      <alignment horizontal="center" vertical="center"/>
    </xf>
    <xf numFmtId="165" fontId="8" fillId="0" borderId="6" xfId="1" applyFont="1" applyBorder="1" applyAlignment="1">
      <alignment horizontal="center" vertical="center"/>
    </xf>
    <xf numFmtId="168" fontId="8" fillId="0" borderId="6" xfId="1" applyNumberFormat="1" applyFont="1" applyBorder="1" applyAlignment="1">
      <alignment horizontal="center" vertical="center"/>
    </xf>
    <xf numFmtId="0" fontId="35" fillId="25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166" fontId="7" fillId="11" borderId="10" xfId="0" applyNumberFormat="1" applyFont="1" applyFill="1" applyBorder="1" applyAlignment="1">
      <alignment horizontal="center" vertical="center"/>
    </xf>
    <xf numFmtId="173" fontId="0" fillId="11" borderId="6" xfId="0" applyNumberFormat="1" applyFont="1" applyFill="1" applyBorder="1" applyAlignment="1">
      <alignment horizontal="center" vertical="center"/>
    </xf>
    <xf numFmtId="3" fontId="27" fillId="50" borderId="6" xfId="1" applyNumberFormat="1" applyFont="1" applyFill="1" applyBorder="1" applyAlignment="1">
      <alignment horizontal="center" vertical="center" wrapText="1"/>
    </xf>
    <xf numFmtId="175" fontId="27" fillId="50" borderId="6" xfId="1" applyNumberFormat="1" applyFont="1" applyFill="1" applyBorder="1" applyAlignment="1">
      <alignment horizontal="center" vertical="center" wrapText="1"/>
    </xf>
    <xf numFmtId="167" fontId="0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/>
    </xf>
    <xf numFmtId="3" fontId="0" fillId="50" borderId="6" xfId="2" applyNumberFormat="1" applyFont="1" applyFill="1" applyBorder="1" applyAlignment="1">
      <alignment horizontal="center" vertical="center"/>
    </xf>
    <xf numFmtId="9" fontId="7" fillId="50" borderId="6" xfId="2" applyFont="1" applyFill="1" applyBorder="1" applyAlignment="1">
      <alignment horizontal="center" vertical="center"/>
    </xf>
    <xf numFmtId="167" fontId="5" fillId="50" borderId="6" xfId="0" applyNumberFormat="1" applyFont="1" applyFill="1" applyBorder="1" applyAlignment="1">
      <alignment horizontal="center" vertical="center"/>
    </xf>
    <xf numFmtId="167" fontId="4" fillId="50" borderId="6" xfId="0" applyNumberFormat="1" applyFont="1" applyFill="1" applyBorder="1" applyAlignment="1">
      <alignment horizontal="center" vertical="center"/>
    </xf>
    <xf numFmtId="167" fontId="7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 wrapText="1"/>
    </xf>
    <xf numFmtId="9" fontId="1" fillId="50" borderId="6" xfId="2" applyFont="1" applyFill="1" applyBorder="1" applyAlignment="1">
      <alignment horizontal="center" vertical="center"/>
    </xf>
    <xf numFmtId="9" fontId="0" fillId="50" borderId="6" xfId="2" quotePrefix="1" applyFont="1" applyFill="1" applyBorder="1" applyAlignment="1">
      <alignment horizontal="center" vertical="center"/>
    </xf>
    <xf numFmtId="3" fontId="27" fillId="27" borderId="6" xfId="1" applyNumberFormat="1" applyFont="1" applyFill="1" applyBorder="1" applyAlignment="1">
      <alignment horizontal="center" vertical="center" wrapText="1"/>
    </xf>
    <xf numFmtId="3" fontId="7" fillId="27" borderId="6" xfId="1" applyNumberFormat="1" applyFont="1" applyFill="1" applyBorder="1" applyAlignment="1">
      <alignment horizontal="center" vertical="center" wrapText="1"/>
    </xf>
    <xf numFmtId="167" fontId="0" fillId="27" borderId="6" xfId="0" applyNumberFormat="1" applyFont="1" applyFill="1" applyBorder="1" applyAlignment="1">
      <alignment horizontal="center" vertical="center"/>
    </xf>
    <xf numFmtId="167" fontId="5" fillId="27" borderId="6" xfId="0" applyNumberFormat="1" applyFont="1" applyFill="1" applyBorder="1" applyAlignment="1">
      <alignment horizontal="center" vertical="center"/>
    </xf>
    <xf numFmtId="166" fontId="32" fillId="25" borderId="6" xfId="9" applyNumberFormat="1" applyFont="1" applyFill="1" applyBorder="1" applyAlignment="1">
      <alignment horizontal="center" vertical="center" wrapText="1"/>
    </xf>
    <xf numFmtId="166" fontId="7" fillId="26" borderId="10" xfId="0" applyNumberFormat="1" applyFont="1" applyFill="1" applyBorder="1" applyAlignment="1">
      <alignment horizontal="center" vertical="center"/>
    </xf>
    <xf numFmtId="166" fontId="7" fillId="25" borderId="35" xfId="1" applyNumberFormat="1" applyFont="1" applyFill="1" applyBorder="1" applyAlignment="1">
      <alignment horizontal="center" vertical="center"/>
    </xf>
    <xf numFmtId="173" fontId="0" fillId="10" borderId="6" xfId="0" applyNumberFormat="1" applyFont="1" applyFill="1" applyBorder="1" applyAlignment="1">
      <alignment horizontal="center" vertical="center"/>
    </xf>
    <xf numFmtId="166" fontId="7" fillId="25" borderId="10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top" wrapText="1"/>
    </xf>
    <xf numFmtId="3" fontId="4" fillId="7" borderId="10" xfId="1" applyNumberFormat="1" applyFont="1" applyFill="1" applyBorder="1" applyAlignment="1">
      <alignment horizontal="center" vertical="center" wrapText="1"/>
    </xf>
    <xf numFmtId="165" fontId="7" fillId="7" borderId="10" xfId="1" applyFont="1" applyFill="1" applyBorder="1" applyAlignment="1">
      <alignment horizontal="center" vertical="center" wrapText="1"/>
    </xf>
    <xf numFmtId="0" fontId="0" fillId="7" borderId="39" xfId="0" applyFont="1" applyFill="1" applyBorder="1" applyAlignment="1">
      <alignment horizontal="center" vertical="center"/>
    </xf>
    <xf numFmtId="0" fontId="0" fillId="7" borderId="39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 wrapText="1"/>
    </xf>
    <xf numFmtId="166" fontId="7" fillId="8" borderId="39" xfId="5" applyNumberFormat="1" applyFont="1" applyFill="1" applyBorder="1" applyAlignment="1">
      <alignment horizontal="center" vertical="center"/>
    </xf>
    <xf numFmtId="0" fontId="7" fillId="8" borderId="39" xfId="7" applyFont="1" applyFill="1" applyBorder="1" applyAlignment="1">
      <alignment horizontal="center" vertical="center"/>
    </xf>
    <xf numFmtId="166" fontId="7" fillId="8" borderId="39" xfId="7" applyNumberFormat="1" applyFont="1" applyFill="1" applyBorder="1" applyAlignment="1">
      <alignment horizontal="center" vertical="center"/>
    </xf>
    <xf numFmtId="3" fontId="0" fillId="8" borderId="39" xfId="0" applyNumberFormat="1" applyFont="1" applyFill="1" applyBorder="1" applyAlignment="1">
      <alignment horizontal="center" vertical="center"/>
    </xf>
    <xf numFmtId="0" fontId="0" fillId="12" borderId="39" xfId="0" applyFont="1" applyFill="1" applyBorder="1" applyAlignment="1">
      <alignment horizontal="center" vertical="center"/>
    </xf>
    <xf numFmtId="4" fontId="0" fillId="0" borderId="39" xfId="1" applyNumberFormat="1" applyFont="1" applyBorder="1" applyAlignment="1">
      <alignment horizontal="center" vertical="center"/>
    </xf>
    <xf numFmtId="4" fontId="7" fillId="20" borderId="39" xfId="0" applyNumberFormat="1" applyFont="1" applyFill="1" applyBorder="1" applyAlignment="1">
      <alignment horizontal="center" vertical="center"/>
    </xf>
    <xf numFmtId="4" fontId="7" fillId="0" borderId="39" xfId="0" applyNumberFormat="1" applyFont="1" applyFill="1" applyBorder="1" applyAlignment="1">
      <alignment horizontal="center" vertical="center"/>
    </xf>
    <xf numFmtId="4" fontId="0" fillId="7" borderId="39" xfId="0" applyNumberFormat="1" applyFont="1" applyFill="1" applyBorder="1" applyAlignment="1">
      <alignment horizontal="center" vertical="center"/>
    </xf>
    <xf numFmtId="9" fontId="0" fillId="7" borderId="39" xfId="2" applyFont="1" applyFill="1" applyBorder="1" applyAlignment="1">
      <alignment horizontal="center" vertical="center"/>
    </xf>
    <xf numFmtId="164" fontId="0" fillId="7" borderId="39" xfId="0" applyNumberFormat="1" applyFont="1" applyFill="1" applyBorder="1" applyAlignment="1">
      <alignment horizontal="center" vertical="center"/>
    </xf>
    <xf numFmtId="0" fontId="7" fillId="7" borderId="39" xfId="0" applyFont="1" applyFill="1" applyBorder="1" applyAlignment="1">
      <alignment horizontal="center" vertical="center" wrapText="1"/>
    </xf>
    <xf numFmtId="14" fontId="0" fillId="26" borderId="39" xfId="0" applyNumberFormat="1" applyFont="1" applyFill="1" applyBorder="1" applyAlignment="1">
      <alignment horizontal="center" vertical="center" wrapText="1"/>
    </xf>
    <xf numFmtId="14" fontId="0" fillId="7" borderId="39" xfId="0" applyNumberFormat="1" applyFont="1" applyFill="1" applyBorder="1" applyAlignment="1">
      <alignment horizontal="center" vertical="center"/>
    </xf>
    <xf numFmtId="166" fontId="7" fillId="30" borderId="39" xfId="4" applyNumberFormat="1" applyFont="1" applyFill="1" applyBorder="1" applyAlignment="1">
      <alignment horizontal="center" vertical="center"/>
    </xf>
    <xf numFmtId="166" fontId="7" fillId="18" borderId="39" xfId="4" applyNumberFormat="1" applyFont="1" applyFill="1" applyBorder="1" applyAlignment="1">
      <alignment horizontal="center" vertical="center"/>
    </xf>
    <xf numFmtId="1" fontId="7" fillId="18" borderId="39" xfId="4" applyNumberFormat="1" applyFont="1" applyFill="1" applyBorder="1" applyAlignment="1">
      <alignment horizontal="center" vertical="center"/>
    </xf>
    <xf numFmtId="14" fontId="7" fillId="7" borderId="39" xfId="4" applyNumberFormat="1" applyFont="1" applyFill="1" applyBorder="1" applyAlignment="1">
      <alignment horizontal="center" vertical="center"/>
    </xf>
    <xf numFmtId="14" fontId="7" fillId="13" borderId="39" xfId="6" applyNumberFormat="1" applyFont="1" applyFill="1" applyBorder="1" applyAlignment="1">
      <alignment horizontal="center" vertical="center"/>
    </xf>
    <xf numFmtId="14" fontId="7" fillId="31" borderId="39" xfId="6" applyNumberFormat="1" applyFont="1" applyFill="1" applyBorder="1" applyAlignment="1">
      <alignment horizontal="center" vertical="center"/>
    </xf>
    <xf numFmtId="1" fontId="4" fillId="31" borderId="39" xfId="6" applyNumberFormat="1" applyFont="1" applyFill="1" applyBorder="1" applyAlignment="1">
      <alignment horizontal="center" vertical="center" wrapText="1"/>
    </xf>
    <xf numFmtId="0" fontId="7" fillId="31" borderId="39" xfId="6" applyNumberFormat="1" applyFont="1" applyFill="1" applyBorder="1" applyAlignment="1">
      <alignment horizontal="center" vertical="center"/>
    </xf>
    <xf numFmtId="166" fontId="7" fillId="34" borderId="39" xfId="6" applyNumberFormat="1" applyFont="1" applyFill="1" applyBorder="1" applyAlignment="1">
      <alignment horizontal="center" vertical="center"/>
    </xf>
    <xf numFmtId="3" fontId="7" fillId="34" borderId="39" xfId="6" applyNumberFormat="1" applyFont="1" applyFill="1" applyBorder="1" applyAlignment="1">
      <alignment horizontal="center" vertical="center" wrapText="1"/>
    </xf>
    <xf numFmtId="2" fontId="7" fillId="34" borderId="39" xfId="6" applyNumberFormat="1" applyFont="1" applyFill="1" applyBorder="1" applyAlignment="1">
      <alignment horizontal="center" vertical="center" wrapText="1"/>
    </xf>
    <xf numFmtId="166" fontId="8" fillId="33" borderId="39" xfId="0" applyNumberFormat="1" applyFont="1" applyFill="1" applyBorder="1" applyAlignment="1">
      <alignment horizontal="center" vertical="center"/>
    </xf>
    <xf numFmtId="166" fontId="0" fillId="33" borderId="39" xfId="0" applyNumberFormat="1" applyFont="1" applyFill="1" applyBorder="1" applyAlignment="1">
      <alignment horizontal="center" vertical="center"/>
    </xf>
    <xf numFmtId="1" fontId="18" fillId="44" borderId="39" xfId="0" applyNumberFormat="1" applyFont="1" applyFill="1" applyBorder="1" applyAlignment="1">
      <alignment horizontal="center" vertical="center"/>
    </xf>
    <xf numFmtId="9" fontId="15" fillId="7" borderId="39" xfId="2" applyFont="1" applyFill="1" applyBorder="1" applyAlignment="1">
      <alignment horizontal="center" vertical="center"/>
    </xf>
    <xf numFmtId="3" fontId="8" fillId="33" borderId="39" xfId="0" applyNumberFormat="1" applyFont="1" applyFill="1" applyBorder="1" applyAlignment="1">
      <alignment horizontal="center" vertical="center"/>
    </xf>
    <xf numFmtId="166" fontId="8" fillId="11" borderId="39" xfId="0" applyNumberFormat="1" applyFont="1" applyFill="1" applyBorder="1" applyAlignment="1">
      <alignment horizontal="center" vertical="center"/>
    </xf>
    <xf numFmtId="3" fontId="0" fillId="11" borderId="39" xfId="0" applyNumberFormat="1" applyFont="1" applyFill="1" applyBorder="1" applyAlignment="1">
      <alignment horizontal="center" vertical="center"/>
    </xf>
    <xf numFmtId="1" fontId="18" fillId="43" borderId="39" xfId="0" applyNumberFormat="1" applyFont="1" applyFill="1" applyBorder="1" applyAlignment="1">
      <alignment horizontal="center" vertical="center"/>
    </xf>
    <xf numFmtId="166" fontId="8" fillId="7" borderId="40" xfId="0" applyNumberFormat="1" applyFont="1" applyFill="1" applyBorder="1" applyAlignment="1">
      <alignment horizontal="center" vertical="center"/>
    </xf>
    <xf numFmtId="0" fontId="15" fillId="7" borderId="41" xfId="0" applyNumberFormat="1" applyFont="1" applyFill="1" applyBorder="1" applyAlignment="1">
      <alignment horizontal="center" vertical="center"/>
    </xf>
    <xf numFmtId="1" fontId="15" fillId="7" borderId="41" xfId="0" applyNumberFormat="1" applyFont="1" applyFill="1" applyBorder="1" applyAlignment="1">
      <alignment horizontal="center" vertical="center"/>
    </xf>
    <xf numFmtId="1" fontId="15" fillId="7" borderId="39" xfId="1" applyNumberFormat="1" applyFont="1" applyFill="1" applyBorder="1" applyAlignment="1">
      <alignment horizontal="center" vertical="center"/>
    </xf>
    <xf numFmtId="166" fontId="0" fillId="11" borderId="39" xfId="0" applyNumberFormat="1" applyFont="1" applyFill="1" applyBorder="1" applyAlignment="1">
      <alignment horizontal="center" vertical="center"/>
    </xf>
    <xf numFmtId="166" fontId="0" fillId="11" borderId="42" xfId="0" applyNumberFormat="1" applyFont="1" applyFill="1" applyBorder="1" applyAlignment="1">
      <alignment horizontal="center" vertical="center"/>
    </xf>
    <xf numFmtId="1" fontId="31" fillId="43" borderId="39" xfId="0" applyNumberFormat="1" applyFont="1" applyFill="1" applyBorder="1" applyAlignment="1">
      <alignment horizontal="center" vertical="center"/>
    </xf>
    <xf numFmtId="1" fontId="0" fillId="11" borderId="39" xfId="0" applyNumberFormat="1" applyFont="1" applyFill="1" applyBorder="1" applyAlignment="1">
      <alignment horizontal="center" vertical="center"/>
    </xf>
    <xf numFmtId="0" fontId="0" fillId="11" borderId="39" xfId="0" applyFont="1" applyFill="1" applyBorder="1" applyAlignment="1">
      <alignment horizontal="center" vertical="center"/>
    </xf>
    <xf numFmtId="166" fontId="8" fillId="11" borderId="38" xfId="0" applyNumberFormat="1" applyFont="1" applyFill="1" applyBorder="1" applyAlignment="1">
      <alignment horizontal="center" vertical="center"/>
    </xf>
    <xf numFmtId="166" fontId="8" fillId="11" borderId="40" xfId="1" applyNumberFormat="1" applyFont="1" applyFill="1" applyBorder="1" applyAlignment="1">
      <alignment horizontal="center" vertical="center"/>
    </xf>
    <xf numFmtId="1" fontId="15" fillId="22" borderId="43" xfId="1" applyNumberFormat="1" applyFont="1" applyFill="1" applyBorder="1" applyAlignment="1">
      <alignment horizontal="center" vertical="center"/>
    </xf>
    <xf numFmtId="1" fontId="15" fillId="22" borderId="44" xfId="1" applyNumberFormat="1" applyFont="1" applyFill="1" applyBorder="1" applyAlignment="1">
      <alignment horizontal="center" vertical="center"/>
    </xf>
    <xf numFmtId="166" fontId="8" fillId="11" borderId="44" xfId="1" applyNumberFormat="1" applyFont="1" applyFill="1" applyBorder="1" applyAlignment="1">
      <alignment horizontal="center" vertical="center"/>
    </xf>
    <xf numFmtId="166" fontId="8" fillId="11" borderId="39" xfId="1" applyNumberFormat="1" applyFont="1" applyFill="1" applyBorder="1" applyAlignment="1">
      <alignment horizontal="center" vertical="center"/>
    </xf>
    <xf numFmtId="166" fontId="8" fillId="11" borderId="41" xfId="1" applyNumberFormat="1" applyFont="1" applyFill="1" applyBorder="1" applyAlignment="1">
      <alignment horizontal="center" vertical="center"/>
    </xf>
    <xf numFmtId="166" fontId="8" fillId="7" borderId="38" xfId="1" applyNumberFormat="1" applyFont="1" applyFill="1" applyBorder="1" applyAlignment="1">
      <alignment horizontal="center" vertical="center"/>
    </xf>
    <xf numFmtId="166" fontId="8" fillId="11" borderId="45" xfId="1" applyNumberFormat="1" applyFont="1" applyFill="1" applyBorder="1" applyAlignment="1">
      <alignment horizontal="center" vertical="center"/>
    </xf>
    <xf numFmtId="0" fontId="8" fillId="0" borderId="41" xfId="0" applyNumberFormat="1" applyFont="1" applyBorder="1" applyAlignment="1">
      <alignment horizontal="center" vertical="center"/>
    </xf>
    <xf numFmtId="174" fontId="7" fillId="22" borderId="43" xfId="1" applyNumberFormat="1" applyFont="1" applyFill="1" applyBorder="1" applyAlignment="1">
      <alignment horizontal="center" vertical="center"/>
    </xf>
    <xf numFmtId="3" fontId="15" fillId="7" borderId="39" xfId="0" applyNumberFormat="1" applyFont="1" applyFill="1" applyBorder="1" applyAlignment="1">
      <alignment horizontal="center" vertical="center"/>
    </xf>
    <xf numFmtId="166" fontId="8" fillId="0" borderId="39" xfId="0" applyNumberFormat="1" applyFont="1" applyBorder="1" applyAlignment="1">
      <alignment horizontal="center" vertical="center"/>
    </xf>
    <xf numFmtId="3" fontId="0" fillId="42" borderId="39" xfId="0" applyNumberFormat="1" applyFont="1" applyFill="1" applyBorder="1" applyAlignment="1">
      <alignment horizontal="center" vertical="center"/>
    </xf>
    <xf numFmtId="10" fontId="0" fillId="42" borderId="39" xfId="2" applyNumberFormat="1" applyFont="1" applyFill="1" applyBorder="1" applyAlignment="1">
      <alignment horizontal="center" vertical="center"/>
    </xf>
    <xf numFmtId="0" fontId="0" fillId="19" borderId="39" xfId="0" applyFont="1" applyFill="1" applyBorder="1" applyAlignment="1">
      <alignment horizontal="center" vertical="center"/>
    </xf>
    <xf numFmtId="0" fontId="0" fillId="19" borderId="39" xfId="0" applyFont="1" applyFill="1" applyBorder="1" applyAlignment="1">
      <alignment horizontal="center" vertical="center" wrapText="1"/>
    </xf>
    <xf numFmtId="166" fontId="0" fillId="7" borderId="39" xfId="0" applyNumberFormat="1" applyFont="1" applyFill="1" applyBorder="1" applyAlignment="1">
      <alignment horizontal="center" vertical="center"/>
    </xf>
    <xf numFmtId="166" fontId="8" fillId="7" borderId="39" xfId="0" applyNumberFormat="1" applyFont="1" applyFill="1" applyBorder="1" applyAlignment="1">
      <alignment horizontal="center" vertical="center"/>
    </xf>
    <xf numFmtId="0" fontId="7" fillId="7" borderId="39" xfId="3" applyFont="1" applyFill="1" applyBorder="1" applyAlignment="1">
      <alignment horizontal="center" vertical="center"/>
    </xf>
    <xf numFmtId="3" fontId="7" fillId="10" borderId="39" xfId="1" applyNumberFormat="1" applyFont="1" applyFill="1" applyBorder="1" applyAlignment="1">
      <alignment horizontal="center" vertical="center" wrapText="1"/>
    </xf>
    <xf numFmtId="167" fontId="0" fillId="27" borderId="39" xfId="0" applyNumberFormat="1" applyFont="1" applyFill="1" applyBorder="1" applyAlignment="1">
      <alignment horizontal="center" vertical="center"/>
    </xf>
    <xf numFmtId="167" fontId="5" fillId="16" borderId="39" xfId="0" applyNumberFormat="1" applyFont="1" applyFill="1" applyBorder="1" applyAlignment="1">
      <alignment horizontal="center" vertical="center"/>
    </xf>
    <xf numFmtId="167" fontId="0" fillId="15" borderId="39" xfId="0" applyNumberFormat="1" applyFont="1" applyFill="1" applyBorder="1" applyAlignment="1">
      <alignment horizontal="center" vertical="center"/>
    </xf>
    <xf numFmtId="167" fontId="0" fillId="16" borderId="39" xfId="0" applyNumberFormat="1" applyFont="1" applyFill="1" applyBorder="1" applyAlignment="1">
      <alignment horizontal="center" vertical="center"/>
    </xf>
    <xf numFmtId="167" fontId="7" fillId="17" borderId="40" xfId="0" applyNumberFormat="1" applyFont="1" applyFill="1" applyBorder="1" applyAlignment="1">
      <alignment horizontal="center" vertical="center"/>
    </xf>
    <xf numFmtId="167" fontId="0" fillId="10" borderId="39" xfId="0" applyNumberFormat="1" applyFont="1" applyFill="1" applyBorder="1" applyAlignment="1">
      <alignment horizontal="center" vertical="center"/>
    </xf>
    <xf numFmtId="167" fontId="0" fillId="11" borderId="39" xfId="0" applyNumberFormat="1" applyFont="1" applyFill="1" applyBorder="1" applyAlignment="1">
      <alignment horizontal="center" vertical="center"/>
    </xf>
    <xf numFmtId="168" fontId="0" fillId="15" borderId="39" xfId="1" applyNumberFormat="1" applyFont="1" applyFill="1" applyBorder="1" applyAlignment="1">
      <alignment horizontal="center" vertical="center"/>
    </xf>
    <xf numFmtId="167" fontId="0" fillId="48" borderId="39" xfId="0" applyNumberFormat="1" applyFont="1" applyFill="1" applyBorder="1" applyAlignment="1">
      <alignment horizontal="center" vertical="center"/>
    </xf>
    <xf numFmtId="9" fontId="0" fillId="48" borderId="39" xfId="2" applyFont="1" applyFill="1" applyBorder="1" applyAlignment="1">
      <alignment horizontal="center" vertical="center"/>
    </xf>
    <xf numFmtId="167" fontId="0" fillId="50" borderId="39" xfId="0" applyNumberFormat="1" applyFont="1" applyFill="1" applyBorder="1" applyAlignment="1">
      <alignment horizontal="center" vertical="center"/>
    </xf>
    <xf numFmtId="9" fontId="0" fillId="50" borderId="39" xfId="2" applyFont="1" applyFill="1" applyBorder="1" applyAlignment="1">
      <alignment horizontal="center" vertical="center"/>
    </xf>
    <xf numFmtId="165" fontId="7" fillId="21" borderId="39" xfId="1" applyFont="1" applyFill="1" applyBorder="1" applyAlignment="1">
      <alignment horizontal="center" vertical="center" wrapText="1"/>
    </xf>
    <xf numFmtId="165" fontId="7" fillId="20" borderId="39" xfId="1" applyFont="1" applyFill="1" applyBorder="1" applyAlignment="1">
      <alignment horizontal="center" vertical="center" wrapText="1"/>
    </xf>
    <xf numFmtId="165" fontId="7" fillId="7" borderId="39" xfId="1" applyFont="1" applyFill="1" applyBorder="1" applyAlignment="1">
      <alignment horizontal="center" vertical="center" wrapText="1"/>
    </xf>
    <xf numFmtId="1" fontId="27" fillId="29" borderId="0" xfId="1" applyNumberFormat="1" applyFont="1" applyFill="1" applyBorder="1" applyAlignment="1">
      <alignment horizontal="center" vertical="center" wrapText="1"/>
    </xf>
    <xf numFmtId="1" fontId="0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 wrapText="1"/>
    </xf>
    <xf numFmtId="1" fontId="8" fillId="25" borderId="6" xfId="0" applyNumberFormat="1" applyFont="1" applyFill="1" applyBorder="1" applyAlignment="1">
      <alignment horizontal="center" vertical="center"/>
    </xf>
    <xf numFmtId="1" fontId="8" fillId="0" borderId="6" xfId="1" applyNumberFormat="1" applyFont="1" applyBorder="1" applyAlignment="1">
      <alignment horizontal="center" vertical="center"/>
    </xf>
    <xf numFmtId="1" fontId="1" fillId="25" borderId="6" xfId="0" applyNumberFormat="1" applyFont="1" applyFill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7" borderId="6" xfId="1" applyNumberFormat="1" applyFont="1" applyFill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66" fontId="27" fillId="29" borderId="0" xfId="1" applyNumberFormat="1" applyFont="1" applyFill="1" applyBorder="1" applyAlignment="1">
      <alignment horizontal="center" vertical="center" wrapText="1"/>
    </xf>
    <xf numFmtId="166" fontId="8" fillId="0" borderId="6" xfId="1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3" fontId="24" fillId="19" borderId="6" xfId="9" applyNumberFormat="1" applyFont="1" applyFill="1" applyBorder="1" applyAlignment="1">
      <alignment horizontal="center" vertical="center" wrapText="1"/>
    </xf>
    <xf numFmtId="3" fontId="24" fillId="19" borderId="6" xfId="9" applyNumberFormat="1" applyFont="1" applyFill="1" applyBorder="1" applyAlignment="1">
      <alignment horizontal="left" vertical="top" wrapText="1"/>
    </xf>
    <xf numFmtId="3" fontId="22" fillId="19" borderId="6" xfId="9" applyNumberFormat="1" applyFont="1" applyFill="1" applyBorder="1" applyAlignment="1">
      <alignment horizontal="right" vertical="center" wrapText="1"/>
    </xf>
    <xf numFmtId="0" fontId="5" fillId="7" borderId="39" xfId="0" applyFont="1" applyFill="1" applyBorder="1" applyAlignment="1">
      <alignment horizontal="center" vertical="center" wrapText="1"/>
    </xf>
    <xf numFmtId="166" fontId="8" fillId="25" borderId="32" xfId="1" applyNumberFormat="1" applyFont="1" applyFill="1" applyBorder="1" applyAlignment="1">
      <alignment horizontal="center" vertical="center"/>
    </xf>
    <xf numFmtId="3" fontId="8" fillId="7" borderId="6" xfId="1" applyNumberFormat="1" applyFont="1" applyFill="1" applyBorder="1" applyAlignment="1">
      <alignment horizontal="center" vertical="center"/>
    </xf>
    <xf numFmtId="3" fontId="15" fillId="7" borderId="41" xfId="0" applyNumberFormat="1" applyFont="1" applyFill="1" applyBorder="1" applyAlignment="1">
      <alignment horizontal="center" vertical="center"/>
    </xf>
    <xf numFmtId="3" fontId="6" fillId="34" borderId="6" xfId="0" applyNumberFormat="1" applyFont="1" applyFill="1" applyBorder="1" applyAlignment="1">
      <alignment horizontal="center" vertical="center"/>
    </xf>
    <xf numFmtId="165" fontId="7" fillId="10" borderId="6" xfId="2" applyNumberFormat="1" applyFont="1" applyFill="1" applyBorder="1" applyAlignment="1">
      <alignment horizontal="center" vertical="center" wrapText="1"/>
    </xf>
    <xf numFmtId="1" fontId="7" fillId="22" borderId="33" xfId="1" applyNumberFormat="1" applyFont="1" applyFill="1" applyBorder="1" applyAlignment="1">
      <alignment horizontal="center" vertical="center"/>
    </xf>
    <xf numFmtId="10" fontId="0" fillId="42" borderId="11" xfId="2" applyNumberFormat="1" applyFont="1" applyFill="1" applyBorder="1" applyAlignment="1">
      <alignment horizontal="center" vertical="center"/>
    </xf>
    <xf numFmtId="9" fontId="7" fillId="10" borderId="39" xfId="2" applyFont="1" applyFill="1" applyBorder="1" applyAlignment="1">
      <alignment horizontal="center" vertical="center" wrapText="1"/>
    </xf>
    <xf numFmtId="14" fontId="8" fillId="31" borderId="1" xfId="6" applyNumberFormat="1" applyFont="1" applyFill="1" applyBorder="1" applyAlignment="1">
      <alignment horizontal="center" vertical="center"/>
    </xf>
    <xf numFmtId="1" fontId="7" fillId="25" borderId="33" xfId="1" applyNumberFormat="1" applyFont="1" applyFill="1" applyBorder="1" applyAlignment="1">
      <alignment horizontal="center" vertical="center"/>
    </xf>
    <xf numFmtId="166" fontId="7" fillId="25" borderId="33" xfId="1" applyNumberFormat="1" applyFont="1" applyFill="1" applyBorder="1" applyAlignment="1">
      <alignment horizontal="center" vertical="center"/>
    </xf>
    <xf numFmtId="166" fontId="7" fillId="25" borderId="12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6" fontId="8" fillId="11" borderId="11" xfId="0" applyNumberFormat="1" applyFont="1" applyFill="1" applyBorder="1" applyAlignment="1">
      <alignment horizontal="center" vertical="center"/>
    </xf>
    <xf numFmtId="14" fontId="7" fillId="26" borderId="33" xfId="0" applyNumberFormat="1" applyFont="1" applyFill="1" applyBorder="1" applyAlignment="1">
      <alignment horizontal="center" vertical="center"/>
    </xf>
    <xf numFmtId="166" fontId="0" fillId="25" borderId="33" xfId="1" applyNumberFormat="1" applyFont="1" applyFill="1" applyBorder="1" applyAlignment="1">
      <alignment horizontal="center" vertical="center"/>
    </xf>
    <xf numFmtId="166" fontId="1" fillId="25" borderId="26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72" fontId="7" fillId="25" borderId="33" xfId="1" applyNumberFormat="1" applyFont="1" applyFill="1" applyBorder="1" applyAlignment="1">
      <alignment horizontal="center" vertical="center"/>
    </xf>
    <xf numFmtId="0" fontId="5" fillId="36" borderId="1" xfId="0" applyFont="1" applyFill="1" applyBorder="1" applyAlignment="1">
      <alignment horizontal="center" vertical="center"/>
    </xf>
    <xf numFmtId="14" fontId="7" fillId="25" borderId="33" xfId="1" applyNumberFormat="1" applyFont="1" applyFill="1" applyBorder="1" applyAlignment="1">
      <alignment horizontal="center" vertical="center"/>
    </xf>
    <xf numFmtId="167" fontId="5" fillId="11" borderId="6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 wrapText="1"/>
    </xf>
    <xf numFmtId="0" fontId="4" fillId="8" borderId="6" xfId="3" applyFont="1" applyFill="1" applyBorder="1" applyAlignment="1">
      <alignment horizontal="center" vertical="center" wrapText="1"/>
    </xf>
    <xf numFmtId="0" fontId="7" fillId="24" borderId="6" xfId="7" applyFont="1" applyFill="1" applyBorder="1" applyAlignment="1">
      <alignment horizontal="center" vertical="center"/>
    </xf>
    <xf numFmtId="14" fontId="7" fillId="8" borderId="6" xfId="3" applyNumberFormat="1" applyFont="1" applyFill="1" applyBorder="1" applyAlignment="1">
      <alignment horizontal="center" vertical="center" wrapText="1"/>
    </xf>
    <xf numFmtId="1" fontId="0" fillId="8" borderId="6" xfId="2" applyNumberFormat="1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4" fontId="8" fillId="13" borderId="1" xfId="6" applyNumberFormat="1" applyFont="1" applyFill="1" applyBorder="1" applyAlignment="1">
      <alignment horizontal="center" vertical="center"/>
    </xf>
    <xf numFmtId="166" fontId="8" fillId="25" borderId="11" xfId="0" applyNumberFormat="1" applyFont="1" applyFill="1" applyBorder="1" applyAlignment="1">
      <alignment horizontal="center" vertical="center"/>
    </xf>
    <xf numFmtId="166" fontId="31" fillId="25" borderId="11" xfId="0" applyNumberFormat="1" applyFont="1" applyFill="1" applyBorder="1" applyAlignment="1">
      <alignment horizontal="center" vertical="center"/>
    </xf>
    <xf numFmtId="166" fontId="32" fillId="25" borderId="6" xfId="0" applyNumberFormat="1" applyFont="1" applyFill="1" applyBorder="1" applyAlignment="1">
      <alignment horizontal="center" vertical="center"/>
    </xf>
    <xf numFmtId="14" fontId="32" fillId="25" borderId="10" xfId="9" applyNumberFormat="1" applyFont="1" applyFill="1" applyBorder="1" applyAlignment="1">
      <alignment horizontal="center" vertical="center" wrapText="1"/>
    </xf>
    <xf numFmtId="14" fontId="7" fillId="25" borderId="35" xfId="0" applyNumberFormat="1" applyFont="1" applyFill="1" applyBorder="1" applyAlignment="1">
      <alignment horizontal="center" vertical="center" wrapText="1"/>
    </xf>
    <xf numFmtId="14" fontId="7" fillId="25" borderId="13" xfId="1" applyNumberFormat="1" applyFont="1" applyFill="1" applyBorder="1" applyAlignment="1">
      <alignment horizontal="center" vertical="center"/>
    </xf>
    <xf numFmtId="166" fontId="7" fillId="26" borderId="35" xfId="1" applyNumberFormat="1" applyFont="1" applyFill="1" applyBorder="1" applyAlignment="1">
      <alignment horizontal="center" vertical="center"/>
    </xf>
    <xf numFmtId="14" fontId="7" fillId="25" borderId="35" xfId="1" applyNumberFormat="1" applyFont="1" applyFill="1" applyBorder="1" applyAlignment="1">
      <alignment horizontal="center" vertical="center"/>
    </xf>
    <xf numFmtId="170" fontId="7" fillId="25" borderId="35" xfId="1" applyNumberFormat="1" applyFont="1" applyFill="1" applyBorder="1" applyAlignment="1">
      <alignment horizontal="center" vertical="center"/>
    </xf>
    <xf numFmtId="166" fontId="7" fillId="25" borderId="33" xfId="0" applyNumberFormat="1" applyFont="1" applyFill="1" applyBorder="1" applyAlignment="1">
      <alignment horizontal="center" vertical="center"/>
    </xf>
    <xf numFmtId="166" fontId="7" fillId="25" borderId="33" xfId="0" applyNumberFormat="1" applyFont="1" applyFill="1" applyBorder="1" applyAlignment="1">
      <alignment horizontal="center" vertical="center" wrapText="1"/>
    </xf>
    <xf numFmtId="166" fontId="7" fillId="25" borderId="33" xfId="1" applyNumberFormat="1" applyFont="1" applyFill="1" applyBorder="1" applyAlignment="1">
      <alignment horizontal="center" vertical="center" wrapText="1"/>
    </xf>
    <xf numFmtId="166" fontId="7" fillId="25" borderId="12" xfId="1" applyNumberFormat="1" applyFont="1" applyFill="1" applyBorder="1" applyAlignment="1">
      <alignment horizontal="center" vertical="center" wrapText="1"/>
    </xf>
    <xf numFmtId="166" fontId="1" fillId="25" borderId="6" xfId="1" applyNumberFormat="1" applyFont="1" applyFill="1" applyBorder="1" applyAlignment="1">
      <alignment horizontal="center" vertical="center"/>
    </xf>
    <xf numFmtId="166" fontId="8" fillId="25" borderId="12" xfId="1" applyNumberFormat="1" applyFont="1" applyFill="1" applyBorder="1" applyAlignment="1">
      <alignment horizontal="center" vertical="center"/>
    </xf>
    <xf numFmtId="3" fontId="15" fillId="7" borderId="10" xfId="0" applyNumberFormat="1" applyFont="1" applyFill="1" applyBorder="1" applyAlignment="1">
      <alignment horizontal="center" vertical="center"/>
    </xf>
    <xf numFmtId="3" fontId="7" fillId="0" borderId="6" xfId="1" applyNumberFormat="1" applyFont="1" applyFill="1" applyBorder="1" applyAlignment="1">
      <alignment horizontal="center" vertical="center" wrapText="1"/>
    </xf>
    <xf numFmtId="0" fontId="7" fillId="7" borderId="1" xfId="3" applyFont="1" applyFill="1" applyBorder="1" applyAlignment="1">
      <alignment horizontal="center" vertical="center"/>
    </xf>
    <xf numFmtId="173" fontId="7" fillId="11" borderId="6" xfId="0" applyNumberFormat="1" applyFont="1" applyFill="1" applyBorder="1" applyAlignment="1">
      <alignment horizontal="center" vertical="center"/>
    </xf>
    <xf numFmtId="167" fontId="8" fillId="10" borderId="1" xfId="0" applyNumberFormat="1" applyFont="1" applyFill="1" applyBorder="1" applyAlignment="1">
      <alignment horizontal="center" vertical="center"/>
    </xf>
    <xf numFmtId="167" fontId="5" fillId="48" borderId="6" xfId="0" applyNumberFormat="1" applyFont="1" applyFill="1" applyBorder="1" applyAlignment="1">
      <alignment horizontal="center" vertical="center"/>
    </xf>
    <xf numFmtId="0" fontId="7" fillId="8" borderId="1" xfId="7" applyFont="1" applyFill="1" applyBorder="1" applyAlignment="1">
      <alignment horizontal="center" vertical="center" wrapText="1"/>
    </xf>
    <xf numFmtId="166" fontId="7" fillId="8" borderId="1" xfId="7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5" fontId="0" fillId="0" borderId="0" xfId="1" applyFont="1"/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4" fontId="7" fillId="8" borderId="1" xfId="3" applyNumberFormat="1" applyFont="1" applyFill="1" applyBorder="1" applyAlignment="1">
      <alignment horizontal="center" vertical="center" wrapText="1"/>
    </xf>
    <xf numFmtId="166" fontId="7" fillId="26" borderId="10" xfId="1" applyNumberFormat="1" applyFont="1" applyFill="1" applyBorder="1" applyAlignment="1">
      <alignment horizontal="center" vertical="center"/>
    </xf>
    <xf numFmtId="166" fontId="8" fillId="11" borderId="35" xfId="1" applyNumberFormat="1" applyFont="1" applyFill="1" applyBorder="1" applyAlignment="1">
      <alignment horizontal="center" vertical="center"/>
    </xf>
    <xf numFmtId="14" fontId="7" fillId="25" borderId="26" xfId="1" applyNumberFormat="1" applyFont="1" applyFill="1" applyBorder="1" applyAlignment="1">
      <alignment horizontal="center" vertical="center"/>
    </xf>
    <xf numFmtId="14" fontId="35" fillId="25" borderId="33" xfId="0" applyNumberFormat="1" applyFont="1" applyFill="1" applyBorder="1" applyAlignment="1">
      <alignment horizontal="center" vertical="center"/>
    </xf>
    <xf numFmtId="166" fontId="7" fillId="25" borderId="10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6" fontId="8" fillId="25" borderId="35" xfId="1" applyNumberFormat="1" applyFont="1" applyFill="1" applyBorder="1" applyAlignment="1">
      <alignment horizontal="center" vertical="center"/>
    </xf>
    <xf numFmtId="167" fontId="0" fillId="9" borderId="1" xfId="0" applyNumberFormat="1" applyFont="1" applyFill="1" applyBorder="1" applyAlignment="1">
      <alignment horizontal="center" vertical="center"/>
    </xf>
    <xf numFmtId="167" fontId="4" fillId="11" borderId="6" xfId="0" applyNumberFormat="1" applyFont="1" applyFill="1" applyBorder="1" applyAlignment="1">
      <alignment horizontal="center" vertical="center"/>
    </xf>
    <xf numFmtId="167" fontId="8" fillId="11" borderId="1" xfId="0" applyNumberFormat="1" applyFont="1" applyFill="1" applyBorder="1" applyAlignment="1">
      <alignment horizontal="center" vertical="center"/>
    </xf>
    <xf numFmtId="167" fontId="8" fillId="12" borderId="1" xfId="0" applyNumberFormat="1" applyFont="1" applyFill="1" applyBorder="1" applyAlignment="1">
      <alignment horizontal="center" vertical="center"/>
    </xf>
    <xf numFmtId="167" fontId="4" fillId="10" borderId="6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66" fontId="4" fillId="8" borderId="1" xfId="5" applyNumberFormat="1" applyFont="1" applyFill="1" applyBorder="1" applyAlignment="1">
      <alignment horizontal="center" vertical="center"/>
    </xf>
    <xf numFmtId="0" fontId="4" fillId="8" borderId="1" xfId="7" applyFont="1" applyFill="1" applyBorder="1" applyAlignment="1">
      <alignment horizontal="center" vertical="center"/>
    </xf>
    <xf numFmtId="166" fontId="4" fillId="8" borderId="1" xfId="7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9" fontId="5" fillId="8" borderId="1" xfId="2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167" fontId="5" fillId="10" borderId="1" xfId="0" applyNumberFormat="1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0" fontId="20" fillId="28" borderId="14" xfId="8" applyFont="1" applyFill="1" applyBorder="1" applyAlignment="1">
      <alignment horizontal="center" vertical="center"/>
    </xf>
    <xf numFmtId="0" fontId="20" fillId="28" borderId="3" xfId="8" applyFont="1" applyFill="1" applyBorder="1" applyAlignment="1">
      <alignment horizontal="center" vertical="center"/>
    </xf>
    <xf numFmtId="0" fontId="5" fillId="34" borderId="14" xfId="0" applyFont="1" applyFill="1" applyBorder="1" applyAlignment="1">
      <alignment horizontal="center" vertical="center" wrapText="1"/>
    </xf>
    <xf numFmtId="0" fontId="5" fillId="34" borderId="3" xfId="0" applyFont="1" applyFill="1" applyBorder="1" applyAlignment="1">
      <alignment horizontal="center" vertical="center" wrapText="1"/>
    </xf>
    <xf numFmtId="0" fontId="20" fillId="38" borderId="14" xfId="8" applyFont="1" applyFill="1" applyBorder="1" applyAlignment="1">
      <alignment horizontal="center" vertical="center"/>
    </xf>
    <xf numFmtId="0" fontId="20" fillId="38" borderId="3" xfId="8" applyFont="1" applyFill="1" applyBorder="1" applyAlignment="1">
      <alignment horizontal="center" vertical="center"/>
    </xf>
    <xf numFmtId="0" fontId="20" fillId="36" borderId="14" xfId="8" applyFont="1" applyFill="1" applyBorder="1" applyAlignment="1">
      <alignment horizontal="center" vertical="center"/>
    </xf>
    <xf numFmtId="0" fontId="20" fillId="36" borderId="3" xfId="8" applyFont="1" applyFill="1" applyBorder="1" applyAlignment="1">
      <alignment horizontal="center" vertical="center"/>
    </xf>
    <xf numFmtId="0" fontId="20" fillId="37" borderId="14" xfId="8" applyFont="1" applyFill="1" applyBorder="1" applyAlignment="1">
      <alignment horizontal="center" vertical="center"/>
    </xf>
    <xf numFmtId="0" fontId="20" fillId="37" borderId="3" xfId="8" applyFont="1" applyFill="1" applyBorder="1" applyAlignment="1">
      <alignment horizontal="center" vertical="center"/>
    </xf>
    <xf numFmtId="0" fontId="20" fillId="31" borderId="14" xfId="8" applyFont="1" applyFill="1" applyBorder="1" applyAlignment="1">
      <alignment horizontal="center" vertical="center"/>
    </xf>
    <xf numFmtId="0" fontId="20" fillId="31" borderId="3" xfId="8" applyFont="1" applyFill="1" applyBorder="1" applyAlignment="1">
      <alignment horizontal="center" vertical="center"/>
    </xf>
  </cellXfs>
  <cellStyles count="21">
    <cellStyle name="40 % - Accent2" xfId="5" builtinId="35"/>
    <cellStyle name="60 % - Accent1" xfId="4" builtinId="32"/>
    <cellStyle name="60 % - Accent2" xfId="6" builtinId="36"/>
    <cellStyle name="60 % - Accent3" xfId="7" builtinId="40"/>
    <cellStyle name="Excel Built-in RowLevel_0" xfId="15" xr:uid="{00000000-0005-0000-0000-000005000000}"/>
    <cellStyle name="Excel_BuiltIn_RowLevel_1" xfId="17" xr:uid="{00000000-0005-0000-0000-000006000000}"/>
    <cellStyle name="Milliers" xfId="1" builtinId="3"/>
    <cellStyle name="Milliers 2" xfId="10" xr:uid="{00000000-0005-0000-0000-000009000000}"/>
    <cellStyle name="Milliers 3" xfId="19" xr:uid="{00000000-0005-0000-0000-00000A000000}"/>
    <cellStyle name="NiveauLigne_8" xfId="16" xr:uid="{00000000-0005-0000-0000-00000C000000}"/>
    <cellStyle name="Normal" xfId="0" builtinId="0"/>
    <cellStyle name="Normal 2" xfId="9" xr:uid="{00000000-0005-0000-0000-00000E000000}"/>
    <cellStyle name="Normal 2 2" xfId="20" xr:uid="{00000000-0005-0000-0000-00000F000000}"/>
    <cellStyle name="Normal 3" xfId="12" xr:uid="{00000000-0005-0000-0000-000010000000}"/>
    <cellStyle name="Normal 4" xfId="13" xr:uid="{00000000-0005-0000-0000-000011000000}"/>
    <cellStyle name="Normal 5" xfId="18" xr:uid="{00000000-0005-0000-0000-000012000000}"/>
    <cellStyle name="Normal_Liste programmation logts PCA NBL v2014" xfId="8" xr:uid="{00000000-0005-0000-0000-000013000000}"/>
    <cellStyle name="Normal_Prévisionnel HONO PAC 2012 V4 fev 2012" xfId="11" xr:uid="{00000000-0005-0000-0000-000014000000}"/>
    <cellStyle name="Pourcentage" xfId="2" builtinId="5"/>
    <cellStyle name="Pourcentage 2" xfId="14" xr:uid="{00000000-0005-0000-0000-000016000000}"/>
    <cellStyle name="Satisfaisant" xfId="3" builtinId="26"/>
  </cellStyles>
  <dxfs count="3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4" formatCode="#,##0.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33CC"/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initiales'!$B$194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initiales'!$C$194,'Données initiales'!$E$194,'Données initiales'!$G$194,'Données initiales'!$I$194,'Données initiales'!$K$194,'Données initiales'!$M$194,'Données initiales'!$O$194)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202</xdr:row>
      <xdr:rowOff>178377</xdr:rowOff>
    </xdr:from>
    <xdr:to>
      <xdr:col>7</xdr:col>
      <xdr:colOff>95249</xdr:colOff>
      <xdr:row>217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203</xdr:row>
      <xdr:rowOff>6</xdr:rowOff>
    </xdr:from>
    <xdr:to>
      <xdr:col>10</xdr:col>
      <xdr:colOff>1169996</xdr:colOff>
      <xdr:row>217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203</xdr:row>
      <xdr:rowOff>22512</xdr:rowOff>
    </xdr:from>
    <xdr:to>
      <xdr:col>14</xdr:col>
      <xdr:colOff>320385</xdr:colOff>
      <xdr:row>217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218</xdr:row>
      <xdr:rowOff>152399</xdr:rowOff>
    </xdr:from>
    <xdr:to>
      <xdr:col>15</xdr:col>
      <xdr:colOff>489856</xdr:colOff>
      <xdr:row>233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219</xdr:row>
      <xdr:rowOff>54429</xdr:rowOff>
    </xdr:from>
    <xdr:to>
      <xdr:col>6</xdr:col>
      <xdr:colOff>465568</xdr:colOff>
      <xdr:row>233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219</xdr:row>
      <xdr:rowOff>81644</xdr:rowOff>
    </xdr:from>
    <xdr:to>
      <xdr:col>10</xdr:col>
      <xdr:colOff>138996</xdr:colOff>
      <xdr:row>233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8C628D-50F6-42BB-9D58-7716AA5C6160}" name="Tableau6" displayName="Tableau6" ref="A1:IJ163" totalsRowShown="0" headerRowDxfId="245" tableBorderDxfId="244" headerRowCellStyle="Milliers">
  <autoFilter ref="A1:IJ163" xr:uid="{230A4BB6-FD3C-4E10-81EA-BF190C308BEE}"/>
  <tableColumns count="244">
    <tableColumn id="1" xr3:uid="{B7232841-BD04-4F29-903D-963F53648375}" name="OPERATION" dataDxfId="243"/>
    <tableColumn id="2" xr3:uid="{F01491BF-8073-4234-9628-987158D9AECA}" name="COMMUNE" dataDxfId="242"/>
    <tableColumn id="3" xr3:uid="{04723AA6-35CA-4B15-9E32-0732ACE02187}" name="BASSIN" dataDxfId="241"/>
    <tableColumn id="4" xr3:uid="{F2FC9FB7-6F47-41C2-971E-04B0199A41F0}" name="Prog" dataDxfId="240"/>
    <tableColumn id="5" xr3:uid="{45D15D4E-14B7-4950-90C5-5202FA302CDB}" name="CODE" dataDxfId="239"/>
    <tableColumn id="6" xr3:uid="{30BC6638-18D4-4318-B9D6-7F475E9D180F}" name="RO" dataDxfId="238"/>
    <tableColumn id="7" xr3:uid="{785393F7-51D3-43D9-A980-463E5ACBE6D9}" name="ASSISTANTE" dataDxfId="237"/>
    <tableColumn id="8" xr3:uid="{30496390-6D15-4D6E-A68F-07D3CCFAB714}" name="Avancement" dataDxfId="236"/>
    <tableColumn id="9" xr3:uid="{AACB6167-7DBC-46B3-80DF-33A244B4DEC2}" name="CONTRÔLE DEAL" dataDxfId="235"/>
    <tableColumn id="10" xr3:uid="{6F037D70-7DFB-4C25-B170-26F18602E406}" name="PARCELLE" dataDxfId="234"/>
    <tableColumn id="11" xr3:uid="{43C169CF-E88A-4791-912F-40AD82B8FA90}" name="FONCIER" dataDxfId="233"/>
    <tableColumn id="12" xr3:uid="{686FADD9-D6C4-4802-A8C9-D8A4B47B008E}" name="Propriétaire" dataDxfId="232" dataCellStyle="40 % - Accent2"/>
    <tableColumn id="13" xr3:uid="{932DAB09-FCEC-454C-AEE2-B73C75E9E818}" name="Notaire Terrain" dataDxfId="231" dataCellStyle="60 % - Accent3"/>
    <tableColumn id="14" xr3:uid="{C6D0F809-DE94-4FD0-8146-76F0CBE8C900}" name="Signature Acte" dataDxfId="230" dataCellStyle="60 % - Accent3"/>
    <tableColumn id="15" xr3:uid="{95A26EC4-955A-4F19-9C55-D83B9AE9335B}" name="S TERRAIN" dataDxfId="229"/>
    <tableColumn id="16" xr3:uid="{383EF603-359B-43AB-BDF6-AF4C6C3FC046}" name="PRIX TERRAIN BRUT" dataDxfId="228"/>
    <tableColumn id="17" xr3:uid="{B67A25DD-D807-4FD4-850A-851679E198FC}" name="PRIX TERRAIN AMENAGE" dataDxfId="227"/>
    <tableColumn id="18" xr3:uid="{B2970223-6A3C-41DD-8089-0E1AE8A89C4A}" name="PRIX BRUT / LGT " dataDxfId="226"/>
    <tableColumn id="19" xr3:uid="{9ACB1D0B-EF97-4937-8A7A-E661E9451306}" name="PRIX m² terrain brut" dataDxfId="225"/>
    <tableColumn id="20" xr3:uid="{904BDB7F-48B0-48FE-B0FA-228BE530C97E}" name="PRIX m² terrain aménagé" dataDxfId="224"/>
    <tableColumn id="21" xr3:uid="{DAB69341-C5EB-498F-A604-E1C8005EB30B}" name="PRIX m² SF" dataDxfId="223"/>
    <tableColumn id="22" xr3:uid="{16FCC92A-F94F-4718-85F9-C75F0FE22D1F}" name="PRIX AMENAGE/ LGT" dataDxfId="222"/>
    <tableColumn id="23" xr3:uid="{B2C19A0D-C82A-4CC2-8668-676CCF36EBA9}" name="M² TERRAIN / LGT" dataDxfId="221"/>
    <tableColumn id="24" xr3:uid="{09EE1CBF-05D0-4BCF-899A-42F6C7EA1EBA}" name="S EMPRISE" dataDxfId="220"/>
    <tableColumn id="25" xr3:uid="{8CFC9D29-D737-4DF0-A3BB-4F2064B15F66}" name="DENSITE lgt/ha" dataDxfId="219" dataCellStyle="Pourcentage"/>
    <tableColumn id="26" xr3:uid="{F2F827B5-41A2-4E0C-8746-B9460CA19FC6}" name="ZONAGE" dataDxfId="218"/>
    <tableColumn id="27" xr3:uid="{0A0989B4-56A8-4906-885E-08181765E56A}" name="Altitude" dataDxfId="217"/>
    <tableColumn id="28" xr3:uid="{60E01BF0-5DF3-4580-971D-3C5780E80C83}" name="Pente" dataDxfId="216" dataCellStyle="Pourcentage"/>
    <tableColumn id="29" xr3:uid="{9BD23DFF-C545-431C-A329-3E7DA48A109D}" name="TYPE" dataDxfId="215"/>
    <tableColumn id="30" xr3:uid="{15C734C0-1397-4952-AFB1-91EDAC3B7F2B}" name="N" dataDxfId="214"/>
    <tableColumn id="31" xr3:uid="{23F8A14D-EE0C-4989-80E1-17C2AAB04623}" name="N hors REHAB" dataDxfId="213"/>
    <tableColumn id="32" xr3:uid="{5F679447-361F-409C-9DA7-0879EDD2DA35}" name="LLS" dataDxfId="212"/>
    <tableColumn id="33" xr3:uid="{5C775827-3457-4079-886C-DE508BE714E1}" name="LLTS" dataDxfId="211"/>
    <tableColumn id="34" xr3:uid="{F7D6C3A2-0BDA-4271-B549-6105DD158DC8}" name="PLS" dataDxfId="210"/>
    <tableColumn id="35" xr3:uid="{AD885F6B-F417-4F0B-AEA3-3799036F0493}" name="REHAB" dataDxfId="209"/>
    <tableColumn id="36" xr3:uid="{DA85B9E3-E563-4571-BA95-8AD77A371EE5}" name="SHAB y/c V" dataDxfId="208" dataCellStyle="Milliers"/>
    <tableColumn id="37" xr3:uid="{AE4AF301-F891-4EB7-9EE8-8FEDE9429F1C}" name="SF priorisée" dataDxfId="207"/>
    <tableColumn id="38" xr3:uid="{97639706-B6C7-407C-A3CA-1C5C1CE625A5}" name="SHAB / lgt" dataDxfId="206">
      <calculatedColumnFormula>AJ2/AD2</calculatedColumnFormula>
    </tableColumn>
    <tableColumn id="39" xr3:uid="{CBF63AAB-670D-4014-88CF-C0E3B0EB52CB}" name="SF / lgt" dataDxfId="205">
      <calculatedColumnFormula>AK2/AD2</calculatedColumnFormula>
    </tableColumn>
    <tableColumn id="40" xr3:uid="{D4B2F7C1-C969-4087-9D4A-CC48A4F26045}" name="Loyer m² SF affiché DEAL" dataDxfId="204"/>
    <tableColumn id="41" xr3:uid="{D5D5467F-47C4-4B65-909E-16E415DF2D08}" name="Loyer m² SF pratiqué" dataDxfId="203"/>
    <tableColumn id="42" xr3:uid="{11F127CF-8D6D-4065-994A-39614134D7DA}" name="Loyer moyen / lgt" dataDxfId="202"/>
    <tableColumn id="43" xr3:uid="{B26E136B-84CA-4F71-AA91-A337CBDCFECB}" name="T1" dataDxfId="201" dataCellStyle="Pourcentage"/>
    <tableColumn id="44" xr3:uid="{4F8BF5A0-5B47-4FB1-B624-66A3AFFDB183}" name="T2" dataDxfId="200" dataCellStyle="Pourcentage"/>
    <tableColumn id="45" xr3:uid="{BC3BB97F-3B98-40C9-8C02-2F983C08731C}" name="T3" dataDxfId="199" dataCellStyle="Pourcentage"/>
    <tableColumn id="46" xr3:uid="{E3D2DBDB-C0C1-47FD-ACAF-094329D8AFC3}" name="T4" dataDxfId="198" dataCellStyle="Pourcentage"/>
    <tableColumn id="47" xr3:uid="{559CA663-E417-43D3-932A-9453EB86C9FE}" name="T5" dataDxfId="197" dataCellStyle="Pourcentage"/>
    <tableColumn id="48" xr3:uid="{33223609-A365-4F4E-8D4D-75ED6C140EA8}" name="S espaces verts collectifs" dataDxfId="196"/>
    <tableColumn id="49" xr3:uid="{7ACF3156-4ED7-46E9-9BBE-E1057C28CE0C}" name="S ANC" dataDxfId="195"/>
    <tableColumn id="50" xr3:uid="{2A9E6746-C2DC-465C-BA54-ABC83D403744}" name="Emprise ANC" dataDxfId="194" dataCellStyle="Pourcentage"/>
    <tableColumn id="51" xr3:uid="{3E3C7E49-29FD-4E36-B864-B1090658EDCB}" name="N niveaux lgt y/c RDC" dataDxfId="193"/>
    <tableColumn id="52" xr3:uid="{38E10A98-FCBD-4161-8257-CF1008FD542D}" name="Type Habitat" dataDxfId="192"/>
    <tableColumn id="53" xr3:uid="{0931CC10-242B-4D36-98C6-1B96EBCD4CEC}" name="Pkgs couverts" dataDxfId="191"/>
    <tableColumn id="54" xr3:uid="{AE5B7BC1-58AF-4521-B2EC-B5D6D61B4BDF}" name="Prix Achat TTC" dataDxfId="190"/>
    <tableColumn id="55" xr3:uid="{5762222B-23C7-4530-965F-1836F41C8F0B}" name="Prix achat /m² SHAB" dataDxfId="189"/>
    <tableColumn id="56" xr3:uid="{8746141F-76AF-4BC2-A25C-D6F4B1A00656}" name="Prix achat /m² SF" dataDxfId="188"/>
    <tableColumn id="57" xr3:uid="{D504588F-4769-4BE0-A83F-A65FC1AB921A}" name="Prix achat / lgt" dataDxfId="187"/>
    <tableColumn id="58" xr3:uid="{DB97C706-432E-4F21-8E74-09CA67CBFD00}" name="Archi conseil DEAL" dataDxfId="186"/>
    <tableColumn id="59" xr3:uid="{A18B7610-ACA1-4694-8590-8D1E45DDBEA4}" name="CR" dataDxfId="185"/>
    <tableColumn id="60" xr3:uid="{3A747C2C-E9B4-48B1-B950-C930069136DE}" name="CA autorisation de pgr" dataDxfId="184"/>
    <tableColumn id="61" xr3:uid="{256DA3EF-28FF-4AF0-A021-B6EC17A38946}" name="CA autorisation d'emprunt" dataDxfId="183"/>
    <tableColumn id="62" xr3:uid="{67D3A064-8B7E-4325-88CF-82641031030D}" name="Demande LBU" dataDxfId="182" dataCellStyle="60 % - Accent1"/>
    <tableColumn id="63" xr3:uid="{A2DFB6D7-340D-4E64-B786-3923B095B081}" name="Arrêté LBU" dataDxfId="181" dataCellStyle="60 % - Accent1"/>
    <tableColumn id="64" xr3:uid="{0BE19353-7666-464C-A48C-ABFD7587665C}" name="Transmission à DAF" dataDxfId="180" dataCellStyle="60 % - Accent1"/>
    <tableColumn id="65" xr3:uid="{1B8D3566-316D-412A-82E2-EE74315CC7F2}" name="Délai obtention LBU" dataDxfId="179" dataCellStyle="60 % - Accent1">
      <calculatedColumnFormula>(DATEDIF(BJ2,BK2,"d"))/30</calculatedColumnFormula>
    </tableColumn>
    <tableColumn id="66" xr3:uid="{CDE2566B-E5BE-4CBA-99C1-4C9C1A36F48F}" name="CREDIT D'IMPOT" dataDxfId="178" dataCellStyle="60 % - Accent1"/>
    <tableColumn id="67" xr3:uid="{79FD00EF-A9AE-430D-8633-185642C460DE}" name="Dde édition prêt" dataDxfId="177" dataCellStyle="60 % - Accent2"/>
    <tableColumn id="68" xr3:uid="{25A2D082-B5BA-4A8F-A87D-441CEC56DFE9}" name="Contrat de prêt" dataDxfId="176" dataCellStyle="60 % - Accent2"/>
    <tableColumn id="69" xr3:uid="{FD0269B3-03E7-4C94-8EDF-A17640F53132}" name="Délai obtention prêt" dataDxfId="175" dataCellStyle="60 % - Accent2">
      <calculatedColumnFormula>(DATEDIF(BO2,BP2,"d"))/30</calculatedColumnFormula>
    </tableColumn>
    <tableColumn id="70" xr3:uid="{F70614A5-F06A-4A1B-96C2-55A7F0459729}" name="N°" dataDxfId="174" dataCellStyle="60 % - Accent2"/>
    <tableColumn id="71" xr3:uid="{F9607198-2E1E-4D2E-B4F0-F8B0BF5871C9}" name="Limite validité Ct prêt - Prise d'effet du contrat" dataDxfId="173" dataCellStyle="60 % - Accent2"/>
    <tableColumn id="72" xr3:uid="{6FB68E11-03E1-4785-B73D-B89B3EE16DE3}" name="Transmission contrat prêt DAF" dataDxfId="172" dataCellStyle="60 % - Accent2"/>
    <tableColumn id="73" xr3:uid="{A06FF45E-6E69-4DC6-9563-E760812662FB}" name="Début préfinancement (1e jour du mois suivant la prise d'effet du contrat)" dataDxfId="171" dataCellStyle="60 % - Accent2"/>
    <tableColumn id="74" xr3:uid="{18B9CFF9-13E1-4EA2-BD4F-F2AEB7025EE8}" name="1e échéance de prêt (36 mois)" dataDxfId="170" dataCellStyle="60 % - Accent2">
      <calculatedColumnFormula>DATE(YEAR(BU2),MONTH(BU2)+36,DAY(BU2))</calculatedColumnFormula>
    </tableColumn>
    <tableColumn id="75" xr3:uid="{5C40A093-49BF-4069-8298-FE684CE33371}" name="Montant échéance annuelle" dataDxfId="169" dataCellStyle="60 % - Accent2"/>
    <tableColumn id="76" xr3:uid="{EC9DC071-A05E-464B-9A8B-6EC94EB5B485}" name="PROBLEME" dataDxfId="168" dataCellStyle="60 % - Accent2">
      <calculatedColumnFormula>IF(Tableau6[[#This Row],[Montant des loyers perçus avant 1e échéance]]&lt;BW2,"oui","non")</calculatedColumnFormula>
    </tableColumn>
    <tableColumn id="77" xr3:uid="{D30CC615-9990-4146-B5F0-1379F98363F8}" name="Mois de loyers avant 1e échéance" dataDxfId="167" dataCellStyle="60 % - Accent2">
      <calculatedColumnFormula>(BV2-EL2)/30</calculatedColumnFormula>
    </tableColumn>
    <tableColumn id="78" xr3:uid="{67D97FFE-AB55-4FA7-9AA8-30F573A57BC2}" name="Montant des loyers perçus avant 1e échéance" dataDxfId="166" dataCellStyle="60 % - Accent2">
      <calculatedColumnFormula>IF((BY2*EO2)&lt;0,"0",BY2*EO2)</calculatedColumnFormula>
    </tableColumn>
    <tableColumn id="79" xr3:uid="{DFA8976F-F2E0-47E7-95D8-2B2005172306}" name="Loyers manquants" dataDxfId="165" dataCellStyle="60 % - Accent2">
      <calculatedColumnFormula>BW2-BZ2</calculatedColumnFormula>
    </tableColumn>
    <tableColumn id="80" xr3:uid="{D697C8A7-5755-4C9B-8470-64B6F327241C}" name="Marché MOE notifié" dataDxfId="164"/>
    <tableColumn id="81" xr3:uid="{59133076-B84A-40A2-8E64-BBBDC2EEF9A0}" name="OS ESQ - prévu" dataDxfId="163"/>
    <tableColumn id="82" xr3:uid="{E0C952C4-D340-4FB4-AC60-78DCBCA915FF}" name="OS ESQ - Réalisé" dataDxfId="162"/>
    <tableColumn id="83" xr3:uid="{9E5D7BE9-5D04-4175-8EE8-A8A613B1E3E8}" name="ECART (j)" dataDxfId="161">
      <calculatedColumnFormula>IF(AND(CC2&gt;0,CD2&gt;0),CD2-CC2,"0")</calculatedColumnFormula>
    </tableColumn>
    <tableColumn id="84" xr3:uid="{A85801DD-D750-41B5-B9DA-E4FF27999248}" name="Dépôt du dossier PC en Mairie (GANTT)-Prévu" dataDxfId="160"/>
    <tableColumn id="85" xr3:uid="{CF196EEB-4D93-42FF-A72F-D25DFE7374CA}" name="Dépôt du dossier PC en Mairie - Réalisé" dataDxfId="159"/>
    <tableColumn id="86" xr3:uid="{1239BFDC-5EBF-401A-B70D-407DBBFCF2D2}" name="Ecart dépôt PC (j)" dataDxfId="158">
      <calculatedColumnFormula>IF(AND(CF2&gt;0,CG2&gt;0),CG2-CF2,"0")</calculatedColumnFormula>
    </tableColumn>
    <tableColumn id="87" xr3:uid="{FB6031FD-C1CB-4353-A8EE-FF609A5820E7}" name="OS APD - prévu" dataDxfId="157"/>
    <tableColumn id="88" xr3:uid="{16048440-60E0-478B-A285-4F86CA7441DD}" name="OS APD - Réalisé" dataDxfId="156"/>
    <tableColumn id="89" xr3:uid="{0D983A58-3775-43BC-8EDD-48CE4BD924A0}" name="Ecart" dataDxfId="155">
      <calculatedColumnFormula>IF(AND(CI2&gt;0,CJ2&gt;0),CJ2-CI2,"0")</calculatedColumnFormula>
    </tableColumn>
    <tableColumn id="90" xr3:uid="{456E9791-4AA1-4BC8-B33E-084244164ACE}" name="OS PRO - prévu" dataDxfId="154"/>
    <tableColumn id="91" xr3:uid="{FA54CCFB-A6CC-43F8-992B-63C774073EAE}" name="OS PRO - Réalisé" dataDxfId="153"/>
    <tableColumn id="92" xr3:uid="{8D15680F-2EAA-47B6-BA61-EADC28009E8B}" name="Ecart2" dataDxfId="152">
      <calculatedColumnFormula>IF(AND(CL2&gt;0,CM2&gt;0),CM2-CL2,"0")</calculatedColumnFormula>
    </tableColumn>
    <tableColumn id="93" xr3:uid="{1885F9DE-C47D-49C7-B3E7-A1C09E0654D5}" name="OS DCE - prévu" dataDxfId="151"/>
    <tableColumn id="94" xr3:uid="{E01E6F46-7754-4BA1-A1FD-EECDD4F50D9D}" name="OS DCE - Réalisé" dataDxfId="150"/>
    <tableColumn id="95" xr3:uid="{7F6F2F79-642F-42B0-B63F-6E5900C6C0CE}" name="Ecart3" dataDxfId="149">
      <calculatedColumnFormula>IF(AND(CO2&gt;0,CP2&gt;0),CP2-CO2,"0")</calculatedColumnFormula>
    </tableColumn>
    <tableColumn id="96" xr3:uid="{27C65CC0-B3DD-4962-AD6F-0C50EE896577}" name="Taux conformité DCE au CRATE " dataDxfId="148" dataCellStyle="Pourcentage"/>
    <tableColumn id="97" xr3:uid="{97DFA15E-0D53-4034-B2D2-4E81284400DA}" name="CAO" dataDxfId="147"/>
    <tableColumn id="98" xr3:uid="{E71AEC8C-8F35-4798-9825-6E7714B42BC9}" name="Signature Marché Travaux - Prévu" dataDxfId="146"/>
    <tableColumn id="99" xr3:uid="{3DD39091-B88F-4E75-8DEA-F153FE7C012A}" name="Signature Marché Travaux - Réalisé" dataDxfId="145"/>
    <tableColumn id="100" xr3:uid="{910EA867-81EB-4243-83DD-2C3DFB25FD47}" name="Ecart4" dataDxfId="144">
      <calculatedColumnFormula>IF(AND(CT2&gt;0,CU2&gt;0),CU2-CT2,"0")</calculatedColumnFormula>
    </tableColumn>
    <tableColumn id="101" xr3:uid="{28F21AB8-B441-45B7-ACE9-77E6E5959E0A}" name="Date OS Prévu" dataDxfId="143"/>
    <tableColumn id="102" xr3:uid="{3BE6077E-472F-45CB-91C6-351564BA8D7A}" name="OS démarrage" dataDxfId="142"/>
    <tableColumn id="103" xr3:uid="{74828531-FC07-49F6-89D4-CE62C849BB63}" name="ANNEE DEMARRAGE" dataDxfId="141"/>
    <tableColumn id="104" xr3:uid="{FB9EC6B3-E280-44C3-93B0-A0FA8E5C5CBB}" name="ECART Arrêté DEAL / OS" dataDxfId="140">
      <calculatedColumnFormula>(DATEDIF(BK2,CX2,"d"))/30</calculatedColumnFormula>
    </tableColumn>
    <tableColumn id="105" xr3:uid="{B6637D5C-3C04-49D3-8048-6E49C7140B11}" name="Ecart " dataDxfId="139">
      <calculatedColumnFormula>IF(AND(CW2&gt;0,CX2&gt;0),CX2-CW2,"0")</calculatedColumnFormula>
    </tableColumn>
    <tableColumn id="106" xr3:uid="{3E3E5106-FDC6-4BF6-82F6-530244DCB194}" name="Délai chantier initial" dataDxfId="138"/>
    <tableColumn id="107" xr3:uid="{56169A4B-5A57-422B-9DE7-CC8DEBD9C0F4}" name="Délai chantier réel" dataDxfId="137" dataCellStyle="Milliers">
      <calculatedColumnFormula>DATEDIF(CX2,EC2,"M")</calculatedColumnFormula>
    </tableColumn>
    <tableColumn id="108" xr3:uid="{91171A4A-4B6E-45B5-8AAE-0642534C1B19}" name="Terrassement - Prévu" dataDxfId="136"/>
    <tableColumn id="109" xr3:uid="{AFAEBAEE-8B67-46D0-A8F1-A7F681D7CABB}" name="Terrassement Réalisé" dataDxfId="135">
      <calculatedColumnFormula>IF(DD2&lt;TODAY(),TODAY(),DD2)</calculatedColumnFormula>
    </tableColumn>
    <tableColumn id="110" xr3:uid="{CF25C644-DD23-483D-9E59-4462CD3C5B86}" name="Ecart5" dataDxfId="134">
      <calculatedColumnFormula>IF(AND(DD2&gt;0,DE2&gt;0),DE2-DD2,"0")</calculatedColumnFormula>
    </tableColumn>
    <tableColumn id="111" xr3:uid="{77CBF4FC-2772-4209-B812-FFF9D56CB22B}" name="Fondations - Prévu" dataDxfId="133"/>
    <tableColumn id="112" xr3:uid="{9750DD17-0A77-465B-AE0E-FADC9E8B54D2}" name="Fondations Réalisé" dataDxfId="132">
      <calculatedColumnFormula>IF(DG2&lt;TODAY(),TODAY(),DG2)</calculatedColumnFormula>
    </tableColumn>
    <tableColumn id="113" xr3:uid="{FE53BA16-46AC-46AF-8151-F9E96E7A0855}" name="Ecart6" dataDxfId="131">
      <calculatedColumnFormula>IF(AND(DG2&gt;0,DH2&gt;0),DH2-DG2,"0")</calculatedColumnFormula>
    </tableColumn>
    <tableColumn id="114" xr3:uid="{39861125-450B-4361-9F11-5F8DCDA80963}" name="Elevations - Prévu" dataDxfId="130"/>
    <tableColumn id="115" xr3:uid="{8B40708C-2418-4BD5-862F-A0F2A08D5895}" name="Elevations Réalisé" dataDxfId="129">
      <calculatedColumnFormula>IF(DJ2&lt;TODAY(),TODAY(),DJ2)</calculatedColumnFormula>
    </tableColumn>
    <tableColumn id="116" xr3:uid="{BB691FB9-E1C1-41D8-975F-6DDD15916182}" name="Ecart7" dataDxfId="128">
      <calculatedColumnFormula>IF(AND(DJ2&gt;0,DK2&gt;0),DK2-DJ2,"0")</calculatedColumnFormula>
    </tableColumn>
    <tableColumn id="117" xr3:uid="{FF1311D7-EFED-4DC4-BA00-ADD14A7D399E}" name="HDE - Prévu" dataDxfId="127"/>
    <tableColumn id="118" xr3:uid="{86592466-EE6D-4A61-9C27-CC1CF69E11A0}" name="HDE - Réalisé" dataDxfId="126">
      <calculatedColumnFormula>IF(DM2&lt;TODAY(),TODAY(),DM2)</calculatedColumnFormula>
    </tableColumn>
    <tableColumn id="119" xr3:uid="{B0F4A785-9146-4DCB-86BB-15CD0DC2771A}" name="Ecart8" dataDxfId="125">
      <calculatedColumnFormula>IF(AND(DM2&gt;0,DN2&gt;0),DN2-DM2,"0")</calculatedColumnFormula>
    </tableColumn>
    <tableColumn id="120" xr3:uid="{7653CD12-DE86-4DEA-A171-E4D76F4E67D6}" name="HDA - Prévu" dataDxfId="124"/>
    <tableColumn id="121" xr3:uid="{6DEE81C5-92C1-45D5-BF87-4ED84887081B}" name="HDA - Réalisé" dataDxfId="123"/>
    <tableColumn id="122" xr3:uid="{015D5541-B44C-4A3A-B3FE-A434DF6338A0}" name="Ecart9" dataDxfId="122">
      <calculatedColumnFormula>IF(AND(DP2&gt;0,DQ2&gt;0),DQ2-DP2,"0")</calculatedColumnFormula>
    </tableColumn>
    <tableColumn id="123" xr3:uid="{1054C238-B7B5-4C91-8031-3D928CF5550E}" name="Cloisons - Prévu" dataDxfId="121"/>
    <tableColumn id="124" xr3:uid="{252AF4C3-FCB7-4C52-8342-F0EB797EC300}" name="Cloisons - Réalisé" dataDxfId="120">
      <calculatedColumnFormula>IF(DS2&lt;TODAY(),TODAY(),DS2)</calculatedColumnFormula>
    </tableColumn>
    <tableColumn id="125" xr3:uid="{1F25AD85-494B-425F-AACF-68417F0E1836}" name="Ecart10" dataDxfId="119">
      <calculatedColumnFormula>IF(AND(DS2&gt;0,DT2&gt;0),DT2-DS2,"0")</calculatedColumnFormula>
    </tableColumn>
    <tableColumn id="126" xr3:uid="{753284A1-9F95-4BAE-A039-3E47E5B69B70}" name="Finitions int - Prévu" dataDxfId="118"/>
    <tableColumn id="127" xr3:uid="{A0F3A429-9F6D-4463-9733-8826E0D24954}" name="Finitions int - Réalisé" dataDxfId="117">
      <calculatedColumnFormula>IF(DV2&lt;TODAY(),TODAY(),DV2)</calculatedColumnFormula>
    </tableColumn>
    <tableColumn id="128" xr3:uid="{FA482D88-2617-42B6-84D4-43E89812C1CE}" name="Ecart11" dataDxfId="116">
      <calculatedColumnFormula>IF(AND(DV2&gt;0,DW2&gt;0),DW2-DV2,"0")</calculatedColumnFormula>
    </tableColumn>
    <tableColumn id="129" xr3:uid="{2999CD5F-61D3-4A86-8BBF-69CA579D0C02}" name="Réception AEP" dataDxfId="115"/>
    <tableColumn id="130" xr3:uid="{D47C2B23-66EA-4555-B07D-E22DBA36B17A}" name="Réception FT" dataDxfId="114"/>
    <tableColumn id="131" xr3:uid="{BCC205B8-8B30-40F4-9F8F-515480A6F860}" name="Réception EDF" dataDxfId="113"/>
    <tableColumn id="132" xr3:uid="{DD81F58A-F9C1-4269-ACC8-E022AB679C8F}" name="Date réception prévue initialement" dataDxfId="112">
      <calculatedColumnFormula>DATE(YEAR(CX2),MONTH(CX2)+DB2,DAY(CX2))</calculatedColumnFormula>
    </tableColumn>
    <tableColumn id="133" xr3:uid="{DC7082CA-E790-4C3B-8A9A-762CC936F088}" name="Date réception recalée" dataDxfId="111" dataCellStyle="Milliers">
      <calculatedColumnFormula>DATE(YEAR(EB2),MONTH(EB2)+1,DAY(EB2))</calculatedColumnFormula>
    </tableColumn>
    <tableColumn id="134" xr3:uid="{95F63316-51B1-4745-A9A6-F551505A2265}" name="Retard réception (m)" dataDxfId="110" dataCellStyle="Milliers">
      <calculatedColumnFormula>(EC2-EB2)/30</calculatedColumnFormula>
    </tableColumn>
    <tableColumn id="135" xr3:uid="{22D727AB-7AD3-4708-A54C-4D33F7C6C550}" name="Mois restant avant réception" dataDxfId="109" dataCellStyle="Milliers">
      <calculatedColumnFormula>IF(((EC2-TODAY())/30)&lt;0,0,(EC2-TODAY())/30)</calculatedColumnFormula>
    </tableColumn>
    <tableColumn id="136" xr3:uid="{7C11E192-B653-4C9D-B660-7171A59BBAE6}" name="DATE LIMITE DAT CREDIT IMPOT" dataDxfId="108" dataCellStyle="Milliers">
      <calculatedColumnFormula>DATE(YEAR(DH2)+2,MONTH(DH2),DAY(DH2))</calculatedColumnFormula>
    </tableColumn>
    <tableColumn id="137" xr3:uid="{29676C9D-0B7C-4EEA-B325-798A8271DE10}" name="DAT" dataDxfId="107" dataCellStyle="Milliers"/>
    <tableColumn id="138" xr3:uid="{5D4CC5BB-DE60-4E61-ACE8-3633AE048EB8}" name="Transmission Fiche Pgr GL" dataDxfId="106" dataCellStyle="Milliers"/>
    <tableColumn id="139" xr3:uid="{C1288DA5-EE47-45E3-B6F1-7CA24D4AC5D8}" name="Date RDC Patrimoine" dataDxfId="105" dataCellStyle="Milliers">
      <calculatedColumnFormula>DATE(YEAR(EC2),MONTH(EC2)+4,DAY(EC2)+2)</calculatedColumnFormula>
    </tableColumn>
    <tableColumn id="140" xr3:uid="{096C854C-8280-43CE-83AE-2952ECE0F0DF}" name="Date EDLE" dataDxfId="104" dataCellStyle="Milliers"/>
    <tableColumn id="141" xr3:uid="{3659A8FC-353E-426C-A46F-563B2AEFFA7C}" name="Date inauguration initiale" dataDxfId="103" dataCellStyle="Milliers">
      <calculatedColumnFormula>DATE(YEAR(EB2),MONTH(EB2)+1,DAY(EB2))</calculatedColumnFormula>
    </tableColumn>
    <tableColumn id="142" xr3:uid="{B8992504-5902-474E-97BE-C9A8126609ED}" name="Date inauguration recalée" dataDxfId="102" dataCellStyle="Milliers">
      <calculatedColumnFormula>DATE(YEAR(EC2),MONTH(EC2)+1,DAY(EC2))</calculatedColumnFormula>
    </tableColumn>
    <tableColumn id="143" xr3:uid="{F0A0955D-3227-415A-AB01-B0F7DD751E11}" name="Année Inauguration" dataDxfId="101"/>
    <tableColumn id="144" xr3:uid="{5D8E0C11-EB83-4C2A-817A-3E0B20BBE898}" name="Retard Inauguration (m)" dataDxfId="100" dataCellStyle="Milliers">
      <calculatedColumnFormula>(EL2-EK2)/30</calculatedColumnFormula>
    </tableColumn>
    <tableColumn id="145" xr3:uid="{EBC06E83-677B-48E2-8F9E-60DD447E21D7}" name="Loyer mensuel" dataDxfId="99"/>
    <tableColumn id="146" xr3:uid="{482A024A-51BA-460F-A602-643786F3B7B8}" name="Perte loyer" dataDxfId="98">
      <calculatedColumnFormula>EO2*EN2</calculatedColumnFormula>
    </tableColumn>
    <tableColumn id="147" xr3:uid="{F19C026B-EE33-498B-A58B-20082ECD8C4A}" name="CAL" dataDxfId="97"/>
    <tableColumn id="234" xr3:uid="{10093B86-B943-445B-8F37-D93A3D4265DF}" name="ACHEVEMENT VEFA" dataDxfId="96"/>
    <tableColumn id="233" xr3:uid="{67EA9B51-539B-42E5-A6B9-7267D74760C9}" name="Retard livraison VEFA (mois)" dataDxfId="95">
      <calculatedColumnFormula>(Tableau6[[#This Row],[Date inauguration recalée]]-ER2)/30</calculatedColumnFormula>
    </tableColumn>
    <tableColumn id="148" xr3:uid="{92694584-7A48-4AD4-84B0-D97D3CE731D4}" name="Fonds propres au démarrage" dataDxfId="94"/>
    <tableColumn id="149" xr3:uid="{DE1CA378-21BC-408D-BEFF-463A6B07DEA6}" name="Fonds propres actualisés" dataDxfId="93"/>
    <tableColumn id="150" xr3:uid="{4A083B04-EDDC-4B64-B433-34C4B4885625}" name="IMPREVUS AU DEMARRAGE" dataDxfId="92"/>
    <tableColumn id="151" xr3:uid="{F57A8987-14DB-4AF1-92D3-3D36BC05E0C9}" name="IMPREVUS ACTUALISES" dataDxfId="91"/>
    <tableColumn id="152" xr3:uid="{1139CE9B-B13A-45E5-9AD1-809600B4425F}" name="TS Correspondant à des imprévus chantier (or résiliation)" dataDxfId="90"/>
    <tableColumn id="153" xr3:uid="{ED1B2E99-EAF6-4305-B250-08FF138ABE89}" name="% TS / PRP" dataDxfId="89" dataCellStyle="Pourcentage">
      <calculatedColumnFormula>EX2/GB2</calculatedColumnFormula>
    </tableColumn>
    <tableColumn id="154" xr3:uid="{9DDFEE84-A70A-4E86-934D-C4534F1B6A25}" name="RO successifs" dataDxfId="88"/>
    <tableColumn id="155" xr3:uid="{94C324A4-C3D1-48B3-9875-A069E515DDA6}" name="Résiliations marchés" dataDxfId="87"/>
    <tableColumn id="156" xr3:uid="{C90C0CBC-D6CC-4317-98A7-1BB10A6E5E6F}" name="Problémes chantier / RETARDS" dataDxfId="86"/>
    <tableColumn id="157" xr3:uid="{FDC71428-D1AB-40E0-9E4D-5B88FBFAEDC4}" name="Observations générales" dataDxfId="85"/>
    <tableColumn id="158" xr3:uid="{AA2252C5-AA5B-4601-86E5-848D94FD155C}" name="DATE LIMITE DAT" dataDxfId="84">
      <calculatedColumnFormula>DATE(YEAR(DH2),MONTH(DH2)+24,DAY(DH2))</calculatedColumnFormula>
    </tableColumn>
    <tableColumn id="159" xr3:uid="{1294E42F-BCCB-4996-BE61-93BF8FEEEFF4}" name="RFCT" dataDxfId="83"/>
    <tableColumn id="160" xr3:uid="{F50CC73C-7704-4308-AB93-4A4FAC75171C}" name="H2" dataDxfId="82"/>
    <tableColumn id="161" xr3:uid="{C6E9326F-4611-4352-BDD5-2CF7FD2752A6}" name="DGD" dataDxfId="81"/>
    <tableColumn id="162" xr3:uid="{683196EA-F009-406F-A010-C65CA8F9E82D}" name="DOE" dataDxfId="80"/>
    <tableColumn id="163" xr3:uid="{F87FD98B-3712-499B-AEF4-FADF4646A785}" name="Attestation conformité Mairie" dataDxfId="79"/>
    <tableColumn id="164" xr3:uid="{6044D026-FD80-46BF-9065-D18FCD4D2155}" name="Clôture DO" dataDxfId="78"/>
    <tableColumn id="165" xr3:uid="{307EC871-B86B-4A70-983C-53309FFC9766}" name="Fin GPA" dataDxfId="77">
      <calculatedColumnFormula>DATE(YEAR(EC2)+1,MONTH(EC2),DAY(EC2))</calculatedColumnFormula>
    </tableColumn>
    <tableColumn id="235" xr3:uid="{1D21BE6D-06CE-4969-9617-F5DF08B3BF65}" name="Libération RG" dataDxfId="76"/>
    <tableColumn id="166" xr3:uid="{0FF6A871-722E-468A-BB2F-BC6BE738EDA0}" name="Frais financiers clôture" dataDxfId="75"/>
    <tableColumn id="167" xr3:uid="{4D1C2B78-C7E8-46B9-82A8-8C13BD5E75A9}" name="RDV pré-clôture avec RO" dataDxfId="74"/>
    <tableColumn id="168" xr3:uid="{3178C248-C9D4-49D9-ABBE-09D46E83521E}" name="Transmission budget pré-clôture DAF" dataDxfId="73"/>
    <tableColumn id="169" xr3:uid="{1A719836-54DB-4DE2-8CCD-3789641E12E7}" name="Budget pré-clôture validé DAF" dataDxfId="72"/>
    <tableColumn id="170" xr3:uid="{5978B761-E453-422B-BC7F-B7F1752BF595}" name="RDV clôture avec RO" dataDxfId="71"/>
    <tableColumn id="171" xr3:uid="{D55A59B9-1059-4C0E-A5B2-3AB1A01F8317}" name="Transmission budget DAF" dataDxfId="70"/>
    <tableColumn id="172" xr3:uid="{9FB014EC-226C-4D2D-B407-5124C4960308}" name="Budget clôture validé DAF" dataDxfId="69"/>
    <tableColumn id="173" xr3:uid="{6F9AF1BC-94D5-40D3-97CD-7A9BE10245D6}" name="Avenant global" dataDxfId="68"/>
    <tableColumn id="174" xr3:uid="{B91103B8-5B30-494C-ACC5-FC144BB21A07}" name="Dépôt DDA définitif" dataDxfId="67"/>
    <tableColumn id="175" xr3:uid="{FD77B275-06F0-49D0-8DC1-156B2A50B9F9}" name="Agrément définitif" dataDxfId="66"/>
    <tableColumn id="176" xr3:uid="{C5C82909-67A7-4A97-B695-38CCCC685D88}" name="Baux" dataDxfId="65"/>
    <tableColumn id="177" xr3:uid="{27D57D9A-2D7F-4825-BCB8-2BDB52C5030F}" name="Rapport de fin d'opération" dataDxfId="64"/>
    <tableColumn id="178" xr3:uid="{D2172BC4-6734-4F84-A1C7-84EC2A105484}" name="Transmission patrimoine" dataDxfId="63"/>
    <tableColumn id="179" xr3:uid="{382B528D-A3B9-4277-BAD8-88112F882C5B}" name="Archivage" dataDxfId="62"/>
    <tableColumn id="180" xr3:uid="{E17644A1-A2B9-4582-A96C-0284389F04E1}" name="PRP CA" dataDxfId="61" dataCellStyle="Satisfaisant"/>
    <tableColumn id="181" xr3:uid="{239347A4-354A-4AB1-ABBE-6E7F82B91FB4}" name="PRP TTC HORS FRAFU" dataDxfId="60" dataCellStyle="Milliers">
      <calculatedColumnFormula>GD2+GG2+GJ2+HF2+Tableau6[[#This Row],[PRÊT CREDIT D''IMPOT (PM)]]</calculatedColumnFormula>
    </tableColumn>
    <tableColumn id="182" xr3:uid="{CE7AC748-A1CF-4BBF-BB9B-788DD4588F68}" name="PRP TTC AVEC FRAFU" dataDxfId="59">
      <calculatedColumnFormula>GB2</calculatedColumnFormula>
    </tableColumn>
    <tableColumn id="183" xr3:uid="{CA8F6FD3-1959-46FE-A696-89D48DC9461D}" name="SUBVENTIONS TOTALES" dataDxfId="58">
      <calculatedColumnFormula>GP2+GQ2+GT2+GU2</calculatedColumnFormula>
    </tableColumn>
    <tableColumn id="184" xr3:uid="{5F62A463-DB3D-4351-ADE3-AF1B995F8207}" name="PRP /m² SF" dataDxfId="57">
      <calculatedColumnFormula>GB2/AK2</calculatedColumnFormula>
    </tableColumn>
    <tableColumn id="185" xr3:uid="{929B5658-BB98-41F0-A41E-87E5AC7ECE6A}" name="PRP / lgt" dataDxfId="56">
      <calculatedColumnFormula>GB2/AD2</calculatedColumnFormula>
    </tableColumn>
    <tableColumn id="186" xr3:uid="{49469B85-E0EF-4EE2-997A-E002C5648466}" name="CREDIT IMPOT ACTUEL" dataDxfId="55"/>
    <tableColumn id="187" xr3:uid="{B83837CB-70D9-48D2-8382-ED85A9D7EE74}" name="PRÊT CREDIT D'IMPOT (PM)" dataDxfId="54"/>
    <tableColumn id="188" xr3:uid="{62351C6A-4DA6-4596-AE10-455810024E8C}" name="DEFISC / lgt" dataDxfId="53">
      <calculatedColumnFormula>GG2/AD2</calculatedColumnFormula>
    </tableColumn>
    <tableColumn id="189" xr3:uid="{B3179F4C-D8C9-4C78-AB34-66CF4BF657F2}" name="PRETS TOTAUX" dataDxfId="52">
      <calculatedColumnFormula>GK2+GO2+GS2</calculatedColumnFormula>
    </tableColumn>
    <tableColumn id="190" xr3:uid="{EEAF2CE4-7DDE-4F5A-9776-6BE540ACCF08}" name="PRÊT " dataDxfId="51">
      <calculatedColumnFormula>GL2+GM2</calculatedColumnFormula>
    </tableColumn>
    <tableColumn id="191" xr3:uid="{D306FAAB-B5C5-4BA8-949E-74F3A4E1A862}" name="FONCIER2" dataDxfId="50"/>
    <tableColumn id="192" xr3:uid="{1756323B-0774-48E9-AB95-9EBB5D03470A}" name="CONSTRUCTION" dataDxfId="49"/>
    <tableColumn id="193" xr3:uid="{2AD7890A-BB2B-4C6B-9BC2-484A4E7A4FF7}" name="PRÊT / lgt" dataDxfId="48" dataCellStyle="Milliers">
      <calculatedColumnFormula>GK2/AD2</calculatedColumnFormula>
    </tableColumn>
    <tableColumn id="194" xr3:uid="{AEEF6939-995E-4FF2-8F46-1426736EF391}" name="PRÊT COMPLEMENTAIRE" dataDxfId="47"/>
    <tableColumn id="195" xr3:uid="{27E2270F-E1B5-4701-A0BC-73B8FD334365}" name="LBU " dataDxfId="46"/>
    <tableColumn id="196" xr3:uid="{B1A50EF5-6C06-41DC-9987-34ACF03824EA}" name="CAF" dataDxfId="45"/>
    <tableColumn id="197" xr3:uid="{4BA1C410-5CAC-4D2C-8E66-F54FA6712632}" name="% LBU / PRP" dataDxfId="44" dataCellStyle="Pourcentage">
      <calculatedColumnFormula>GP2/GB2</calculatedColumnFormula>
    </tableColumn>
    <tableColumn id="198" xr3:uid="{8C7771E9-9F63-4063-80E2-8F0ADD1ECFC1}" name="PHB 2.0" dataDxfId="43"/>
    <tableColumn id="199" xr3:uid="{D4A5D812-4D61-409B-BA64-B33EA7C241E3}" name="SUB ETAT" dataDxfId="42"/>
    <tableColumn id="200" xr3:uid="{59149F7E-22ED-41D4-9BF1-CC8B6D8EB4C6}" name="AUTRES SUBVENTIONS" dataDxfId="41"/>
    <tableColumn id="201" xr3:uid="{7782441E-2817-446F-AC5D-BDC846E4B3B7}" name="LBU / lgt_x000a_" dataDxfId="40"/>
    <tableColumn id="202" xr3:uid="{1A68E313-3FC4-4FB7-BA94-5FCF143D052D}" name="LBU+Défisc/lgt" dataDxfId="39"/>
    <tableColumn id="203" xr3:uid="{1D045502-B230-448E-AE4F-E31DAAEBDDBA}" name="PRP FRAFU hors TVA résiduelle" dataDxfId="38"/>
    <tableColumn id="204" xr3:uid="{ACD2DFED-5306-4D4B-855C-9170C232A3D9}" name="FRAFU" dataDxfId="37"/>
    <tableColumn id="205" xr3:uid="{63CADFF7-3FEC-47A1-8292-C602E11568DE}" name="AIDES ETAT / lgt" dataDxfId="36"/>
    <tableColumn id="206" xr3:uid="{FB4F3056-DC7B-4BA3-B429-1E6572ED27C4}" name="SUBVENTION COLLECTIVITE FRAFU" dataDxfId="35"/>
    <tableColumn id="207" xr3:uid="{434EC482-EA8E-4065-B2C4-CA19591DCB61}" name="AIDES PUBLIQUES / lgt" dataDxfId="34"/>
    <tableColumn id="208" xr3:uid="{3173D5D0-9686-4DCA-A7A8-48D242139293}" name="% AIDES PUBLIQUES" dataDxfId="33" dataCellStyle="Pourcentage"/>
    <tableColumn id="209" xr3:uid="{4AB5F366-26F5-4CE8-9595-0F5D65FBED48}" name="CESSION FONCIERE" dataDxfId="32"/>
    <tableColumn id="210" xr3:uid="{2FBCAEB4-05C5-4B67-B6EF-C19DED8B2EC4}" name="FONDS PROPRES FRAFU" dataDxfId="31"/>
    <tableColumn id="211" xr3:uid="{BDAC75AA-4DC8-415D-8D10-8064DB6979B1}" name="FONDS PROPRES CONSTRUCTION" dataDxfId="30"/>
    <tableColumn id="212" xr3:uid="{7498FB6E-A998-4209-B69C-6AC0ADD30526}" name="DEPENSES COMPTABILISEES" dataDxfId="29"/>
    <tableColumn id="213" xr3:uid="{E34689E4-F90A-4BB7-A951-EFDB966414FE}" name="% dépenses" dataDxfId="28" dataCellStyle="Pourcentage">
      <calculatedColumnFormula>HG2/GB2</calculatedColumnFormula>
    </tableColumn>
    <tableColumn id="214" xr3:uid="{96D52FE6-5B41-4188-8356-9C69C6EF884F}" name="RESTE A DEPENSER" dataDxfId="27">
      <calculatedColumnFormula>GB2-HG2</calculatedColumnFormula>
    </tableColumn>
    <tableColumn id="215" xr3:uid="{0284D794-FDC4-4665-B8C5-E717AC925E33}" name="RESTE A DEPENSER jusqu'au 31/12/20" dataDxfId="26">
      <calculatedColumnFormula>IF(EE2&lt;DATEDIF(TODAY(),$HJ$1,"M"),HI2,(HI2/EE2*DATEDIF(TODAY(),$HJ$1,"M")))</calculatedColumnFormula>
    </tableColumn>
    <tableColumn id="216" xr3:uid="{B4FD52BE-52DE-4AC1-BFAB-996E9C93D877}" name="% dépenses à fin 2020" dataDxfId="25" dataCellStyle="Pourcentage">
      <calculatedColumnFormula>(HG2+HJ2)/GB2</calculatedColumnFormula>
    </tableColumn>
    <tableColumn id="217" xr3:uid="{A02188C8-9E82-4B15-A9D7-7BEBC22D4686}" name="SUBVENTIONS COMPTABILISEES" dataDxfId="24"/>
    <tableColumn id="218" xr3:uid="{9ACEE328-7E46-42F5-AC4C-53D85D5AA1F7}" name="SUBVENTIONS RESTANTES" dataDxfId="23">
      <calculatedColumnFormula>GD2-HL2</calculatedColumnFormula>
    </tableColumn>
    <tableColumn id="219" xr3:uid="{5315B09C-22C5-4949-8327-097D9DD75491}" name="% subventions" dataDxfId="22">
      <calculatedColumnFormula>HL2/GD2</calculatedColumnFormula>
    </tableColumn>
    <tableColumn id="220" xr3:uid="{41FEEE86-AD32-467A-8FAF-0CAF31D845AA}" name="OBS" dataDxfId="21"/>
    <tableColumn id="221" xr3:uid="{C87470BC-E74F-4E49-BBBE-F3DD1123D16C}" name="TERRAIN" dataDxfId="20" dataCellStyle="Milliers"/>
    <tableColumn id="222" xr3:uid="{8E6F1A59-1E29-40A0-9420-4E82FE1569CD}" name="dont prix foncier" dataDxfId="19" dataCellStyle="Milliers"/>
    <tableColumn id="223" xr3:uid="{35798A6B-E622-48B0-AE05-5238BE82C65C}" name="VRD / Espaces verts" dataDxfId="18" dataCellStyle="Milliers"/>
    <tableColumn id="224" xr3:uid="{239E7F8E-FB85-463B-A379-5285E0B0EA07}" name="TRAVAUX BATIS" dataDxfId="17" dataCellStyle="Milliers">
      <calculatedColumnFormula>SUM(Tableau6[[#This Row],[GO]:[CARRELAGE]])</calculatedColumnFormula>
    </tableColumn>
    <tableColumn id="225" xr3:uid="{32D72E6C-9C9D-4526-B28A-5D9DC69D8060}" name="GO" dataDxfId="16" dataCellStyle="Milliers"/>
    <tableColumn id="226" xr3:uid="{E102998B-0DC5-4DFA-B08D-5BE3BE494ECC}" name="HDE  (bardage / étanchéité / couverture)" dataDxfId="15" dataCellStyle="Milliers"/>
    <tableColumn id="243" xr3:uid="{82C53F38-C0A3-428D-BDBD-075B0791F8A5}" name="MENUISERIES EXTERIEURES" dataDxfId="14" dataCellStyle="Milliers"/>
    <tableColumn id="228" xr3:uid="{08E20C03-415C-4089-9760-3305094667BD}" name="METALLERIE" dataDxfId="13" dataCellStyle="Milliers"/>
    <tableColumn id="242" xr3:uid="{DC229248-6B35-469F-B867-43CD6B1A1F89}" name="MENUISERIES INTERIEURES" dataDxfId="12" dataCellStyle="Milliers"/>
    <tableColumn id="241" xr3:uid="{CC04B9F8-4FCF-40FC-AD26-78DBD16843FB}" name="CLOISONS" dataDxfId="11" dataCellStyle="Milliers"/>
    <tableColumn id="240" xr3:uid="{BA83624B-2BBE-4554-B0B9-33DD36A44547}" name="ELECTRICITE" dataDxfId="10" dataCellStyle="Milliers"/>
    <tableColumn id="239" xr3:uid="{2F5C89B9-4E85-4A3D-A8B6-205F2E878C2D}" name="PLOMBERIE" dataDxfId="9" dataCellStyle="Milliers"/>
    <tableColumn id="238" xr3:uid="{33357529-013D-4F62-89CA-38E8C0CADB63}" name="ECS" dataDxfId="8" dataCellStyle="Milliers"/>
    <tableColumn id="245" xr3:uid="{F5E1F6DD-20C9-40C0-A5B4-CB5EB4E2EE8C}" name="ASCENSEUR" dataDxfId="7" dataCellStyle="Milliers"/>
    <tableColumn id="244" xr3:uid="{0B781020-867C-4A10-9A12-F650F3158CCB}" name="PEINTURE" dataDxfId="6" dataCellStyle="Milliers"/>
    <tableColumn id="246" xr3:uid="{E11852BB-287E-4164-AF4B-F6AF0E02DA70}" name="SOLS SOUPLES" dataDxfId="5" dataCellStyle="Milliers"/>
    <tableColumn id="229" xr3:uid="{C6D7D1F6-00A5-4D8A-A141-6C8CE414228C}" name="CARRELAGE" dataDxfId="4" dataCellStyle="Milliers"/>
    <tableColumn id="236" xr3:uid="{1AFEF045-9633-4516-97F1-6ED57FEAE2CF}" name="HONORAIRES" dataDxfId="3" dataCellStyle="Milliers"/>
    <tableColumn id="237" xr3:uid="{100DE279-7143-43F1-93C7-B82FF9171B37}" name="AUTRES FRAIS" dataDxfId="2" dataCellStyle="Milliers">
      <calculatedColumnFormula>169259.85+64877.7</calculatedColumnFormula>
    </tableColumn>
    <tableColumn id="231" xr3:uid="{32F75721-CD08-41AF-8012-D88D2B579B21}" name="TOTAL PRP HT" dataDxfId="1" dataCellStyle="Milliers">
      <calculatedColumnFormula>HP2+HR2+Tableau6[[#This Row],[TRAVAUX BATIS]]+Tableau6[[#This Row],[HONORAIRES]]+IH2</calculatedColumnFormula>
    </tableColumn>
    <tableColumn id="232" xr3:uid="{503AA0F3-26EE-474C-A9DB-6D9213F73D88}" name="Cr14" dataDxfId="0" dataCellStyle="Milliers">
      <calculatedColumnFormula>Tableau6[[#This Row],[TOTAL PRP HT]]-Tableau6[[#This Row],[PRP TTC HORS FRAFU]]/1.021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theme="1"/>
    <pageSetUpPr fitToPage="1"/>
  </sheetPr>
  <dimension ref="A1:M21"/>
  <sheetViews>
    <sheetView zoomScale="85" zoomScaleNormal="85" workbookViewId="0">
      <selection activeCell="J20" sqref="J20"/>
    </sheetView>
  </sheetViews>
  <sheetFormatPr baseColWidth="10" defaultRowHeight="14.5"/>
  <cols>
    <col min="1" max="1" width="20.6328125" bestFit="1" customWidth="1"/>
    <col min="2" max="2" width="22.26953125" bestFit="1" customWidth="1"/>
    <col min="3" max="3" width="22.1796875" bestFit="1" customWidth="1"/>
    <col min="4" max="4" width="11.81640625" customWidth="1"/>
    <col min="5" max="5" width="14.1796875" customWidth="1"/>
    <col min="6" max="6" width="11.81640625" customWidth="1"/>
    <col min="7" max="8" width="11.54296875" customWidth="1"/>
    <col min="9" max="9" width="13.1796875" customWidth="1"/>
    <col min="10" max="10" width="12.1796875" customWidth="1"/>
    <col min="11" max="12" width="10.81640625" customWidth="1"/>
    <col min="13" max="13" width="22.453125" customWidth="1"/>
    <col min="14" max="14" width="15.453125" customWidth="1"/>
    <col min="15" max="69" width="10.81640625" customWidth="1"/>
    <col min="70" max="70" width="6.1796875" customWidth="1"/>
    <col min="71" max="74" width="10.81640625" customWidth="1"/>
    <col min="75" max="75" width="12.1796875" bestFit="1" customWidth="1"/>
  </cols>
  <sheetData>
    <row r="1" spans="1:13">
      <c r="A1" s="162" t="s">
        <v>761</v>
      </c>
      <c r="B1" s="162"/>
      <c r="C1" s="162"/>
      <c r="D1" s="162"/>
      <c r="E1" s="162"/>
      <c r="F1" s="162"/>
      <c r="G1" s="162"/>
      <c r="H1" s="162"/>
      <c r="I1" s="162"/>
      <c r="J1" s="163"/>
      <c r="K1" s="163"/>
      <c r="L1" s="163"/>
      <c r="M1" s="163"/>
    </row>
    <row r="3" spans="1:13" ht="15" thickBot="1"/>
    <row r="4" spans="1:13" ht="15" thickBot="1">
      <c r="A4" s="165" t="s">
        <v>762</v>
      </c>
      <c r="B4" s="165" t="s">
        <v>763</v>
      </c>
      <c r="C4" s="541" t="s">
        <v>765</v>
      </c>
      <c r="D4" s="541" t="s">
        <v>766</v>
      </c>
    </row>
    <row r="5" spans="1:13">
      <c r="A5" s="539">
        <v>2015</v>
      </c>
      <c r="B5" s="540" cm="1">
        <f t="array" ref="B5">IFERROR(AVERAGE(IF(YEAR(Tableau6[Dde édition prêt])=A5,Tableau6[Délai obtention prêt])),0)</f>
        <v>0</v>
      </c>
      <c r="C5" s="543" cm="1">
        <f t="array" ref="C5">IFERROR(MIN(IF(YEAR(Tableau6[Dde édition prêt])=A5,Tableau6[Délai obtention prêt])),0)</f>
        <v>0</v>
      </c>
      <c r="D5" s="543" cm="1">
        <f t="array" ref="D5">IFERROR(MAX(IF(YEAR(Tableau6[Dde édition prêt])=A5,Tableau6[Délai obtention prêt])),0)</f>
        <v>0</v>
      </c>
    </row>
    <row r="6" spans="1:13">
      <c r="A6" s="539">
        <v>2016</v>
      </c>
      <c r="B6" s="540" cm="1">
        <f t="array" ref="B6">IFERROR(AVERAGE(IF(YEAR(Tableau6[Dde édition prêt])=A6,Tableau6[Délai obtention prêt])),0)</f>
        <v>0</v>
      </c>
      <c r="C6" s="543" cm="1">
        <f t="array" ref="C6">IFERROR(MIN(IF(YEAR(Tableau6[Dde édition prêt])=A6,Tableau6[Délai obtention prêt])),0)</f>
        <v>0</v>
      </c>
      <c r="D6" s="543" cm="1">
        <f t="array" ref="D6">IFERROR(MAX(IF(YEAR(Tableau6[Dde édition prêt])=A6,Tableau6[Délai obtention prêt])),0)</f>
        <v>0</v>
      </c>
    </row>
    <row r="7" spans="1:13">
      <c r="A7" s="539">
        <v>2017</v>
      </c>
      <c r="B7" s="540" cm="1">
        <f t="array" ref="B7">IFERROR(AVERAGE(IF(YEAR(Tableau6[Dde édition prêt])=A7,Tableau6[Délai obtention prêt])),0)</f>
        <v>0</v>
      </c>
      <c r="C7" s="543" cm="1">
        <f t="array" ref="C7">IFERROR(MIN(IF(YEAR(Tableau6[Dde édition prêt])=A7,Tableau6[Délai obtention prêt])),0)</f>
        <v>0</v>
      </c>
      <c r="D7" s="543" cm="1">
        <f t="array" ref="D7">IFERROR(MAX(IF(YEAR(Tableau6[Dde édition prêt])=A7,Tableau6[Délai obtention prêt])),0)</f>
        <v>0</v>
      </c>
    </row>
    <row r="8" spans="1:13">
      <c r="A8" s="219">
        <v>2018</v>
      </c>
      <c r="B8" s="538" cm="1">
        <f t="array" ref="B8">IFERROR(AVERAGE(IF(YEAR(Tableau6[Dde édition prêt])=A8,Tableau6[Délai obtention prêt])),0)</f>
        <v>0</v>
      </c>
      <c r="C8" s="542" cm="1">
        <f t="array" ref="C8">IFERROR(MIN(IF(YEAR(Tableau6[Dde édition prêt])=A8,Tableau6[Délai obtention prêt])),0)</f>
        <v>0</v>
      </c>
      <c r="D8" s="542" cm="1">
        <f t="array" ref="D8">IFERROR(MAX(IF(YEAR(Tableau6[Dde édition prêt])=A8,Tableau6[Délai obtention prêt])),0)</f>
        <v>0</v>
      </c>
    </row>
    <row r="9" spans="1:13" ht="15" thickBot="1">
      <c r="A9" s="554">
        <v>2019</v>
      </c>
      <c r="B9" s="555" cm="1">
        <f t="array" ref="B9">IFERROR(AVERAGE(IF(YEAR(Tableau6[Dde édition prêt])=A9,Tableau6[Délai obtention prêt])),0)</f>
        <v>0</v>
      </c>
      <c r="C9" s="556" cm="1">
        <f t="array" ref="C9">IFERROR(MIN(IF(YEAR(Tableau6[Dde édition prêt])=A9,Tableau6[Délai obtention prêt])),0)</f>
        <v>0</v>
      </c>
      <c r="D9" s="556" cm="1">
        <f t="array" ref="D9">IFERROR(MAX(IF(YEAR(Tableau6[Dde édition prêt])=A9,Tableau6[Délai obtention prêt])),0)</f>
        <v>0</v>
      </c>
    </row>
    <row r="10" spans="1:13" ht="15" thickBot="1"/>
    <row r="11" spans="1:13">
      <c r="A11" s="162" t="s">
        <v>770</v>
      </c>
      <c r="B11" s="162"/>
      <c r="C11" s="162"/>
      <c r="D11" s="162"/>
      <c r="E11" s="162"/>
      <c r="F11" s="162"/>
      <c r="G11" s="162"/>
      <c r="H11" s="162"/>
      <c r="I11" s="162"/>
      <c r="J11" s="163"/>
      <c r="K11" s="163"/>
      <c r="L11" s="163"/>
      <c r="M11" s="163"/>
    </row>
    <row r="13" spans="1:13" ht="15" thickBot="1"/>
    <row r="14" spans="1:13" ht="15" thickBot="1">
      <c r="A14" s="165" t="s">
        <v>762</v>
      </c>
      <c r="B14" s="165" t="s">
        <v>763</v>
      </c>
      <c r="C14" s="541" t="s">
        <v>765</v>
      </c>
      <c r="D14" s="541" t="s">
        <v>766</v>
      </c>
    </row>
    <row r="15" spans="1:13">
      <c r="A15" s="551">
        <v>2013</v>
      </c>
      <c r="B15" s="552" cm="1">
        <f t="array" ref="B15">IFERROR(AVERAGE(IF(YEAR(Tableau6[Demande LBU])=A15,Tableau6[Délai obtention LBU])),0)</f>
        <v>4.3055555555555562</v>
      </c>
      <c r="C15" s="553" cm="1">
        <f t="array" ref="C15">IFERROR(MIN(IF(YEAR(Tableau6[Demande LBU])=A15,Tableau6[Délai obtention LBU])),0)</f>
        <v>2.7666666666666666</v>
      </c>
      <c r="D15" s="553" cm="1">
        <f t="array" ref="D15">IFERROR(MAX(IF(YEAR(Tableau6[Demande LBU])=A15,Tableau6[Délai obtention LBU])),0)</f>
        <v>7.7666666666666666</v>
      </c>
    </row>
    <row r="16" spans="1:13">
      <c r="A16" s="539">
        <v>2014</v>
      </c>
      <c r="B16" s="540" cm="1">
        <f t="array" ref="B16">IFERROR(AVERAGE(IF(YEAR(Tableau6[Demande LBU])=A16,Tableau6[Délai obtention LBU])),0)</f>
        <v>4.1500000000000004</v>
      </c>
      <c r="C16" s="543" cm="1">
        <f t="array" ref="C16">IFERROR(MIN(IF(YEAR(Tableau6[Demande LBU])=A16,Tableau6[Délai obtention LBU])),0)</f>
        <v>2.4</v>
      </c>
      <c r="D16" s="543" cm="1">
        <f t="array" ref="D16">IFERROR(MAX(IF(YEAR(Tableau6[Demande LBU])=A16,Tableau6[Délai obtention LBU])),0)</f>
        <v>6.7</v>
      </c>
    </row>
    <row r="17" spans="1:4">
      <c r="A17" s="539">
        <v>2015</v>
      </c>
      <c r="B17" s="540" cm="1">
        <f t="array" ref="B17">IFERROR(AVERAGE(IF(YEAR(Tableau6[Demande LBU])=A17,Tableau6[Délai obtention LBU])),0)</f>
        <v>6.8958333333333339</v>
      </c>
      <c r="C17" s="543" cm="1">
        <f t="array" ref="C17">IFERROR(MIN(IF(YEAR(Tableau6[Demande LBU])=A17,Tableau6[Délai obtention LBU])),0)</f>
        <v>5.166666666666667</v>
      </c>
      <c r="D17" s="543" cm="1">
        <f t="array" ref="D17">IFERROR(MAX(IF(YEAR(Tableau6[Demande LBU])=A17,Tableau6[Délai obtention LBU])),0)</f>
        <v>8.6999999999999993</v>
      </c>
    </row>
    <row r="18" spans="1:4">
      <c r="A18" s="539">
        <v>2016</v>
      </c>
      <c r="B18" s="540" cm="1">
        <f t="array" ref="B18">IFERROR(AVERAGE(IF(YEAR(Tableau6[Demande LBU])=A18,Tableau6[Délai obtention LBU])),0)</f>
        <v>4.4375</v>
      </c>
      <c r="C18" s="543" cm="1">
        <f t="array" ref="C18">IFERROR(MIN(IF(YEAR(Tableau6[Demande LBU])=A18,Tableau6[Délai obtention LBU])),0)</f>
        <v>0.1</v>
      </c>
      <c r="D18" s="543" cm="1">
        <f t="array" ref="D18">IFERROR(MAX(IF(YEAR(Tableau6[Demande LBU])=A18,Tableau6[Délai obtention LBU])),0)</f>
        <v>6.7</v>
      </c>
    </row>
    <row r="19" spans="1:4">
      <c r="A19" s="539">
        <v>2017</v>
      </c>
      <c r="B19" s="540" cm="1">
        <f t="array" ref="B19">IFERROR(AVERAGE(IF(YEAR(Tableau6[Demande LBU])=A19,Tableau6[Délai obtention LBU])),0)</f>
        <v>5.8428571428571434</v>
      </c>
      <c r="C19" s="543" cm="1">
        <f t="array" ref="C19">IFERROR(MIN(IF(YEAR(Tableau6[Demande LBU])=A19,Tableau6[Délai obtention LBU])),0)</f>
        <v>2.8333333333333335</v>
      </c>
      <c r="D19" s="543" cm="1">
        <f t="array" ref="D19">IFERROR(MAX(IF(YEAR(Tableau6[Demande LBU])=A19,Tableau6[Délai obtention LBU])),0)</f>
        <v>9.2666666666666675</v>
      </c>
    </row>
    <row r="20" spans="1:4">
      <c r="A20" s="539">
        <v>2018</v>
      </c>
      <c r="B20" s="540" cm="1">
        <f t="array" ref="B20">IFERROR(AVERAGE(IF(YEAR(Tableau6[Demande LBU])=A20,Tableau6[Délai obtention LBU])),0)</f>
        <v>5.1433333333333335</v>
      </c>
      <c r="C20" s="543" cm="1">
        <f t="array" ref="C20">IFERROR(MIN(IF(YEAR(Tableau6[Demande LBU])=A20,Tableau6[Délai obtention LBU])),0)</f>
        <v>3.2666666666666666</v>
      </c>
      <c r="D20" s="543" cm="1">
        <f t="array" ref="D20">IFERROR(MAX(IF(YEAR(Tableau6[Demande LBU])=A20,Tableau6[Délai obtention LBU])),0)</f>
        <v>8.1666666666666661</v>
      </c>
    </row>
    <row r="21" spans="1:4" ht="15" thickBot="1">
      <c r="A21" s="554">
        <v>2019</v>
      </c>
      <c r="B21" s="555" cm="1">
        <f t="array" ref="B21">IFERROR(AVERAGE(IF(YEAR(Tableau6[Demande LBU])=A21,Tableau6[Délai obtention LBU])),0)</f>
        <v>5.4958333333333336</v>
      </c>
      <c r="C21" s="556" cm="1">
        <f t="array" ref="C21">IFERROR(MIN(IF(YEAR(Tableau6[Demande LBU])=A21,Tableau6[Délai obtention LBU])),0)</f>
        <v>2.5333333333333332</v>
      </c>
      <c r="D21" s="556" cm="1">
        <f t="array" ref="D21">IFERROR(MAX(IF(YEAR(Tableau6[Demande LBU])=A21,Tableau6[Délai obtention LBU])),0)</f>
        <v>8.1666666666666661</v>
      </c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8E61D"/>
    <pageSetUpPr fitToPage="1"/>
  </sheetPr>
  <dimension ref="A1:XDA258"/>
  <sheetViews>
    <sheetView tabSelected="1" zoomScale="70" zoomScaleNormal="70" zoomScaleSheetLayoutView="70" workbookViewId="0">
      <pane xSplit="1" ySplit="1" topLeftCell="BM2" activePane="bottomRight" state="frozen"/>
      <selection pane="topRight" activeCell="B1" sqref="B1"/>
      <selection pane="bottomLeft" activeCell="A2" sqref="A2"/>
      <selection pane="bottomRight" activeCell="BO3" sqref="BO3"/>
    </sheetView>
  </sheetViews>
  <sheetFormatPr baseColWidth="10" defaultColWidth="11.453125" defaultRowHeight="14.5" outlineLevelCol="1"/>
  <cols>
    <col min="1" max="1" width="45.81640625" style="611" customWidth="1"/>
    <col min="2" max="2" width="14.453125" style="7" customWidth="1"/>
    <col min="3" max="3" width="11.81640625" style="7" customWidth="1"/>
    <col min="4" max="4" width="18.1796875" style="7" customWidth="1"/>
    <col min="5" max="5" width="21.1796875" style="7" customWidth="1"/>
    <col min="6" max="6" width="10.54296875" style="7" customWidth="1"/>
    <col min="7" max="7" width="16.81640625" style="7" customWidth="1"/>
    <col min="8" max="8" width="18.81640625" style="7" customWidth="1"/>
    <col min="9" max="9" width="15" style="7" customWidth="1"/>
    <col min="10" max="10" width="18.81640625" style="7" customWidth="1"/>
    <col min="11" max="11" width="7.1796875" style="155" hidden="1" customWidth="1" outlineLevel="1"/>
    <col min="12" max="12" width="7.1796875" style="96" hidden="1" customWidth="1" outlineLevel="1"/>
    <col min="13" max="13" width="10.453125" style="96" hidden="1" customWidth="1" outlineLevel="1"/>
    <col min="14" max="14" width="12" style="96" hidden="1" customWidth="1" outlineLevel="1"/>
    <col min="15" max="15" width="7.1796875" style="7" hidden="1" customWidth="1" outlineLevel="1"/>
    <col min="16" max="16" width="15.81640625" style="7" hidden="1" customWidth="1" outlineLevel="1"/>
    <col min="17" max="17" width="17.81640625" style="7" hidden="1" customWidth="1" outlineLevel="1"/>
    <col min="18" max="18" width="10.81640625" style="7" hidden="1" customWidth="1" outlineLevel="1"/>
    <col min="19" max="20" width="7.1796875" style="7" hidden="1" customWidth="1" outlineLevel="1"/>
    <col min="21" max="21" width="15.1796875" style="7" hidden="1" customWidth="1" outlineLevel="1"/>
    <col min="22" max="22" width="16.81640625" style="7" hidden="1" customWidth="1" outlineLevel="1"/>
    <col min="23" max="23" width="7.1796875" style="7" hidden="1" customWidth="1" outlineLevel="1"/>
    <col min="24" max="24" width="10.81640625" style="7" hidden="1" customWidth="1" outlineLevel="1"/>
    <col min="25" max="25" width="9.54296875" style="7" hidden="1" customWidth="1" outlineLevel="1"/>
    <col min="26" max="28" width="7.1796875" style="7" hidden="1" customWidth="1" outlineLevel="1"/>
    <col min="29" max="29" width="7.1796875" style="7" customWidth="1" collapsed="1"/>
    <col min="30" max="30" width="11.453125" style="7" customWidth="1" collapsed="1"/>
    <col min="31" max="31" width="15.1796875" style="7" customWidth="1" collapsed="1"/>
    <col min="32" max="32" width="17.453125" style="7" customWidth="1"/>
    <col min="33" max="33" width="11.81640625" style="7" customWidth="1" collapsed="1"/>
    <col min="34" max="35" width="11.81640625" style="7" customWidth="1"/>
    <col min="36" max="36" width="18.81640625" style="413" customWidth="1"/>
    <col min="37" max="37" width="16.1796875" style="84" customWidth="1" outlineLevel="1"/>
    <col min="38" max="38" width="16.1796875" style="493" customWidth="1" outlineLevel="1"/>
    <col min="39" max="39" width="10.54296875" style="7" customWidth="1" outlineLevel="1"/>
    <col min="40" max="40" width="25.1796875" style="7" customWidth="1" outlineLevel="1"/>
    <col min="41" max="41" width="21.81640625" style="7" customWidth="1" outlineLevel="1"/>
    <col min="42" max="42" width="19" style="7" customWidth="1" outlineLevel="1"/>
    <col min="43" max="47" width="15.54296875" style="7" customWidth="1" outlineLevel="1"/>
    <col min="48" max="48" width="25.1796875" style="7" customWidth="1" outlineLevel="1"/>
    <col min="49" max="49" width="15.54296875" style="69" customWidth="1" outlineLevel="1"/>
    <col min="50" max="50" width="15.54296875" style="15" customWidth="1" outlineLevel="1"/>
    <col min="51" max="51" width="22.1796875" style="7" customWidth="1" outlineLevel="1"/>
    <col min="52" max="53" width="15.54296875" style="7" customWidth="1" outlineLevel="1"/>
    <col min="54" max="54" width="18" style="7" customWidth="1" outlineLevel="1"/>
    <col min="55" max="55" width="26.81640625" style="7" customWidth="1" outlineLevel="1"/>
    <col min="56" max="56" width="23.54296875" style="7" customWidth="1" outlineLevel="1"/>
    <col min="57" max="57" width="21.453125" style="7" customWidth="1" outlineLevel="1"/>
    <col min="58" max="58" width="25.453125" style="7" customWidth="1"/>
    <col min="59" max="59" width="10.1796875" style="7" customWidth="1"/>
    <col min="60" max="60" width="28.81640625" style="7" customWidth="1"/>
    <col min="61" max="61" width="27.1796875" style="7" customWidth="1"/>
    <col min="62" max="62" width="21.1796875" style="84" customWidth="1"/>
    <col min="63" max="66" width="21.54296875" style="84" customWidth="1"/>
    <col min="67" max="67" width="20.54296875" style="84" customWidth="1" outlineLevel="1"/>
    <col min="68" max="68" width="18.453125" style="84" customWidth="1" outlineLevel="1"/>
    <col min="69" max="69" width="21.81640625" style="84" customWidth="1" outlineLevel="1"/>
    <col min="70" max="70" width="18.453125" style="531" customWidth="1" outlineLevel="1"/>
    <col min="71" max="71" width="45.453125" style="84" customWidth="1" outlineLevel="1"/>
    <col min="72" max="72" width="30.453125" style="84" customWidth="1" outlineLevel="1"/>
    <col min="73" max="73" width="70" style="84" customWidth="1" outlineLevel="1"/>
    <col min="74" max="74" width="50.453125" style="84" customWidth="1" outlineLevel="1"/>
    <col min="75" max="75" width="29" style="84" customWidth="1" outlineLevel="1"/>
    <col min="76" max="76" width="21.453125" style="84" customWidth="1" outlineLevel="1"/>
    <col min="77" max="77" width="40.1796875" style="84" customWidth="1" outlineLevel="1"/>
    <col min="78" max="78" width="44.54296875" style="84" customWidth="1" outlineLevel="1"/>
    <col min="79" max="79" width="23.81640625" style="84" customWidth="1" outlineLevel="1"/>
    <col min="80" max="80" width="27.81640625" style="7" customWidth="1" outlineLevel="1"/>
    <col min="81" max="81" width="23.81640625" style="303" customWidth="1" outlineLevel="1"/>
    <col min="82" max="82" width="24.1796875" style="303" customWidth="1" outlineLevel="1"/>
    <col min="83" max="83" width="23.81640625" style="16" customWidth="1" outlineLevel="1"/>
    <col min="84" max="84" width="61.81640625" style="7" customWidth="1" outlineLevel="1"/>
    <col min="85" max="85" width="53.81640625" style="303" customWidth="1" outlineLevel="1"/>
    <col min="86" max="86" width="26" style="7" customWidth="1" outlineLevel="1"/>
    <col min="87" max="87" width="23.81640625" style="303" customWidth="1" outlineLevel="1"/>
    <col min="88" max="88" width="24.453125" style="7" customWidth="1" outlineLevel="1"/>
    <col min="89" max="90" width="23.81640625" style="7" customWidth="1" outlineLevel="1"/>
    <col min="91" max="91" width="24.1796875" style="7" customWidth="1" outlineLevel="1"/>
    <col min="92" max="92" width="23.81640625" style="7" customWidth="1" outlineLevel="1"/>
    <col min="93" max="93" width="23.81640625" style="303" customWidth="1" outlineLevel="1"/>
    <col min="94" max="94" width="24.1796875" style="303" customWidth="1" outlineLevel="1"/>
    <col min="95" max="95" width="23.81640625" style="7" customWidth="1" outlineLevel="1"/>
    <col min="96" max="96" width="43.81640625" style="7" customWidth="1" outlineLevel="1"/>
    <col min="97" max="97" width="23.81640625" style="303" customWidth="1" outlineLevel="1"/>
    <col min="98" max="98" width="47.81640625" style="303" customWidth="1"/>
    <col min="99" max="99" width="49.1796875" style="303" customWidth="1"/>
    <col min="100" max="100" width="23.81640625" style="7" customWidth="1"/>
    <col min="101" max="101" width="8.984375E-2" style="303" customWidth="1"/>
    <col min="102" max="102" width="23.81640625" style="7" customWidth="1"/>
    <col min="103" max="103" width="27.1796875" style="7" customWidth="1"/>
    <col min="104" max="104" width="30.1796875" style="7" customWidth="1"/>
    <col min="105" max="105" width="14.81640625" style="7" customWidth="1"/>
    <col min="106" max="106" width="27.1796875" style="115" customWidth="1"/>
    <col min="107" max="107" width="25.453125" style="7" customWidth="1"/>
    <col min="108" max="108" width="31.81640625" style="303" customWidth="1"/>
    <col min="109" max="109" width="31.1796875" style="303" customWidth="1"/>
    <col min="110" max="110" width="30.81640625" style="16" customWidth="1"/>
    <col min="111" max="112" width="30.81640625" style="303" customWidth="1"/>
    <col min="113" max="113" width="30.81640625" style="7" customWidth="1"/>
    <col min="114" max="115" width="30.81640625" style="303" customWidth="1"/>
    <col min="116" max="116" width="30.81640625" style="7" customWidth="1"/>
    <col min="117" max="118" width="30.81640625" style="303" customWidth="1"/>
    <col min="119" max="119" width="30.81640625" style="7" customWidth="1"/>
    <col min="120" max="121" width="30.81640625" style="303" customWidth="1"/>
    <col min="122" max="122" width="30.81640625" style="7" customWidth="1"/>
    <col min="123" max="124" width="30.81640625" style="303" customWidth="1"/>
    <col min="125" max="125" width="30.81640625" style="7" customWidth="1"/>
    <col min="126" max="126" width="30.81640625" style="307" customWidth="1"/>
    <col min="127" max="127" width="36.453125" style="307" customWidth="1"/>
    <col min="128" max="128" width="14.81640625" style="9" customWidth="1"/>
    <col min="129" max="129" width="27.1796875" style="307" customWidth="1"/>
    <col min="130" max="130" width="25" style="307" customWidth="1"/>
    <col min="131" max="131" width="27.1796875" style="307" customWidth="1"/>
    <col min="132" max="132" width="48.1796875" style="7" customWidth="1"/>
    <col min="133" max="133" width="32.54296875" style="7" customWidth="1"/>
    <col min="134" max="134" width="27.81640625" style="7" customWidth="1"/>
    <col min="135" max="135" width="29.1796875" style="84" customWidth="1"/>
    <col min="136" max="136" width="31.81640625" style="7" customWidth="1"/>
    <col min="137" max="137" width="17.81640625" style="7" customWidth="1"/>
    <col min="138" max="138" width="26.1796875" style="7" customWidth="1"/>
    <col min="139" max="139" width="27.81640625" style="7" customWidth="1"/>
    <col min="140" max="140" width="17.1796875" style="7" customWidth="1"/>
    <col min="141" max="141" width="36" style="7" customWidth="1"/>
    <col min="142" max="142" width="36.81640625" style="7" customWidth="1"/>
    <col min="143" max="143" width="35" style="173" customWidth="1"/>
    <col min="144" max="144" width="24.54296875" style="7" customWidth="1"/>
    <col min="145" max="145" width="16.54296875" style="7" customWidth="1"/>
    <col min="146" max="146" width="18.81640625" style="7" customWidth="1"/>
    <col min="147" max="147" width="19" style="7" customWidth="1"/>
    <col min="148" max="148" width="19" style="303" customWidth="1"/>
    <col min="149" max="149" width="19" style="115" customWidth="1"/>
    <col min="150" max="150" width="40.81640625" style="319" customWidth="1"/>
    <col min="151" max="151" width="35.54296875" style="319" customWidth="1"/>
    <col min="152" max="152" width="36.54296875" style="319" customWidth="1"/>
    <col min="153" max="153" width="32.54296875" style="319" customWidth="1"/>
    <col min="154" max="154" width="77.81640625" style="319" customWidth="1"/>
    <col min="155" max="155" width="30.81640625" style="319" customWidth="1"/>
    <col min="156" max="156" width="30.81640625" style="9" customWidth="1"/>
    <col min="157" max="157" width="29.81640625" style="9" customWidth="1"/>
    <col min="158" max="158" width="48.453125" style="463" customWidth="1"/>
    <col min="159" max="160" width="57" style="9" customWidth="1"/>
    <col min="161" max="163" width="9.453125" style="7" customWidth="1" outlineLevel="1"/>
    <col min="164" max="164" width="13.1796875" style="7" customWidth="1" outlineLevel="1"/>
    <col min="165" max="165" width="30.81640625" style="7" customWidth="1" outlineLevel="1"/>
    <col min="166" max="166" width="19.453125" style="7" customWidth="1" outlineLevel="1"/>
    <col min="167" max="168" width="14" style="7" customWidth="1" outlineLevel="1"/>
    <col min="169" max="169" width="23.81640625" style="7" customWidth="1" outlineLevel="1"/>
    <col min="170" max="170" width="25.453125" style="7" customWidth="1"/>
    <col min="171" max="171" width="36.81640625" style="7" customWidth="1"/>
    <col min="172" max="172" width="30.54296875" style="7" customWidth="1"/>
    <col min="173" max="173" width="21.81640625" style="7" customWidth="1"/>
    <col min="174" max="174" width="25.81640625" style="7" customWidth="1"/>
    <col min="175" max="175" width="26.81640625" style="7" customWidth="1"/>
    <col min="176" max="176" width="16.81640625" style="7" customWidth="1"/>
    <col min="177" max="177" width="21" style="7" customWidth="1"/>
    <col min="178" max="178" width="21.1796875" style="7" customWidth="1"/>
    <col min="179" max="179" width="12.1796875" style="7" customWidth="1"/>
    <col min="180" max="180" width="27.1796875" style="7" customWidth="1"/>
    <col min="181" max="181" width="25.453125" style="7" customWidth="1"/>
    <col min="182" max="182" width="12.1796875" style="7" customWidth="1"/>
    <col min="183" max="183" width="27" style="333" customWidth="1" outlineLevel="1"/>
    <col min="184" max="184" width="22.81640625" style="16" customWidth="1" outlineLevel="1"/>
    <col min="185" max="185" width="21.81640625" style="7" customWidth="1" outlineLevel="1"/>
    <col min="186" max="186" width="29.54296875" style="16" customWidth="1" outlineLevel="1"/>
    <col min="187" max="187" width="12.81640625" style="7" hidden="1" customWidth="1" outlineLevel="1"/>
    <col min="188" max="188" width="12" style="7" hidden="1" customWidth="1" outlineLevel="1"/>
    <col min="189" max="189" width="29.54296875" style="16" customWidth="1" outlineLevel="1"/>
    <col min="190" max="190" width="28.1796875" style="7" customWidth="1" outlineLevel="1"/>
    <col min="191" max="191" width="10.81640625" style="7" hidden="1" customWidth="1" outlineLevel="1"/>
    <col min="192" max="192" width="29.54296875" style="16" customWidth="1" outlineLevel="1"/>
    <col min="193" max="193" width="22.1796875" style="7" customWidth="1" outlineLevel="1"/>
    <col min="194" max="194" width="16.1796875" style="7" customWidth="1" outlineLevel="1"/>
    <col min="195" max="195" width="18.1796875" style="7" customWidth="1" outlineLevel="1"/>
    <col min="196" max="196" width="10" style="347" hidden="1" customWidth="1" outlineLevel="1"/>
    <col min="197" max="197" width="25" style="7" customWidth="1" outlineLevel="1"/>
    <col min="198" max="198" width="24.54296875" style="30" bestFit="1" customWidth="1" outlineLevel="1"/>
    <col min="199" max="199" width="18.1796875" style="30" customWidth="1" outlineLevel="1"/>
    <col min="200" max="200" width="17.1796875" style="30" customWidth="1" outlineLevel="1"/>
    <col min="201" max="201" width="15.1796875" style="30" customWidth="1" outlineLevel="1"/>
    <col min="202" max="202" width="16.1796875" style="30" customWidth="1" outlineLevel="1"/>
    <col min="203" max="203" width="23.81640625" style="30" customWidth="1" outlineLevel="1"/>
    <col min="204" max="204" width="17.453125" style="30" hidden="1" customWidth="1" outlineLevel="1"/>
    <col min="205" max="205" width="17.1796875" style="30" hidden="1" customWidth="1" outlineLevel="1"/>
    <col min="206" max="206" width="15" style="7" hidden="1" customWidth="1" outlineLevel="1"/>
    <col min="207" max="207" width="18" style="7" hidden="1" customWidth="1" outlineLevel="1"/>
    <col min="208" max="208" width="15.54296875" style="7" hidden="1" customWidth="1" outlineLevel="1"/>
    <col min="209" max="209" width="13.1796875" style="7" hidden="1" customWidth="1" outlineLevel="1"/>
    <col min="210" max="212" width="15.54296875" style="7" hidden="1" customWidth="1" outlineLevel="1"/>
    <col min="213" max="213" width="24.81640625" style="7" hidden="1" customWidth="1" outlineLevel="1"/>
    <col min="214" max="214" width="32.1796875" style="16" customWidth="1" outlineLevel="1"/>
    <col min="215" max="215" width="27.81640625" style="16" hidden="1" customWidth="1" outlineLevel="1"/>
    <col min="216" max="216" width="25.453125" style="7" hidden="1" customWidth="1" outlineLevel="1"/>
    <col min="217" max="217" width="24.81640625" style="7" hidden="1" customWidth="1" outlineLevel="1"/>
    <col min="218" max="219" width="43.54296875" style="7" hidden="1" customWidth="1" outlineLevel="1"/>
    <col min="220" max="220" width="31.54296875" style="7" hidden="1" customWidth="1" outlineLevel="1"/>
    <col min="221" max="221" width="31.81640625" style="7" hidden="1" customWidth="1" outlineLevel="1"/>
    <col min="222" max="222" width="27.81640625" style="7" hidden="1" customWidth="1" outlineLevel="1"/>
    <col min="223" max="223" width="44.1796875" style="7" hidden="1" customWidth="1" outlineLevel="1"/>
    <col min="224" max="227" width="28" style="7" customWidth="1" outlineLevel="1"/>
    <col min="228" max="228" width="28" style="30" customWidth="1" outlineLevel="1"/>
    <col min="229" max="229" width="47.1796875" style="30" customWidth="1" outlineLevel="1"/>
    <col min="230" max="240" width="28" style="30" customWidth="1" outlineLevel="1"/>
    <col min="241" max="242" width="28" style="7" customWidth="1" outlineLevel="1"/>
    <col min="243" max="243" width="15.81640625" bestFit="1" customWidth="1"/>
    <col min="254" max="255" width="28" style="7" customWidth="1" outlineLevel="1"/>
    <col min="256" max="256" width="28" style="30" customWidth="1" outlineLevel="1"/>
    <col min="257" max="16384" width="11.453125" style="9"/>
  </cols>
  <sheetData>
    <row r="1" spans="1:256" s="272" customFormat="1" ht="57.75" customHeight="1">
      <c r="A1" s="243" t="s">
        <v>0</v>
      </c>
      <c r="B1" s="243" t="s">
        <v>1</v>
      </c>
      <c r="C1" s="243" t="s">
        <v>85</v>
      </c>
      <c r="D1" s="243" t="s">
        <v>53</v>
      </c>
      <c r="E1" s="243" t="s">
        <v>2</v>
      </c>
      <c r="F1" s="244" t="s">
        <v>6</v>
      </c>
      <c r="G1" s="244" t="s">
        <v>235</v>
      </c>
      <c r="H1" s="244" t="s">
        <v>922</v>
      </c>
      <c r="I1" s="244" t="s">
        <v>230</v>
      </c>
      <c r="J1" s="244" t="s">
        <v>231</v>
      </c>
      <c r="K1" s="245" t="s">
        <v>11</v>
      </c>
      <c r="L1" s="246" t="s">
        <v>41</v>
      </c>
      <c r="M1" s="246" t="s">
        <v>7</v>
      </c>
      <c r="N1" s="246" t="s">
        <v>8</v>
      </c>
      <c r="O1" s="245" t="s">
        <v>143</v>
      </c>
      <c r="P1" s="245" t="s">
        <v>166</v>
      </c>
      <c r="Q1" s="245" t="s">
        <v>165</v>
      </c>
      <c r="R1" s="245" t="s">
        <v>192</v>
      </c>
      <c r="S1" s="245" t="s">
        <v>168</v>
      </c>
      <c r="T1" s="245" t="s">
        <v>167</v>
      </c>
      <c r="U1" s="245" t="s">
        <v>157</v>
      </c>
      <c r="V1" s="245" t="s">
        <v>177</v>
      </c>
      <c r="W1" s="245" t="s">
        <v>174</v>
      </c>
      <c r="X1" s="245" t="s">
        <v>145</v>
      </c>
      <c r="Y1" s="245" t="s">
        <v>655</v>
      </c>
      <c r="Z1" s="245" t="s">
        <v>141</v>
      </c>
      <c r="AA1" s="245" t="s">
        <v>90</v>
      </c>
      <c r="AB1" s="245" t="s">
        <v>91</v>
      </c>
      <c r="AC1" s="243" t="s">
        <v>98</v>
      </c>
      <c r="AD1" s="425" t="s">
        <v>3</v>
      </c>
      <c r="AE1" s="425" t="s">
        <v>589</v>
      </c>
      <c r="AF1" s="243" t="s">
        <v>9</v>
      </c>
      <c r="AG1" s="243" t="s">
        <v>10</v>
      </c>
      <c r="AH1" s="244" t="s">
        <v>293</v>
      </c>
      <c r="AI1" s="244" t="s">
        <v>444</v>
      </c>
      <c r="AJ1" s="439" t="s">
        <v>729</v>
      </c>
      <c r="AK1" s="247" t="s">
        <v>99</v>
      </c>
      <c r="AL1" s="244" t="s">
        <v>732</v>
      </c>
      <c r="AM1" s="243" t="s">
        <v>92</v>
      </c>
      <c r="AN1" s="244" t="s">
        <v>891</v>
      </c>
      <c r="AO1" s="244" t="s">
        <v>892</v>
      </c>
      <c r="AP1" s="244" t="s">
        <v>728</v>
      </c>
      <c r="AQ1" s="244" t="s">
        <v>169</v>
      </c>
      <c r="AR1" s="244" t="s">
        <v>170</v>
      </c>
      <c r="AS1" s="244" t="s">
        <v>171</v>
      </c>
      <c r="AT1" s="244" t="s">
        <v>172</v>
      </c>
      <c r="AU1" s="244" t="s">
        <v>173</v>
      </c>
      <c r="AV1" s="243" t="s">
        <v>121</v>
      </c>
      <c r="AW1" s="248" t="s">
        <v>144</v>
      </c>
      <c r="AX1" s="249" t="s">
        <v>164</v>
      </c>
      <c r="AY1" s="244" t="s">
        <v>146</v>
      </c>
      <c r="AZ1" s="244" t="s">
        <v>384</v>
      </c>
      <c r="BA1" s="243" t="s">
        <v>93</v>
      </c>
      <c r="BB1" s="374" t="s">
        <v>557</v>
      </c>
      <c r="BC1" s="374" t="s">
        <v>689</v>
      </c>
      <c r="BD1" s="374" t="s">
        <v>593</v>
      </c>
      <c r="BE1" s="374" t="s">
        <v>703</v>
      </c>
      <c r="BF1" s="250" t="s">
        <v>215</v>
      </c>
      <c r="BG1" s="250" t="s">
        <v>842</v>
      </c>
      <c r="BH1" s="250" t="s">
        <v>772</v>
      </c>
      <c r="BI1" s="250" t="s">
        <v>773</v>
      </c>
      <c r="BJ1" s="251" t="s">
        <v>769</v>
      </c>
      <c r="BK1" s="251" t="s">
        <v>4</v>
      </c>
      <c r="BL1" s="252" t="s">
        <v>221</v>
      </c>
      <c r="BM1" s="252" t="s">
        <v>768</v>
      </c>
      <c r="BN1" s="489" t="s">
        <v>727</v>
      </c>
      <c r="BO1" s="253" t="s">
        <v>115</v>
      </c>
      <c r="BP1" s="254" t="s">
        <v>131</v>
      </c>
      <c r="BQ1" s="535" t="s">
        <v>764</v>
      </c>
      <c r="BR1" s="527" t="s">
        <v>745</v>
      </c>
      <c r="BS1" s="255" t="s">
        <v>664</v>
      </c>
      <c r="BT1" s="255" t="s">
        <v>679</v>
      </c>
      <c r="BU1" s="256" t="s">
        <v>663</v>
      </c>
      <c r="BV1" s="256" t="s">
        <v>934</v>
      </c>
      <c r="BW1" s="256" t="s">
        <v>554</v>
      </c>
      <c r="BX1" s="256" t="s">
        <v>364</v>
      </c>
      <c r="BY1" s="256" t="s">
        <v>553</v>
      </c>
      <c r="BZ1" s="256" t="s">
        <v>555</v>
      </c>
      <c r="CA1" s="256" t="s">
        <v>680</v>
      </c>
      <c r="CB1" s="364" t="s">
        <v>454</v>
      </c>
      <c r="CC1" s="365" t="s">
        <v>461</v>
      </c>
      <c r="CD1" s="366" t="s">
        <v>462</v>
      </c>
      <c r="CE1" s="367" t="s">
        <v>463</v>
      </c>
      <c r="CF1" s="368" t="s">
        <v>455</v>
      </c>
      <c r="CG1" s="366" t="s">
        <v>456</v>
      </c>
      <c r="CH1" s="364" t="s">
        <v>457</v>
      </c>
      <c r="CI1" s="365" t="s">
        <v>458</v>
      </c>
      <c r="CJ1" s="364" t="s">
        <v>459</v>
      </c>
      <c r="CK1" s="364" t="s">
        <v>460</v>
      </c>
      <c r="CL1" s="269" t="s">
        <v>464</v>
      </c>
      <c r="CM1" s="268" t="s">
        <v>465</v>
      </c>
      <c r="CN1" s="268" t="s">
        <v>901</v>
      </c>
      <c r="CO1" s="465" t="s">
        <v>466</v>
      </c>
      <c r="CP1" s="466" t="s">
        <v>467</v>
      </c>
      <c r="CQ1" s="268" t="s">
        <v>902</v>
      </c>
      <c r="CR1" s="386" t="s">
        <v>453</v>
      </c>
      <c r="CS1" s="386" t="s">
        <v>5</v>
      </c>
      <c r="CT1" s="369" t="s">
        <v>468</v>
      </c>
      <c r="CU1" s="370" t="s">
        <v>469</v>
      </c>
      <c r="CV1" s="371" t="s">
        <v>903</v>
      </c>
      <c r="CW1" s="369" t="s">
        <v>470</v>
      </c>
      <c r="CX1" s="419" t="s">
        <v>203</v>
      </c>
      <c r="CY1" s="258" t="s">
        <v>447</v>
      </c>
      <c r="CZ1" s="258" t="s">
        <v>446</v>
      </c>
      <c r="DA1" s="371" t="s">
        <v>471</v>
      </c>
      <c r="DB1" s="259" t="s">
        <v>244</v>
      </c>
      <c r="DC1" s="257" t="s">
        <v>243</v>
      </c>
      <c r="DD1" s="305" t="s">
        <v>472</v>
      </c>
      <c r="DE1" s="304" t="s">
        <v>473</v>
      </c>
      <c r="DF1" s="270" t="s">
        <v>904</v>
      </c>
      <c r="DG1" s="305" t="s">
        <v>474</v>
      </c>
      <c r="DH1" s="304" t="s">
        <v>475</v>
      </c>
      <c r="DI1" s="270" t="s">
        <v>905</v>
      </c>
      <c r="DJ1" s="305" t="s">
        <v>476</v>
      </c>
      <c r="DK1" s="304" t="s">
        <v>477</v>
      </c>
      <c r="DL1" s="270" t="s">
        <v>906</v>
      </c>
      <c r="DM1" s="305" t="s">
        <v>733</v>
      </c>
      <c r="DN1" s="304" t="s">
        <v>734</v>
      </c>
      <c r="DO1" s="270" t="s">
        <v>907</v>
      </c>
      <c r="DP1" s="305" t="s">
        <v>735</v>
      </c>
      <c r="DQ1" s="304" t="s">
        <v>736</v>
      </c>
      <c r="DR1" s="270" t="s">
        <v>908</v>
      </c>
      <c r="DS1" s="305" t="s">
        <v>478</v>
      </c>
      <c r="DT1" s="304" t="s">
        <v>479</v>
      </c>
      <c r="DU1" s="270" t="s">
        <v>909</v>
      </c>
      <c r="DV1" s="305" t="s">
        <v>480</v>
      </c>
      <c r="DW1" s="304" t="s">
        <v>481</v>
      </c>
      <c r="DX1" s="270" t="s">
        <v>910</v>
      </c>
      <c r="DY1" s="304" t="s">
        <v>482</v>
      </c>
      <c r="DZ1" s="304" t="s">
        <v>483</v>
      </c>
      <c r="EA1" s="304" t="s">
        <v>484</v>
      </c>
      <c r="EB1" s="304" t="s">
        <v>531</v>
      </c>
      <c r="EC1" s="422" t="s">
        <v>564</v>
      </c>
      <c r="ED1" s="407" t="s">
        <v>565</v>
      </c>
      <c r="EE1" s="504" t="s">
        <v>740</v>
      </c>
      <c r="EF1" s="257" t="s">
        <v>719</v>
      </c>
      <c r="EG1" s="257" t="s">
        <v>217</v>
      </c>
      <c r="EH1" s="257" t="s">
        <v>238</v>
      </c>
      <c r="EI1" s="257" t="s">
        <v>534</v>
      </c>
      <c r="EJ1" s="453" t="s">
        <v>575</v>
      </c>
      <c r="EK1" s="454" t="s">
        <v>560</v>
      </c>
      <c r="EL1" s="421" t="s">
        <v>561</v>
      </c>
      <c r="EM1" s="258" t="s">
        <v>377</v>
      </c>
      <c r="EN1" s="403" t="s">
        <v>562</v>
      </c>
      <c r="EO1" s="258" t="s">
        <v>237</v>
      </c>
      <c r="EP1" s="257" t="s">
        <v>245</v>
      </c>
      <c r="EQ1" s="257" t="s">
        <v>284</v>
      </c>
      <c r="ER1" s="746" t="s">
        <v>380</v>
      </c>
      <c r="ES1" s="736" t="s">
        <v>530</v>
      </c>
      <c r="ET1" s="318" t="s">
        <v>485</v>
      </c>
      <c r="EU1" s="318" t="s">
        <v>486</v>
      </c>
      <c r="EV1" s="318" t="s">
        <v>378</v>
      </c>
      <c r="EW1" s="318" t="s">
        <v>529</v>
      </c>
      <c r="EX1" s="318" t="s">
        <v>572</v>
      </c>
      <c r="EY1" s="318" t="s">
        <v>573</v>
      </c>
      <c r="EZ1" s="271" t="s">
        <v>487</v>
      </c>
      <c r="FA1" s="271" t="s">
        <v>271</v>
      </c>
      <c r="FB1" s="271" t="s">
        <v>659</v>
      </c>
      <c r="FC1" s="271" t="s">
        <v>488</v>
      </c>
      <c r="FD1" s="257" t="s">
        <v>782</v>
      </c>
      <c r="FE1" s="257" t="s">
        <v>234</v>
      </c>
      <c r="FF1" s="257" t="s">
        <v>397</v>
      </c>
      <c r="FG1" s="257" t="s">
        <v>224</v>
      </c>
      <c r="FH1" s="257" t="s">
        <v>228</v>
      </c>
      <c r="FI1" s="257" t="s">
        <v>236</v>
      </c>
      <c r="FJ1" s="257" t="s">
        <v>216</v>
      </c>
      <c r="FK1" s="257" t="s">
        <v>204</v>
      </c>
      <c r="FL1" s="257" t="s">
        <v>929</v>
      </c>
      <c r="FM1" s="260" t="s">
        <v>558</v>
      </c>
      <c r="FN1" s="260" t="s">
        <v>205</v>
      </c>
      <c r="FO1" s="260" t="s">
        <v>206</v>
      </c>
      <c r="FP1" s="260" t="s">
        <v>672</v>
      </c>
      <c r="FQ1" s="260" t="s">
        <v>207</v>
      </c>
      <c r="FR1" s="260" t="s">
        <v>208</v>
      </c>
      <c r="FS1" s="260" t="s">
        <v>545</v>
      </c>
      <c r="FT1" s="260" t="s">
        <v>218</v>
      </c>
      <c r="FU1" s="260" t="s">
        <v>415</v>
      </c>
      <c r="FV1" s="261" t="s">
        <v>533</v>
      </c>
      <c r="FW1" s="260" t="s">
        <v>365</v>
      </c>
      <c r="FX1" s="260" t="s">
        <v>411</v>
      </c>
      <c r="FY1" s="260" t="s">
        <v>226</v>
      </c>
      <c r="FZ1" s="260" t="s">
        <v>259</v>
      </c>
      <c r="GA1" s="331" t="s">
        <v>532</v>
      </c>
      <c r="GB1" s="262" t="s">
        <v>760</v>
      </c>
      <c r="GC1" s="643" t="s">
        <v>813</v>
      </c>
      <c r="GD1" s="502" t="s">
        <v>738</v>
      </c>
      <c r="GE1" s="263" t="s">
        <v>52</v>
      </c>
      <c r="GF1" s="263" t="s">
        <v>102</v>
      </c>
      <c r="GG1" s="502" t="s">
        <v>678</v>
      </c>
      <c r="GH1" s="350" t="s">
        <v>539</v>
      </c>
      <c r="GI1" s="348" t="s">
        <v>103</v>
      </c>
      <c r="GJ1" s="502" t="s">
        <v>912</v>
      </c>
      <c r="GK1" s="262" t="s">
        <v>73</v>
      </c>
      <c r="GL1" s="262" t="s">
        <v>928</v>
      </c>
      <c r="GM1" s="262" t="s">
        <v>12</v>
      </c>
      <c r="GN1" s="344" t="s">
        <v>104</v>
      </c>
      <c r="GO1" s="262" t="s">
        <v>599</v>
      </c>
      <c r="GP1" s="264" t="s">
        <v>156</v>
      </c>
      <c r="GQ1" s="266" t="s">
        <v>154</v>
      </c>
      <c r="GR1" s="264" t="s">
        <v>128</v>
      </c>
      <c r="GS1" s="262" t="s">
        <v>759</v>
      </c>
      <c r="GT1" s="433" t="s">
        <v>755</v>
      </c>
      <c r="GU1" s="264" t="s">
        <v>122</v>
      </c>
      <c r="GV1" s="265" t="s">
        <v>74</v>
      </c>
      <c r="GW1" s="267" t="s">
        <v>175</v>
      </c>
      <c r="GX1" s="565" t="s">
        <v>119</v>
      </c>
      <c r="GY1" s="565" t="s">
        <v>96</v>
      </c>
      <c r="GZ1" s="565" t="s">
        <v>97</v>
      </c>
      <c r="HA1" s="565" t="s">
        <v>105</v>
      </c>
      <c r="HB1" s="565" t="s">
        <v>107</v>
      </c>
      <c r="HC1" s="566" t="s">
        <v>140</v>
      </c>
      <c r="HD1" s="565" t="s">
        <v>130</v>
      </c>
      <c r="HE1" s="565" t="s">
        <v>106</v>
      </c>
      <c r="HF1" s="502" t="s">
        <v>109</v>
      </c>
      <c r="HG1" s="631" t="s">
        <v>737</v>
      </c>
      <c r="HH1" s="631" t="s">
        <v>923</v>
      </c>
      <c r="HI1" s="631" t="s">
        <v>741</v>
      </c>
      <c r="HJ1" s="632" t="s">
        <v>911</v>
      </c>
      <c r="HK1" s="631" t="s">
        <v>924</v>
      </c>
      <c r="HL1" s="631" t="s">
        <v>739</v>
      </c>
      <c r="HM1" s="631" t="s">
        <v>742</v>
      </c>
      <c r="HN1" s="631" t="s">
        <v>925</v>
      </c>
      <c r="HO1" s="631" t="s">
        <v>746</v>
      </c>
      <c r="HP1" s="562" t="s">
        <v>658</v>
      </c>
      <c r="HQ1" s="562" t="s">
        <v>809</v>
      </c>
      <c r="HR1" s="562" t="s">
        <v>940</v>
      </c>
      <c r="HS1" s="562" t="s">
        <v>941</v>
      </c>
      <c r="HT1" s="564" t="s">
        <v>810</v>
      </c>
      <c r="HU1" s="564" t="s">
        <v>811</v>
      </c>
      <c r="HV1" s="564" t="s">
        <v>952</v>
      </c>
      <c r="HW1" s="564" t="s">
        <v>947</v>
      </c>
      <c r="HX1" s="564" t="s">
        <v>948</v>
      </c>
      <c r="HY1" s="564" t="s">
        <v>949</v>
      </c>
      <c r="HZ1" s="564" t="s">
        <v>943</v>
      </c>
      <c r="IA1" s="564" t="s">
        <v>944</v>
      </c>
      <c r="IB1" s="564" t="s">
        <v>945</v>
      </c>
      <c r="IC1" s="564" t="s">
        <v>946</v>
      </c>
      <c r="ID1" s="564" t="s">
        <v>950</v>
      </c>
      <c r="IE1" s="564" t="s">
        <v>951</v>
      </c>
      <c r="IF1" s="564" t="s">
        <v>953</v>
      </c>
      <c r="IG1" s="562" t="s">
        <v>270</v>
      </c>
      <c r="IH1" s="562" t="s">
        <v>942</v>
      </c>
      <c r="II1" s="562" t="s">
        <v>812</v>
      </c>
      <c r="IJ1" s="653" t="s">
        <v>917</v>
      </c>
    </row>
    <row r="2" spans="1:256" ht="20.149999999999999" customHeight="1">
      <c r="A2" s="594" t="s">
        <v>648</v>
      </c>
      <c r="B2" s="2" t="s">
        <v>76</v>
      </c>
      <c r="C2" s="2" t="s">
        <v>88</v>
      </c>
      <c r="D2" s="2">
        <v>2017</v>
      </c>
      <c r="E2" s="2" t="s">
        <v>381</v>
      </c>
      <c r="F2" s="2" t="s">
        <v>870</v>
      </c>
      <c r="G2" s="2" t="s">
        <v>329</v>
      </c>
      <c r="H2" s="2" t="s">
        <v>133</v>
      </c>
      <c r="I2" s="22"/>
      <c r="J2" s="22" t="s">
        <v>294</v>
      </c>
      <c r="K2" s="134"/>
      <c r="L2" s="78"/>
      <c r="M2" s="51"/>
      <c r="N2" s="52"/>
      <c r="O2" s="103">
        <v>3474</v>
      </c>
      <c r="P2" s="103">
        <v>1</v>
      </c>
      <c r="Q2" s="103"/>
      <c r="R2" s="103">
        <f>P2/AD2</f>
        <v>5.0000000000000001E-3</v>
      </c>
      <c r="S2" s="103">
        <f t="shared" ref="S2" si="0">P2/O2</f>
        <v>2.878526194588371E-4</v>
      </c>
      <c r="T2" s="109">
        <f t="shared" ref="T2" si="1">Q2/O2</f>
        <v>0</v>
      </c>
      <c r="U2" s="109">
        <f>Q2/AK2</f>
        <v>0</v>
      </c>
      <c r="V2" s="109">
        <f>Q2/AD2</f>
        <v>0</v>
      </c>
      <c r="W2" s="103">
        <f>O2/AD2</f>
        <v>17.37</v>
      </c>
      <c r="X2" s="104"/>
      <c r="Y2" s="444">
        <f t="shared" ref="Y2" si="2">10000*AD2/O2</f>
        <v>575.70523891767414</v>
      </c>
      <c r="Z2" s="104"/>
      <c r="AA2" s="106">
        <v>70</v>
      </c>
      <c r="AB2" s="107"/>
      <c r="AC2" s="2" t="s">
        <v>293</v>
      </c>
      <c r="AD2" s="426">
        <f t="shared" ref="AD2" si="3">SUM(AF2:AI2)</f>
        <v>200</v>
      </c>
      <c r="AE2" s="426">
        <f t="shared" ref="AE2" si="4">AD2-AI2</f>
        <v>200</v>
      </c>
      <c r="AF2" s="3"/>
      <c r="AG2" s="21"/>
      <c r="AH2" s="22">
        <v>200</v>
      </c>
      <c r="AI2" s="32"/>
      <c r="AJ2" s="614">
        <v>3391.22</v>
      </c>
      <c r="AK2" s="225">
        <v>4050.95</v>
      </c>
      <c r="AL2" s="492">
        <f t="shared" ref="AL2" si="5">AJ2/AD2</f>
        <v>16.956099999999999</v>
      </c>
      <c r="AM2" s="4">
        <f t="shared" ref="AM2" si="6">AK2/AD2</f>
        <v>20.254749999999998</v>
      </c>
      <c r="AN2" s="26"/>
      <c r="AO2" s="26"/>
      <c r="AP2" s="26"/>
      <c r="AQ2" s="39"/>
      <c r="AR2" s="39"/>
      <c r="AS2" s="39"/>
      <c r="AT2" s="39"/>
      <c r="AU2" s="39"/>
      <c r="AV2" s="4"/>
      <c r="AW2" s="87"/>
      <c r="AX2" s="54"/>
      <c r="AY2" s="26"/>
      <c r="AZ2" s="25" t="s">
        <v>386</v>
      </c>
      <c r="BA2" s="2" t="s">
        <v>94</v>
      </c>
      <c r="BB2" s="28"/>
      <c r="BC2" s="28"/>
      <c r="BD2" s="438">
        <f t="shared" ref="BD2" si="7">BB2/AK2</f>
        <v>0</v>
      </c>
      <c r="BE2" s="438"/>
      <c r="BF2" s="22"/>
      <c r="BG2" s="22"/>
      <c r="BH2" s="22"/>
      <c r="BI2" s="22"/>
      <c r="BJ2" s="548">
        <v>42824</v>
      </c>
      <c r="BK2" s="548">
        <v>43024</v>
      </c>
      <c r="BL2" s="549"/>
      <c r="BM2" s="547">
        <f t="shared" ref="BM2" si="8">(DATEDIF(BJ2,BK2,"d"))/30</f>
        <v>6.666666666666667</v>
      </c>
      <c r="BN2" s="490" t="s">
        <v>229</v>
      </c>
      <c r="BO2" s="76">
        <v>43055</v>
      </c>
      <c r="BP2" s="99">
        <v>43074</v>
      </c>
      <c r="BQ2" s="537">
        <f>(DATEDIF(BO2,BP2,"d"))/30</f>
        <v>0.6333333333333333</v>
      </c>
      <c r="BR2" s="529">
        <v>72311</v>
      </c>
      <c r="BS2" s="77">
        <f>DATE(YEAR(BP2),MONTH(BP2)+3,DAY(BP2))</f>
        <v>43164</v>
      </c>
      <c r="BT2" s="77"/>
      <c r="BU2" s="151">
        <v>43191</v>
      </c>
      <c r="BV2" s="150">
        <f t="shared" ref="BV2" si="9">DATE(YEAR(BU2),MONTH(BU2)+36,DAY(BU2))</f>
        <v>44287</v>
      </c>
      <c r="BW2" s="373">
        <f>122362+216619</f>
        <v>338981</v>
      </c>
      <c r="BX2" s="150" t="str">
        <f>IF(Tableau6[[#This Row],[Montant des loyers perçus avant 1e échéance]]&lt;BW2,"oui","non")</f>
        <v>oui</v>
      </c>
      <c r="BY2" s="475">
        <f>(BV2-EL2)/30</f>
        <v>19.666666666666668</v>
      </c>
      <c r="BZ2" s="373">
        <f>IF((BY2*EO2)&lt;0,"0",BY2*EO2)</f>
        <v>0</v>
      </c>
      <c r="CA2" s="373">
        <f>IF(BW2-BZ2&lt;0,0,Tableau6[[#This Row],[Montant échéance annuelle]]-Tableau6[[#This Row],[Montant des loyers perçus avant 1e échéance]])</f>
        <v>338981</v>
      </c>
      <c r="CB2" s="226"/>
      <c r="CC2" s="64"/>
      <c r="CD2" s="64"/>
      <c r="CE2" s="273" t="str">
        <f t="shared" ref="CE2" si="10">IF(AND(CC2&gt;0,CD2&gt;0),CD2-CC2,"0")</f>
        <v>0</v>
      </c>
      <c r="CF2" s="64"/>
      <c r="CG2" s="64"/>
      <c r="CH2" s="273" t="str">
        <f t="shared" ref="CH2" si="11">IF(AND(CF2&gt;0,CG2&gt;0),CG2-CF2,"0")</f>
        <v>0</v>
      </c>
      <c r="CI2" s="159"/>
      <c r="CJ2" s="159"/>
      <c r="CK2" s="273" t="str">
        <f t="shared" ref="CK2" si="12">IF(AND(CI2&gt;0,CJ2&gt;0),CJ2-CI2,"0")</f>
        <v>0</v>
      </c>
      <c r="CL2" s="64"/>
      <c r="CM2" s="64"/>
      <c r="CN2" s="273" t="str">
        <f t="shared" ref="CN2" si="13">IF(AND(CL2&gt;0,CM2&gt;0),CM2-CL2,"0")</f>
        <v>0</v>
      </c>
      <c r="CO2" s="64"/>
      <c r="CP2" s="64"/>
      <c r="CQ2" s="273" t="str">
        <f t="shared" ref="CQ2" si="14">IF(AND(CO2&gt;0,CP2&gt;0),CP2-CO2,"0")</f>
        <v>0</v>
      </c>
      <c r="CR2" s="237"/>
      <c r="CS2" s="227"/>
      <c r="CT2" s="159"/>
      <c r="CU2" s="64"/>
      <c r="CV2" s="273"/>
      <c r="CW2" s="159"/>
      <c r="CX2" s="229">
        <v>43091</v>
      </c>
      <c r="CY2" s="230">
        <v>2017</v>
      </c>
      <c r="CZ2" s="235">
        <f t="shared" ref="CZ2" si="15">(DATEDIF(BK2,CX2,"d"))/30</f>
        <v>2.2333333333333334</v>
      </c>
      <c r="DA2" s="273" t="str">
        <f t="shared" ref="DA2" si="16">IF(AND(CW2&gt;0,CX2&gt;0),CX2-CW2,"0")</f>
        <v>0</v>
      </c>
      <c r="DB2" s="133">
        <v>18</v>
      </c>
      <c r="DC2" s="59">
        <f t="shared" ref="DC2" si="17">DATEDIF(CX2,EC2,"M")</f>
        <v>19</v>
      </c>
      <c r="DD2" s="226"/>
      <c r="DE2" s="64">
        <v>43167</v>
      </c>
      <c r="DF2" s="273" t="str">
        <f t="shared" ref="DF2" si="18">IF(AND(DD2&gt;0,DE2&gt;0),DE2-DD2,"0")</f>
        <v>0</v>
      </c>
      <c r="DG2" s="787"/>
      <c r="DH2" s="336">
        <v>43251</v>
      </c>
      <c r="DI2" s="276" t="str">
        <f t="shared" ref="DI2" si="19">IF(AND(DG2&gt;0,DH2&gt;0),DH2-DG2,"0")</f>
        <v>0</v>
      </c>
      <c r="DJ2" s="64"/>
      <c r="DK2" s="159">
        <v>43403</v>
      </c>
      <c r="DL2" s="273" t="str">
        <f t="shared" ref="DL2" si="20">IF(AND(DJ2&gt;0,DK2&gt;0),DK2-DJ2,"0")</f>
        <v>0</v>
      </c>
      <c r="DM2" s="64">
        <v>43495</v>
      </c>
      <c r="DN2" s="64">
        <v>43521</v>
      </c>
      <c r="DO2" s="273">
        <f t="shared" ref="DO2" si="21">IF(AND(DM2&gt;0,DN2&gt;0),DN2-DM2,"0")</f>
        <v>26</v>
      </c>
      <c r="DP2" s="56">
        <v>43534</v>
      </c>
      <c r="DQ2" s="64">
        <v>43578</v>
      </c>
      <c r="DR2" s="273">
        <f t="shared" ref="DR2" si="22">IF(AND(DP2&gt;0,DQ2&gt;0),DQ2-DP2,"0")</f>
        <v>44</v>
      </c>
      <c r="DS2" s="159">
        <v>43678</v>
      </c>
      <c r="DT2" s="159">
        <v>43558</v>
      </c>
      <c r="DU2" s="381">
        <f t="shared" ref="DU2" si="23">IF(AND(DS2&gt;0,DT2&gt;0),DT2-DS2,"0")</f>
        <v>-120</v>
      </c>
      <c r="DV2" s="159">
        <v>43678</v>
      </c>
      <c r="DW2" s="159">
        <f ca="1">IF(DV2&lt;TODAY(),TODAY(),DV2)</f>
        <v>43998</v>
      </c>
      <c r="DX2" s="381">
        <f t="shared" ref="DX2" ca="1" si="24">IF(AND(DV2&gt;0,DW2&gt;0),DW2-DV2,"0")</f>
        <v>320</v>
      </c>
      <c r="DY2" s="159"/>
      <c r="DZ2" s="159"/>
      <c r="EA2" s="159"/>
      <c r="EB2" s="327">
        <f t="shared" ref="EB2" si="25">DATE(YEAR(CX2),MONTH(CX2)+DB2,DAY(CX2))</f>
        <v>43638</v>
      </c>
      <c r="EC2" s="183">
        <v>43693</v>
      </c>
      <c r="ED2" s="401">
        <f t="shared" ref="ED2" si="26">(EC2-EB2)/30</f>
        <v>1.8333333333333333</v>
      </c>
      <c r="EE2" s="511">
        <f ca="1">IF(((EC2-TODAY())/30)&lt;0,0,(EC2-TODAY())/30)</f>
        <v>0</v>
      </c>
      <c r="EF2" s="240">
        <f>DATE(YEAR(DH2)+2,MONTH(DH2),DAY(DH2))</f>
        <v>43982</v>
      </c>
      <c r="EG2" s="58"/>
      <c r="EH2" s="58"/>
      <c r="EI2" s="58"/>
      <c r="EJ2" s="240"/>
      <c r="EK2" s="455">
        <f>DATE(YEAR(EB2),MONTH(EB2)+1,DAY(EB2))</f>
        <v>43668</v>
      </c>
      <c r="EL2" s="183">
        <v>43697</v>
      </c>
      <c r="EM2" s="230">
        <v>2019</v>
      </c>
      <c r="EN2" s="430">
        <f t="shared" ref="EN2:EN7" si="27">(DATEDIF(EK2,EL2,"d"))/30</f>
        <v>0.96666666666666667</v>
      </c>
      <c r="EO2" s="395"/>
      <c r="EP2" s="29">
        <f t="shared" ref="EP2" si="28">EO2*EN2</f>
        <v>0</v>
      </c>
      <c r="EQ2" s="60"/>
      <c r="ER2" s="60">
        <v>43693</v>
      </c>
      <c r="ES2" s="742">
        <f>(Tableau6[[#This Row],[Date inauguration recalée]]-ER2)/30</f>
        <v>0.13333333333333333</v>
      </c>
      <c r="ET2" s="300">
        <v>0</v>
      </c>
      <c r="EU2" s="300">
        <v>0</v>
      </c>
      <c r="EV2" s="300"/>
      <c r="EW2" s="300"/>
      <c r="EX2" s="300"/>
      <c r="EY2" s="416">
        <f t="shared" ref="EY2" si="29">EX2/GB2</f>
        <v>0</v>
      </c>
      <c r="EZ2" s="297"/>
      <c r="FA2" s="308"/>
      <c r="FB2" s="545"/>
      <c r="FC2" s="297"/>
      <c r="FD2" s="89">
        <f t="shared" ref="FD2" si="30">DATE(YEAR(DH2),MONTH(DH2)+24,DAY(DH2))</f>
        <v>43982</v>
      </c>
      <c r="FE2" s="63"/>
      <c r="FF2" s="63"/>
      <c r="FG2" s="63"/>
      <c r="FH2" s="63"/>
      <c r="FI2" s="63"/>
      <c r="FJ2" s="22" t="s">
        <v>857</v>
      </c>
      <c r="FK2" s="146">
        <f t="shared" ref="FK2" si="31">DATE(YEAR(EC2)+1,MONTH(EC2),DAY(EC2))</f>
        <v>44059</v>
      </c>
      <c r="FL2" s="146"/>
      <c r="FM2" s="146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451"/>
      <c r="GB2" s="471">
        <f>GD2+GG2+GJ2+HF2+Tableau6[[#This Row],[PRÊT CREDIT D''IMPOT (PM)]]</f>
        <v>15024219.772567019</v>
      </c>
      <c r="GC2" s="644">
        <f t="shared" ref="GC2" si="32">GB2</f>
        <v>15024219.772567019</v>
      </c>
      <c r="GD2" s="507">
        <f t="shared" ref="GD2" si="33">GP2+GQ2+GT2+GU2</f>
        <v>2455688</v>
      </c>
      <c r="GE2" s="20">
        <f t="shared" ref="GE2" si="34">GB2/AK2</f>
        <v>3708.813925762357</v>
      </c>
      <c r="GF2" s="20">
        <f t="shared" ref="GF2" si="35">GB2/AD2</f>
        <v>75121.09886283509</v>
      </c>
      <c r="GG2" s="507">
        <v>3407659.7725670198</v>
      </c>
      <c r="GH2" s="351">
        <v>3306813</v>
      </c>
      <c r="GI2" s="11">
        <f t="shared" ref="GI2" si="36">GG2/AD2</f>
        <v>17038.298862835098</v>
      </c>
      <c r="GJ2" s="507">
        <f t="shared" ref="GJ2" si="37">GK2+GO2+GS2</f>
        <v>5854059</v>
      </c>
      <c r="GK2" s="5">
        <v>5854059</v>
      </c>
      <c r="GL2" s="213"/>
      <c r="GM2" s="213"/>
      <c r="GN2" s="345">
        <f t="shared" ref="GN2" si="38">GK2/AD2</f>
        <v>29270.294999999998</v>
      </c>
      <c r="GO2" s="5"/>
      <c r="GP2" s="5"/>
      <c r="GQ2" s="35"/>
      <c r="GR2" s="18">
        <f t="shared" ref="GR2" si="39">GP2/GB2</f>
        <v>0</v>
      </c>
      <c r="GS2" s="35"/>
      <c r="GT2" s="35">
        <v>1227844</v>
      </c>
      <c r="GU2" s="5">
        <f>1227844</f>
        <v>1227844</v>
      </c>
      <c r="GV2" s="20">
        <f t="shared" ref="GV2" si="40">GP2/AD2</f>
        <v>0</v>
      </c>
      <c r="GW2" s="20">
        <f t="shared" ref="GW2" si="41">(GG2+GP2)/AD2</f>
        <v>17038.298862835098</v>
      </c>
      <c r="GX2" s="567"/>
      <c r="GY2" s="567"/>
      <c r="GZ2" s="567">
        <f>(GG2+GP2+GY2)/AD2</f>
        <v>17038.298862835098</v>
      </c>
      <c r="HA2" s="567"/>
      <c r="HB2" s="567">
        <f t="shared" ref="HB2" si="42">(GG2+GP2+GY2+HA2)/AD2</f>
        <v>17038.298862835098</v>
      </c>
      <c r="HC2" s="568">
        <f t="shared" ref="HC2" si="43">(GG2+GP2+GY2+HA2)/(GX2+GB2-HD2)</f>
        <v>0.22681109729166266</v>
      </c>
      <c r="HD2" s="567"/>
      <c r="HE2" s="567"/>
      <c r="HF2" s="507">
        <f>EU2</f>
        <v>0</v>
      </c>
      <c r="HG2" s="638">
        <v>9572866.6500000004</v>
      </c>
      <c r="HH2" s="634">
        <f t="shared" ref="HH2" si="44">HG2/GB2</f>
        <v>0.63716231490964093</v>
      </c>
      <c r="HI2" s="635">
        <f t="shared" ref="HI2" si="45">GB2-HG2</f>
        <v>5451353.1225670185</v>
      </c>
      <c r="HJ2" s="633" t="e">
        <f t="shared" ref="HJ2:HJ7" ca="1" si="46">IF(EE2&lt;DATEDIF(TODAY(),$HJ$1,"M"),HI2,(HI2/EE2*DATEDIF(TODAY(),$HJ$1,"M")))</f>
        <v>#VALUE!</v>
      </c>
      <c r="HK2" s="634" t="e">
        <f ca="1">(HG2+HJ2)/GB2</f>
        <v>#VALUE!</v>
      </c>
      <c r="HL2" s="639">
        <f>'[1]GLOBAL OPERATION'!$AG$62</f>
        <v>6860</v>
      </c>
      <c r="HM2" s="633">
        <f t="shared" ref="HM2" si="47">GD2-HL2</f>
        <v>2448828</v>
      </c>
      <c r="HN2" s="633">
        <f t="shared" ref="HN2" si="48">HL2/GD2</f>
        <v>2.7935144855535392E-3</v>
      </c>
      <c r="HO2" s="636"/>
      <c r="HP2" s="563"/>
      <c r="HQ2" s="47"/>
      <c r="HR2" s="563"/>
      <c r="HS2" s="563">
        <f>SUM(Tableau6[[#This Row],[GO]:[CARRELAGE]])</f>
        <v>0</v>
      </c>
      <c r="HT2" s="461"/>
      <c r="HU2" s="461"/>
      <c r="HV2" s="461"/>
      <c r="HW2" s="461"/>
      <c r="HX2" s="461"/>
      <c r="HY2" s="461"/>
      <c r="HZ2" s="461"/>
      <c r="IA2" s="461"/>
      <c r="IB2" s="461"/>
      <c r="IC2" s="461"/>
      <c r="ID2" s="461"/>
      <c r="IE2" s="461"/>
      <c r="IF2" s="461"/>
      <c r="IG2" s="563"/>
      <c r="IH2" s="563"/>
      <c r="II2" s="563">
        <f>HP2+HR2+Tableau6[[#This Row],[TRAVAUX BATIS]]+Tableau6[[#This Row],[HONORAIRES]]+IH2</f>
        <v>0</v>
      </c>
      <c r="IJ2" s="654">
        <f>Tableau6[[#This Row],[TOTAL PRP HT]]-Tableau6[[#This Row],[PRP TTC HORS FRAFU]]/1.021</f>
        <v>-14715200.560790421</v>
      </c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ht="20.149999999999999" customHeight="1">
      <c r="A3" s="765" t="s">
        <v>75</v>
      </c>
      <c r="B3" s="2" t="s">
        <v>20</v>
      </c>
      <c r="C3" s="2" t="s">
        <v>87</v>
      </c>
      <c r="D3" s="2">
        <v>2011</v>
      </c>
      <c r="E3" s="2" t="s">
        <v>78</v>
      </c>
      <c r="F3" s="22" t="s">
        <v>40</v>
      </c>
      <c r="G3" s="423" t="s">
        <v>138</v>
      </c>
      <c r="H3" s="22" t="s">
        <v>181</v>
      </c>
      <c r="I3" s="22"/>
      <c r="J3" s="22"/>
      <c r="K3" s="134"/>
      <c r="L3" s="152"/>
      <c r="M3" s="152"/>
      <c r="N3" s="152"/>
      <c r="O3" s="103">
        <f>2009+396</f>
        <v>2405</v>
      </c>
      <c r="P3" s="103">
        <v>133800</v>
      </c>
      <c r="Q3" s="103">
        <v>120788</v>
      </c>
      <c r="R3" s="103">
        <f>P3/AD3</f>
        <v>9557.1428571428569</v>
      </c>
      <c r="S3" s="103">
        <f t="shared" ref="S3:S7" si="49">P3/O3</f>
        <v>55.634095634095637</v>
      </c>
      <c r="T3" s="103">
        <f t="shared" ref="T3:T7" si="50">Q3/O3</f>
        <v>50.223700623700623</v>
      </c>
      <c r="U3" s="103">
        <f>Q3/AK3</f>
        <v>102.03671321287075</v>
      </c>
      <c r="V3" s="103">
        <f>Q3/AD3</f>
        <v>8627.7142857142862</v>
      </c>
      <c r="W3" s="103">
        <f>O3/AD3</f>
        <v>171.78571428571428</v>
      </c>
      <c r="X3" s="104"/>
      <c r="Y3" s="444">
        <f t="shared" ref="Y3:Y7" si="51">10000*AD3/O3</f>
        <v>58.21205821205821</v>
      </c>
      <c r="Z3" s="104" t="s">
        <v>158</v>
      </c>
      <c r="AA3" s="104"/>
      <c r="AB3" s="104"/>
      <c r="AC3" s="22" t="s">
        <v>10</v>
      </c>
      <c r="AD3" s="426">
        <f t="shared" ref="AD3:AD7" si="52">SUM(AF3:AI3)</f>
        <v>14</v>
      </c>
      <c r="AE3" s="426">
        <f t="shared" ref="AE3:AE7" si="53">AD3-AI3</f>
        <v>14</v>
      </c>
      <c r="AF3" s="217"/>
      <c r="AG3" s="22">
        <v>14</v>
      </c>
      <c r="AH3" s="217"/>
      <c r="AI3" s="217"/>
      <c r="AJ3" s="26">
        <v>1008.77</v>
      </c>
      <c r="AK3" s="222">
        <v>1183.77</v>
      </c>
      <c r="AL3" s="492">
        <f t="shared" ref="AL3:AL7" si="54">AJ3/AD3</f>
        <v>72.054999999999993</v>
      </c>
      <c r="AM3" s="26">
        <f t="shared" ref="AM3:AM7" si="55">AK3/AD3</f>
        <v>84.554999999999993</v>
      </c>
      <c r="AN3" s="26">
        <v>5.74</v>
      </c>
      <c r="AO3" s="26">
        <v>4.8899999999999997</v>
      </c>
      <c r="AP3" s="26">
        <v>413.51</v>
      </c>
      <c r="AQ3" s="26"/>
      <c r="AR3" s="26"/>
      <c r="AS3" s="26"/>
      <c r="AT3" s="26"/>
      <c r="AU3" s="26"/>
      <c r="AV3" s="26">
        <v>600</v>
      </c>
      <c r="AW3" s="37" t="s">
        <v>229</v>
      </c>
      <c r="AX3" s="39" t="e">
        <f>AW3/O3</f>
        <v>#VALUE!</v>
      </c>
      <c r="AY3" s="26">
        <v>2</v>
      </c>
      <c r="AZ3" s="25" t="s">
        <v>386</v>
      </c>
      <c r="BA3" s="25" t="s">
        <v>94</v>
      </c>
      <c r="BB3" s="25"/>
      <c r="BC3" s="25"/>
      <c r="BD3" s="25"/>
      <c r="BE3" s="25"/>
      <c r="BF3" s="22"/>
      <c r="BG3" s="22"/>
      <c r="BH3" s="89">
        <v>40816</v>
      </c>
      <c r="BI3" s="89"/>
      <c r="BJ3" s="548">
        <v>40632</v>
      </c>
      <c r="BK3" s="548">
        <v>40884</v>
      </c>
      <c r="BL3" s="549"/>
      <c r="BM3" s="547">
        <f t="shared" ref="BM3:BM7" si="56">(DATEDIF(BJ3,BK3,"d"))/30</f>
        <v>8.4</v>
      </c>
      <c r="BN3" s="490"/>
      <c r="BO3" s="55"/>
      <c r="BP3" s="481"/>
      <c r="BQ3" s="481"/>
      <c r="BR3" s="481"/>
      <c r="BS3" s="55"/>
      <c r="BT3" s="55"/>
      <c r="BU3" s="150">
        <v>41315</v>
      </c>
      <c r="BV3" s="150">
        <f t="shared" ref="BV3:BV7" si="57">DATE(YEAR(BU3),MONTH(BU3)+36,DAY(BU3))</f>
        <v>42410</v>
      </c>
      <c r="BW3" s="150"/>
      <c r="BX3" s="150" t="str">
        <f>IF(Tableau6[[#This Row],[Montant des loyers perçus avant 1e échéance]]&lt;BW3,"oui","non")</f>
        <v>non</v>
      </c>
      <c r="BY3" s="373">
        <f>DATEDIF(EL3,BV3,"M")</f>
        <v>20</v>
      </c>
      <c r="BZ3" s="373">
        <f>BY3*EO3</f>
        <v>119280</v>
      </c>
      <c r="CA3" s="373">
        <f>IF(BW3-BZ3&lt;0,0,Tableau6[[#This Row],[Montant échéance annuelle]]-Tableau6[[#This Row],[Montant des loyers perçus avant 1e échéance]])</f>
        <v>0</v>
      </c>
      <c r="CB3" s="64"/>
      <c r="CC3" s="64"/>
      <c r="CD3" s="64"/>
      <c r="CE3" s="273" t="str">
        <f t="shared" ref="CE3:CE7" si="58">IF(AND(CC3&gt;0,CD3&gt;0),CD3-CC3,"0")</f>
        <v>0</v>
      </c>
      <c r="CF3" s="64"/>
      <c r="CG3" s="64"/>
      <c r="CH3" s="273" t="str">
        <f t="shared" ref="CH3:CH7" si="59">IF(AND(CF3&gt;0,CG3&gt;0),CG3-CF3,"0")</f>
        <v>0</v>
      </c>
      <c r="CI3" s="64"/>
      <c r="CJ3" s="64"/>
      <c r="CK3" s="273" t="str">
        <f t="shared" ref="CK3:CK7" si="60">IF(AND(CI3&gt;0,CJ3&gt;0),CJ3-CI3,"0")</f>
        <v>0</v>
      </c>
      <c r="CL3" s="64"/>
      <c r="CM3" s="64"/>
      <c r="CN3" s="273" t="str">
        <f t="shared" ref="CN3:CN7" si="61">IF(AND(CL3&gt;0,CM3&gt;0),CM3-CL3,"0")</f>
        <v>0</v>
      </c>
      <c r="CO3" s="66"/>
      <c r="CP3" s="311"/>
      <c r="CQ3" s="273" t="str">
        <f t="shared" ref="CQ3:CQ7" si="62">IF(AND(CO3&gt;0,CP3&gt;0),CP3-CO3,"0")</f>
        <v>0</v>
      </c>
      <c r="CR3" s="239"/>
      <c r="CS3" s="117"/>
      <c r="CT3" s="64"/>
      <c r="CU3" s="117"/>
      <c r="CV3" s="273" t="str">
        <f t="shared" ref="CV3:CV7" si="63">IF(AND(CT3&gt;0,CU3&gt;0),CU3-CT3,"0")</f>
        <v>0</v>
      </c>
      <c r="CW3" s="64"/>
      <c r="CX3" s="182">
        <v>40970</v>
      </c>
      <c r="CY3" s="175">
        <v>2012</v>
      </c>
      <c r="CZ3" s="232">
        <f t="shared" ref="CZ3:CZ7" si="64">(DATEDIF(BK3,CX3,"d"))/30</f>
        <v>2.8666666666666667</v>
      </c>
      <c r="DA3" s="273" t="str">
        <f t="shared" ref="DA3:DA7" si="65">IF(AND(CW3&gt;0,CX3&gt;0),CX3-CW3,"0")</f>
        <v>0</v>
      </c>
      <c r="DB3" s="66">
        <v>12</v>
      </c>
      <c r="DC3" s="66">
        <f t="shared" ref="DC3:DC7" si="66">DATEDIF(CX3,EC3,"M")</f>
        <v>20</v>
      </c>
      <c r="DD3" s="159"/>
      <c r="DE3" s="158"/>
      <c r="DF3" s="381" t="str">
        <f t="shared" ref="DF3:DF7" si="67">IF(AND(DD3&gt;0,DE3&gt;0),DE3-DD3,"0")</f>
        <v>0</v>
      </c>
      <c r="DG3" s="392"/>
      <c r="DH3" s="336"/>
      <c r="DI3" s="337" t="str">
        <f t="shared" ref="DI3:DI7" si="68">IF(AND(DG3&gt;0,DH3&gt;0),DH3-DG3,"0")</f>
        <v>0</v>
      </c>
      <c r="DJ3" s="133"/>
      <c r="DK3" s="159">
        <f ca="1">IF(DJ3&lt;TODAY(),TODAY(),DJ3)</f>
        <v>43998</v>
      </c>
      <c r="DL3" s="381" t="str">
        <f t="shared" ref="DL3:DL7" ca="1" si="69">IF(AND(DJ3&gt;0,DK3&gt;0),DK3-DJ3,"0")</f>
        <v>0</v>
      </c>
      <c r="DM3" s="158"/>
      <c r="DN3" s="159"/>
      <c r="DO3" s="381" t="str">
        <f t="shared" ref="DO3:DO7" si="70">IF(AND(DM3&gt;0,DN3&gt;0),DN3-DM3,"0")</f>
        <v>0</v>
      </c>
      <c r="DP3" s="167"/>
      <c r="DQ3" s="167"/>
      <c r="DR3" s="381" t="str">
        <f t="shared" ref="DR3:DR7" si="71">IF(AND(DP3&gt;0,DQ3&gt;0),DQ3-DP3,"0")</f>
        <v>0</v>
      </c>
      <c r="DS3" s="167"/>
      <c r="DT3" s="168"/>
      <c r="DU3" s="381" t="str">
        <f t="shared" ref="DU3:DU7" si="72">IF(AND(DS3&gt;0,DT3&gt;0),DT3-DS3,"0")</f>
        <v>0</v>
      </c>
      <c r="DV3" s="159"/>
      <c r="DW3" s="159"/>
      <c r="DX3" s="381" t="str">
        <f t="shared" ref="DX3:DX7" si="73">IF(AND(DV3&gt;0,DW3&gt;0),DW3-DV3,"0")</f>
        <v>0</v>
      </c>
      <c r="DY3" s="168"/>
      <c r="DZ3" s="168"/>
      <c r="EA3" s="168"/>
      <c r="EB3" s="240">
        <f t="shared" ref="EB3:EB7" si="74">DATE(YEAR(CX3),MONTH(CX3)+DB3,DAY(CX3))</f>
        <v>41335</v>
      </c>
      <c r="EC3" s="185">
        <v>41583</v>
      </c>
      <c r="ED3" s="402">
        <f t="shared" ref="ED3:ED7" si="75">(EC3-EB3)/30</f>
        <v>8.2666666666666675</v>
      </c>
      <c r="EE3" s="510"/>
      <c r="EF3" s="326"/>
      <c r="EG3" s="67">
        <v>41627</v>
      </c>
      <c r="EH3" s="67" t="s">
        <v>101</v>
      </c>
      <c r="EI3" s="67">
        <v>41774</v>
      </c>
      <c r="EJ3" s="326"/>
      <c r="EK3" s="455">
        <f>DATE(YEAR(EB3),MONTH(EB3)+1,DAY(EB3))</f>
        <v>41366</v>
      </c>
      <c r="EL3" s="185">
        <v>41774</v>
      </c>
      <c r="EM3" s="324">
        <v>2014</v>
      </c>
      <c r="EN3" s="396">
        <f t="shared" si="27"/>
        <v>13.6</v>
      </c>
      <c r="EO3" s="391">
        <v>5964</v>
      </c>
      <c r="EP3" s="117">
        <f t="shared" ref="EP3:EP7" si="76">EO3*EN3</f>
        <v>81110.399999999994</v>
      </c>
      <c r="EQ3" s="67"/>
      <c r="ER3" s="67"/>
      <c r="ES3" s="737"/>
      <c r="ET3" s="296"/>
      <c r="EU3" s="387">
        <f>HF3</f>
        <v>253357.88</v>
      </c>
      <c r="EV3" s="300"/>
      <c r="EW3" s="300"/>
      <c r="EX3" s="300"/>
      <c r="EY3" s="416">
        <f t="shared" ref="EY3:EY7" si="77">EX3/GB3</f>
        <v>0</v>
      </c>
      <c r="EZ3" s="297"/>
      <c r="FA3" s="308" t="s">
        <v>516</v>
      </c>
      <c r="FB3" s="297"/>
      <c r="FC3" s="297"/>
      <c r="FD3" s="89">
        <f t="shared" ref="FD3:FD7" si="78">DATE(YEAR(DH3),MONTH(DH3)+24,DAY(DH3))</f>
        <v>731</v>
      </c>
      <c r="FE3" s="64"/>
      <c r="FF3" s="64"/>
      <c r="FG3" s="64"/>
      <c r="FH3" s="64"/>
      <c r="FI3" s="64">
        <v>41661</v>
      </c>
      <c r="FJ3" s="57" t="s">
        <v>101</v>
      </c>
      <c r="FK3" s="64">
        <f t="shared" ref="FK3:FK7" si="79">DATE(YEAR(EC3)+1,MONTH(EC3),DAY(EC3))</f>
        <v>41948</v>
      </c>
      <c r="FL3" s="64"/>
      <c r="FM3" s="375">
        <v>31451.360000000001</v>
      </c>
      <c r="FN3" s="64" t="s">
        <v>101</v>
      </c>
      <c r="FO3" s="64"/>
      <c r="FP3" s="64"/>
      <c r="FQ3" s="64">
        <v>41919</v>
      </c>
      <c r="FR3" s="64">
        <v>41925</v>
      </c>
      <c r="FS3" s="64"/>
      <c r="FT3" s="64"/>
      <c r="FU3" s="64" t="s">
        <v>129</v>
      </c>
      <c r="FV3" s="64"/>
      <c r="FW3" s="64"/>
      <c r="FX3" s="64"/>
      <c r="FY3" s="64"/>
      <c r="FZ3" s="64" t="s">
        <v>101</v>
      </c>
      <c r="GA3" s="450"/>
      <c r="GB3" s="471">
        <f>GD3+GG3+GJ3+HF3+Tableau6[[#This Row],[PRÊT CREDIT D''IMPOT (PM)]]</f>
        <v>2230353.88</v>
      </c>
      <c r="GC3" s="644">
        <f t="shared" ref="GC3:GC7" si="80">GB3</f>
        <v>2230353.88</v>
      </c>
      <c r="GD3" s="507">
        <f>GP3+GQ3+GT3+GU3</f>
        <v>691584</v>
      </c>
      <c r="GE3" s="20">
        <f t="shared" ref="GE3:GE7" si="81">GB3/AK3</f>
        <v>1884.1108323407418</v>
      </c>
      <c r="GF3" s="20">
        <f t="shared" ref="GF3:GF7" si="82">GB3/AD3</f>
        <v>159310.99142857143</v>
      </c>
      <c r="GG3" s="507">
        <v>0</v>
      </c>
      <c r="GH3" s="351"/>
      <c r="GI3" s="20">
        <f t="shared" ref="GI3:GI7" si="83">GG3/AD3</f>
        <v>0</v>
      </c>
      <c r="GJ3" s="507">
        <f t="shared" ref="GJ3:GJ7" si="84">GK3+GO3+GS3</f>
        <v>1285412</v>
      </c>
      <c r="GK3" s="5">
        <f>+GL3+GM3</f>
        <v>1285412</v>
      </c>
      <c r="GL3" s="44">
        <v>305730</v>
      </c>
      <c r="GM3" s="44">
        <v>979682</v>
      </c>
      <c r="GN3" s="345">
        <f t="shared" ref="GN3:GN7" si="85">GK3/AD3</f>
        <v>91815.142857142855</v>
      </c>
      <c r="GO3" s="35"/>
      <c r="GP3" s="34">
        <v>620464</v>
      </c>
      <c r="GQ3" s="34">
        <v>70000</v>
      </c>
      <c r="GR3" s="18">
        <f t="shared" ref="GR3:GR7" si="86">GP3/GB3</f>
        <v>0.27819083131328021</v>
      </c>
      <c r="GS3" s="45"/>
      <c r="GT3" s="45"/>
      <c r="GU3" s="34">
        <v>1120</v>
      </c>
      <c r="GV3" s="20">
        <f t="shared" ref="GV3:GV7" si="87">GP3/AD3</f>
        <v>44318.857142857145</v>
      </c>
      <c r="GW3" s="20">
        <f t="shared" ref="GW3:GW7" si="88">(GG3+GP3)/AD3</f>
        <v>44318.857142857145</v>
      </c>
      <c r="GX3" s="569">
        <v>715424.22886499984</v>
      </c>
      <c r="GY3" s="569">
        <v>280000</v>
      </c>
      <c r="GZ3" s="569">
        <f>(GG3+GP3+GY3)/AD3</f>
        <v>64318.857142857145</v>
      </c>
      <c r="HA3" s="569">
        <v>259894.04</v>
      </c>
      <c r="HB3" s="569">
        <f t="shared" ref="HB3:HB7" si="89">(GG3+GP3+GY3+HA3)/AD3</f>
        <v>82882.717142857146</v>
      </c>
      <c r="HC3" s="568">
        <f t="shared" ref="HC3:HC7" si="90">(GG3+GP3+GY3+HA3)/(GX3+GB3-HD3)</f>
        <v>0.41111677977683803</v>
      </c>
      <c r="HD3" s="569">
        <v>123324.49695</v>
      </c>
      <c r="HE3" s="569"/>
      <c r="HF3" s="507">
        <v>253357.88</v>
      </c>
      <c r="HG3" s="633"/>
      <c r="HH3" s="634">
        <f t="shared" ref="HH3:HH7" si="91">HG3/GB3</f>
        <v>0</v>
      </c>
      <c r="HI3" s="635">
        <f t="shared" ref="HI3:HI7" si="92">GB3-HG3</f>
        <v>2230353.88</v>
      </c>
      <c r="HJ3" s="633" t="e">
        <f t="shared" ca="1" si="46"/>
        <v>#VALUE!</v>
      </c>
      <c r="HK3" s="633"/>
      <c r="HL3" s="633"/>
      <c r="HM3" s="633">
        <f t="shared" ref="HM3:HM7" si="93">GD3-HL3</f>
        <v>691584</v>
      </c>
      <c r="HN3" s="636">
        <f t="shared" ref="HN3:HN7" si="94">HL3/GD3</f>
        <v>0</v>
      </c>
      <c r="HO3" s="636"/>
      <c r="HP3" s="563"/>
      <c r="HQ3" s="47"/>
      <c r="HR3" s="563"/>
      <c r="HS3" s="563">
        <f>SUM(Tableau6[[#This Row],[GO]:[CARRELAGE]])</f>
        <v>0</v>
      </c>
      <c r="HT3" s="461"/>
      <c r="HU3" s="461"/>
      <c r="HV3" s="461"/>
      <c r="HW3" s="461"/>
      <c r="HX3" s="461"/>
      <c r="HY3" s="461"/>
      <c r="HZ3" s="461"/>
      <c r="IA3" s="461"/>
      <c r="IB3" s="461"/>
      <c r="IC3" s="461"/>
      <c r="ID3" s="461"/>
      <c r="IE3" s="461"/>
      <c r="IF3" s="461"/>
      <c r="IG3" s="563"/>
      <c r="IH3" s="563"/>
      <c r="II3" s="563">
        <f>HP3+HR3+Tableau6[[#This Row],[TRAVAUX BATIS]]+Tableau6[[#This Row],[HONORAIRES]]+IH3</f>
        <v>0</v>
      </c>
      <c r="IJ3" s="654">
        <f>Tableau6[[#This Row],[TOTAL PRP HT]]-Tableau6[[#This Row],[PRP TTC HORS FRAFU]]/1.021</f>
        <v>-2184479.8041136144</v>
      </c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</row>
    <row r="4" spans="1:256" ht="20.149999999999999" customHeight="1">
      <c r="A4" s="594" t="s">
        <v>649</v>
      </c>
      <c r="B4" s="2" t="s">
        <v>21</v>
      </c>
      <c r="C4" s="2" t="s">
        <v>86</v>
      </c>
      <c r="D4" s="2">
        <v>2018</v>
      </c>
      <c r="E4" s="2" t="s">
        <v>382</v>
      </c>
      <c r="F4" s="2" t="s">
        <v>870</v>
      </c>
      <c r="G4" s="2" t="s">
        <v>329</v>
      </c>
      <c r="H4" s="22" t="s">
        <v>133</v>
      </c>
      <c r="I4" s="22"/>
      <c r="J4" s="22" t="s">
        <v>295</v>
      </c>
      <c r="K4" s="134"/>
      <c r="L4" s="78"/>
      <c r="M4" s="51"/>
      <c r="N4" s="52"/>
      <c r="O4" s="103">
        <v>1952</v>
      </c>
      <c r="P4" s="103">
        <v>1</v>
      </c>
      <c r="Q4" s="103"/>
      <c r="R4" s="103">
        <f>P4/AD4</f>
        <v>0.01</v>
      </c>
      <c r="S4" s="103">
        <f t="shared" si="49"/>
        <v>5.1229508196721314E-4</v>
      </c>
      <c r="T4" s="109">
        <f t="shared" si="50"/>
        <v>0</v>
      </c>
      <c r="U4" s="109">
        <f>Q4/AK4</f>
        <v>0</v>
      </c>
      <c r="V4" s="109">
        <f>Q4/AD4</f>
        <v>0</v>
      </c>
      <c r="W4" s="103">
        <f>O4/AD4</f>
        <v>19.52</v>
      </c>
      <c r="X4" s="104"/>
      <c r="Y4" s="444">
        <f t="shared" si="51"/>
        <v>512.29508196721315</v>
      </c>
      <c r="Z4" s="104"/>
      <c r="AA4" s="106">
        <v>500</v>
      </c>
      <c r="AB4" s="107"/>
      <c r="AC4" s="2" t="s">
        <v>293</v>
      </c>
      <c r="AD4" s="426">
        <f t="shared" si="52"/>
        <v>100</v>
      </c>
      <c r="AE4" s="426">
        <f t="shared" si="53"/>
        <v>100</v>
      </c>
      <c r="AF4" s="3"/>
      <c r="AG4" s="3"/>
      <c r="AH4" s="22">
        <v>100</v>
      </c>
      <c r="AI4" s="32"/>
      <c r="AJ4" s="614">
        <v>1701.83</v>
      </c>
      <c r="AK4" s="225">
        <v>1923.47</v>
      </c>
      <c r="AL4" s="492">
        <f t="shared" si="54"/>
        <v>17.0183</v>
      </c>
      <c r="AM4" s="4">
        <f t="shared" si="55"/>
        <v>19.2347</v>
      </c>
      <c r="AN4" s="26"/>
      <c r="AO4" s="26"/>
      <c r="AP4" s="26"/>
      <c r="AQ4" s="39"/>
      <c r="AR4" s="39"/>
      <c r="AS4" s="39"/>
      <c r="AT4" s="39"/>
      <c r="AU4" s="39"/>
      <c r="AV4" s="4"/>
      <c r="AW4" s="87"/>
      <c r="AX4" s="54"/>
      <c r="AY4" s="26"/>
      <c r="AZ4" s="25" t="s">
        <v>386</v>
      </c>
      <c r="BA4" s="2" t="s">
        <v>94</v>
      </c>
      <c r="BB4" s="28"/>
      <c r="BC4" s="28"/>
      <c r="BD4" s="438">
        <f>BB4/AK4</f>
        <v>0</v>
      </c>
      <c r="BE4" s="438"/>
      <c r="BF4" s="22"/>
      <c r="BG4" s="22"/>
      <c r="BH4" s="22"/>
      <c r="BI4" s="22"/>
      <c r="BJ4" s="548">
        <v>42824</v>
      </c>
      <c r="BK4" s="548">
        <v>43102</v>
      </c>
      <c r="BL4" s="549">
        <v>43116</v>
      </c>
      <c r="BM4" s="547">
        <f t="shared" si="56"/>
        <v>9.2666666666666675</v>
      </c>
      <c r="BN4" s="490" t="s">
        <v>229</v>
      </c>
      <c r="BO4" s="76">
        <v>43112</v>
      </c>
      <c r="BP4" s="99">
        <v>43144</v>
      </c>
      <c r="BQ4" s="536">
        <f>(DATEDIF(BO4,BP4,"d"))/30</f>
        <v>1.0666666666666667</v>
      </c>
      <c r="BR4" s="529">
        <v>74911</v>
      </c>
      <c r="BS4" s="77">
        <f>DATE(YEAR(BP4),MONTH(BP4)+3,DAY(BP4))</f>
        <v>43233</v>
      </c>
      <c r="BT4" s="77">
        <v>43160</v>
      </c>
      <c r="BU4" s="151">
        <v>43252</v>
      </c>
      <c r="BV4" s="150">
        <f t="shared" si="57"/>
        <v>44348</v>
      </c>
      <c r="BW4" s="373">
        <f>63685+116945</f>
        <v>180630</v>
      </c>
      <c r="BX4" s="150" t="str">
        <f>IF(Tableau6[[#This Row],[Montant des loyers perçus avant 1e échéance]]&lt;BW4,"oui","non")</f>
        <v>oui</v>
      </c>
      <c r="BY4" s="373">
        <f>(BV4-EL4)/30</f>
        <v>21.7</v>
      </c>
      <c r="BZ4" s="373">
        <f>IF((BY4*EO4)&lt;0,"0",BY4*EO4)</f>
        <v>0</v>
      </c>
      <c r="CA4" s="373">
        <f>IF(BW4-BZ4&lt;0,0,Tableau6[[#This Row],[Montant échéance annuelle]]-Tableau6[[#This Row],[Montant des loyers perçus avant 1e échéance]])</f>
        <v>180630</v>
      </c>
      <c r="CB4" s="286"/>
      <c r="CC4" s="288"/>
      <c r="CD4" s="288"/>
      <c r="CE4" s="273" t="str">
        <f t="shared" si="58"/>
        <v>0</v>
      </c>
      <c r="CF4" s="288">
        <v>42775</v>
      </c>
      <c r="CG4" s="288">
        <v>42871</v>
      </c>
      <c r="CH4" s="273">
        <f t="shared" si="59"/>
        <v>96</v>
      </c>
      <c r="CI4" s="288"/>
      <c r="CJ4" s="288"/>
      <c r="CK4" s="273" t="str">
        <f t="shared" si="60"/>
        <v>0</v>
      </c>
      <c r="CL4" s="288"/>
      <c r="CM4" s="286">
        <f ca="1">IF(CL4&lt;TODAY(),TODAY(),CL4)</f>
        <v>43998</v>
      </c>
      <c r="CN4" s="273" t="str">
        <f t="shared" ca="1" si="61"/>
        <v>0</v>
      </c>
      <c r="CO4" s="288"/>
      <c r="CP4" s="288">
        <f ca="1">IF(CO4&lt;TODAY(),TODAY(),CO4)</f>
        <v>43998</v>
      </c>
      <c r="CQ4" s="273" t="str">
        <f t="shared" ca="1" si="62"/>
        <v>0</v>
      </c>
      <c r="CR4" s="237"/>
      <c r="CS4" s="171"/>
      <c r="CT4" s="170"/>
      <c r="CU4" s="95"/>
      <c r="CV4" s="499" t="str">
        <f t="shared" si="63"/>
        <v>0</v>
      </c>
      <c r="CW4" s="170"/>
      <c r="CX4" s="229">
        <v>43168</v>
      </c>
      <c r="CY4" s="175">
        <v>2018</v>
      </c>
      <c r="CZ4" s="232">
        <f t="shared" si="64"/>
        <v>2.2000000000000002</v>
      </c>
      <c r="DA4" s="273" t="str">
        <f t="shared" si="65"/>
        <v>0</v>
      </c>
      <c r="DB4" s="133">
        <v>17</v>
      </c>
      <c r="DC4" s="133">
        <f t="shared" si="66"/>
        <v>17</v>
      </c>
      <c r="DD4" s="159"/>
      <c r="DE4" s="159">
        <v>43307</v>
      </c>
      <c r="DF4" s="381" t="str">
        <f t="shared" si="67"/>
        <v>0</v>
      </c>
      <c r="DG4" s="392"/>
      <c r="DH4" s="336">
        <v>43348</v>
      </c>
      <c r="DI4" s="337" t="str">
        <f t="shared" si="68"/>
        <v>0</v>
      </c>
      <c r="DJ4" s="284">
        <v>43511</v>
      </c>
      <c r="DK4" s="284">
        <f ca="1">IF(DJ4&lt;TODAY(),TODAY(),DJ4)</f>
        <v>43998</v>
      </c>
      <c r="DL4" s="279">
        <f t="shared" ca="1" si="69"/>
        <v>487</v>
      </c>
      <c r="DM4" s="95">
        <v>43565</v>
      </c>
      <c r="DN4" s="95">
        <v>43544</v>
      </c>
      <c r="DO4" s="499">
        <f t="shared" si="70"/>
        <v>-21</v>
      </c>
      <c r="DP4" s="56">
        <v>43565</v>
      </c>
      <c r="DQ4" s="64">
        <v>43578</v>
      </c>
      <c r="DR4" s="273">
        <f t="shared" si="71"/>
        <v>13</v>
      </c>
      <c r="DS4" s="159">
        <v>43595</v>
      </c>
      <c r="DT4" s="159">
        <f ca="1">IF(DS4&lt;TODAY(),TODAY(),DS4)</f>
        <v>43998</v>
      </c>
      <c r="DU4" s="381">
        <f t="shared" ca="1" si="72"/>
        <v>403</v>
      </c>
      <c r="DV4" s="159">
        <v>43678</v>
      </c>
      <c r="DW4" s="159">
        <f ca="1">IF(DV4&lt;TODAY(),TODAY(),DV4)</f>
        <v>43998</v>
      </c>
      <c r="DX4" s="381">
        <f t="shared" ca="1" si="73"/>
        <v>320</v>
      </c>
      <c r="DY4" s="159"/>
      <c r="DZ4" s="159"/>
      <c r="EA4" s="159"/>
      <c r="EB4" s="327">
        <f t="shared" si="74"/>
        <v>43686</v>
      </c>
      <c r="EC4" s="183">
        <v>43693</v>
      </c>
      <c r="ED4" s="401">
        <f t="shared" si="75"/>
        <v>0.23333333333333334</v>
      </c>
      <c r="EE4" s="511">
        <f ca="1">IF(((EC4-TODAY())/30)&lt;0,0,(EC4-TODAY())/30)</f>
        <v>0</v>
      </c>
      <c r="EF4" s="240">
        <f>DATE(YEAR(DH4)+2,MONTH(DH4),DAY(DH4))</f>
        <v>44079</v>
      </c>
      <c r="EG4" s="58"/>
      <c r="EH4" s="58"/>
      <c r="EI4" s="58"/>
      <c r="EJ4" s="240"/>
      <c r="EK4" s="455">
        <v>43693</v>
      </c>
      <c r="EL4" s="183">
        <v>43697</v>
      </c>
      <c r="EM4" s="230">
        <v>2019</v>
      </c>
      <c r="EN4" s="430">
        <f t="shared" si="27"/>
        <v>0.13333333333333333</v>
      </c>
      <c r="EO4" s="395"/>
      <c r="EP4" s="29">
        <f t="shared" si="76"/>
        <v>0</v>
      </c>
      <c r="EQ4" s="60"/>
      <c r="ER4" s="60">
        <v>43693</v>
      </c>
      <c r="ES4" s="742">
        <f>(Tableau6[[#This Row],[Date inauguration recalée]]-ER4)/30</f>
        <v>0.13333333333333333</v>
      </c>
      <c r="ET4" s="300">
        <v>0</v>
      </c>
      <c r="EU4" s="300">
        <v>0</v>
      </c>
      <c r="EV4" s="300"/>
      <c r="EW4" s="300"/>
      <c r="EX4" s="300"/>
      <c r="EY4" s="416">
        <f t="shared" si="77"/>
        <v>0</v>
      </c>
      <c r="EZ4" s="297"/>
      <c r="FA4" s="308"/>
      <c r="FB4" s="462"/>
      <c r="FC4" s="308" t="s">
        <v>526</v>
      </c>
      <c r="FD4" s="89">
        <f t="shared" si="78"/>
        <v>44079</v>
      </c>
      <c r="FE4" s="63"/>
      <c r="FF4" s="63"/>
      <c r="FG4" s="63"/>
      <c r="FH4" s="63"/>
      <c r="FI4" s="63"/>
      <c r="FJ4" s="22" t="s">
        <v>857</v>
      </c>
      <c r="FK4" s="146">
        <f t="shared" si="79"/>
        <v>44059</v>
      </c>
      <c r="FL4" s="146"/>
      <c r="FM4" s="146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451"/>
      <c r="GB4" s="471">
        <f>GD4+GG4+GJ4+HF4+Tableau6[[#This Row],[PRÊT CREDIT D''IMPOT (PM)]]</f>
        <v>7973905</v>
      </c>
      <c r="GC4" s="645">
        <f t="shared" si="80"/>
        <v>7973905</v>
      </c>
      <c r="GD4" s="507">
        <f>GP4+GQ4+GT4+GU4</f>
        <v>1310250</v>
      </c>
      <c r="GE4" s="20">
        <f t="shared" si="81"/>
        <v>4145.5832427851747</v>
      </c>
      <c r="GF4" s="20">
        <f t="shared" si="82"/>
        <v>79739.05</v>
      </c>
      <c r="GG4" s="507">
        <v>1736993</v>
      </c>
      <c r="GH4" s="351">
        <v>1736993</v>
      </c>
      <c r="GI4" s="11">
        <f t="shared" si="83"/>
        <v>17369.93</v>
      </c>
      <c r="GJ4" s="507">
        <f t="shared" si="84"/>
        <v>3189669</v>
      </c>
      <c r="GK4" s="5">
        <v>3189669</v>
      </c>
      <c r="GL4" s="213"/>
      <c r="GM4" s="213"/>
      <c r="GN4" s="345">
        <f t="shared" si="85"/>
        <v>31896.69</v>
      </c>
      <c r="GO4" s="5"/>
      <c r="GP4" s="5"/>
      <c r="GQ4" s="35"/>
      <c r="GR4" s="18">
        <f t="shared" si="86"/>
        <v>0</v>
      </c>
      <c r="GS4" s="35"/>
      <c r="GT4" s="35">
        <v>655125</v>
      </c>
      <c r="GU4" s="5">
        <f>655125</f>
        <v>655125</v>
      </c>
      <c r="GV4" s="20">
        <f t="shared" si="87"/>
        <v>0</v>
      </c>
      <c r="GW4" s="20">
        <f t="shared" si="88"/>
        <v>17369.93</v>
      </c>
      <c r="GX4" s="567"/>
      <c r="GY4" s="567"/>
      <c r="GZ4" s="567">
        <f>(GG4+GP4+GY4)/AD4</f>
        <v>17369.93</v>
      </c>
      <c r="HA4" s="567"/>
      <c r="HB4" s="567">
        <f t="shared" si="89"/>
        <v>17369.93</v>
      </c>
      <c r="HC4" s="568">
        <f t="shared" si="90"/>
        <v>0.21783467447881558</v>
      </c>
      <c r="HD4" s="567"/>
      <c r="HE4" s="567"/>
      <c r="HF4" s="507">
        <f>EU4</f>
        <v>0</v>
      </c>
      <c r="HG4" s="637">
        <v>4846748.1499999994</v>
      </c>
      <c r="HH4" s="634">
        <f t="shared" si="91"/>
        <v>0.60782617174395726</v>
      </c>
      <c r="HI4" s="635">
        <f t="shared" si="92"/>
        <v>3127156.8500000006</v>
      </c>
      <c r="HJ4" s="633" t="e">
        <f t="shared" ca="1" si="46"/>
        <v>#VALUE!</v>
      </c>
      <c r="HK4" s="634" t="e">
        <f ca="1">(HG4+HJ4)/GB4</f>
        <v>#VALUE!</v>
      </c>
      <c r="HL4" s="633">
        <f>'[1]GLOBAL OPERATION'!$AG$63</f>
        <v>0</v>
      </c>
      <c r="HM4" s="633">
        <f t="shared" si="93"/>
        <v>1310250</v>
      </c>
      <c r="HN4" s="633">
        <f t="shared" si="94"/>
        <v>0</v>
      </c>
      <c r="HO4" s="634"/>
      <c r="HP4" s="563"/>
      <c r="HQ4" s="47"/>
      <c r="HR4" s="563"/>
      <c r="HS4" s="563">
        <f>SUM(Tableau6[[#This Row],[GO]:[CARRELAGE]])</f>
        <v>0</v>
      </c>
      <c r="HT4" s="461"/>
      <c r="HU4" s="461"/>
      <c r="HV4" s="461"/>
      <c r="HW4" s="461"/>
      <c r="HX4" s="461"/>
      <c r="HY4" s="461"/>
      <c r="HZ4" s="461"/>
      <c r="IA4" s="461"/>
      <c r="IB4" s="461"/>
      <c r="IC4" s="461"/>
      <c r="ID4" s="461"/>
      <c r="IE4" s="461"/>
      <c r="IF4" s="461"/>
      <c r="IG4" s="563"/>
      <c r="IH4" s="563"/>
      <c r="II4" s="563">
        <f>HP4+HR4+Tableau6[[#This Row],[TRAVAUX BATIS]]+Tableau6[[#This Row],[HONORAIRES]]+IH4</f>
        <v>0</v>
      </c>
      <c r="IJ4" s="654">
        <f>Tableau6[[#This Row],[TOTAL PRP HT]]-Tableau6[[#This Row],[PRP TTC HORS FRAFU]]/1.021</f>
        <v>-7809897.1596474051</v>
      </c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ht="20.149999999999999" customHeight="1">
      <c r="A5" s="603" t="s">
        <v>54</v>
      </c>
      <c r="B5" s="2" t="s">
        <v>58</v>
      </c>
      <c r="C5" s="2" t="s">
        <v>88</v>
      </c>
      <c r="D5" s="2">
        <v>2012</v>
      </c>
      <c r="E5" s="2" t="s">
        <v>60</v>
      </c>
      <c r="F5" s="2" t="s">
        <v>40</v>
      </c>
      <c r="G5" s="423"/>
      <c r="H5" s="22" t="s">
        <v>181</v>
      </c>
      <c r="I5" s="22"/>
      <c r="J5" s="22"/>
      <c r="K5" s="134"/>
      <c r="L5" s="75"/>
      <c r="M5" s="75"/>
      <c r="N5" s="75"/>
      <c r="O5" s="103">
        <v>606</v>
      </c>
      <c r="P5" s="103">
        <v>89040</v>
      </c>
      <c r="Q5" s="103">
        <v>51520</v>
      </c>
      <c r="R5" s="103">
        <f>P5/AD5</f>
        <v>12720</v>
      </c>
      <c r="S5" s="103">
        <f t="shared" si="49"/>
        <v>146.93069306930693</v>
      </c>
      <c r="T5" s="103">
        <f t="shared" si="50"/>
        <v>85.016501650165011</v>
      </c>
      <c r="U5" s="103">
        <f>Q5/AK5</f>
        <v>96.464949071300168</v>
      </c>
      <c r="V5" s="103">
        <f>Q5/AD5</f>
        <v>7360</v>
      </c>
      <c r="W5" s="103">
        <f>O5/AD5</f>
        <v>86.571428571428569</v>
      </c>
      <c r="X5" s="104">
        <v>300</v>
      </c>
      <c r="Y5" s="444">
        <f t="shared" si="51"/>
        <v>115.51155115511551</v>
      </c>
      <c r="Z5" s="104" t="s">
        <v>158</v>
      </c>
      <c r="AA5" s="106">
        <v>606</v>
      </c>
      <c r="AB5" s="106"/>
      <c r="AC5" s="2" t="s">
        <v>10</v>
      </c>
      <c r="AD5" s="426">
        <f t="shared" si="52"/>
        <v>7</v>
      </c>
      <c r="AE5" s="426">
        <f t="shared" si="53"/>
        <v>7</v>
      </c>
      <c r="AF5" s="3"/>
      <c r="AG5" s="2">
        <v>7</v>
      </c>
      <c r="AH5" s="32"/>
      <c r="AI5" s="32"/>
      <c r="AJ5" s="27">
        <v>477.68999999999994</v>
      </c>
      <c r="AK5" s="225">
        <v>534.08000000000004</v>
      </c>
      <c r="AL5" s="492">
        <f t="shared" si="54"/>
        <v>68.241428571428557</v>
      </c>
      <c r="AM5" s="4">
        <f t="shared" si="55"/>
        <v>76.297142857142859</v>
      </c>
      <c r="AN5" s="26">
        <v>5.72</v>
      </c>
      <c r="AO5" s="26">
        <v>5.12</v>
      </c>
      <c r="AP5" s="26">
        <v>390.42</v>
      </c>
      <c r="AQ5" s="39"/>
      <c r="AR5" s="39">
        <f>2/AG5</f>
        <v>0.2857142857142857</v>
      </c>
      <c r="AS5" s="39">
        <f>4/AG5</f>
        <v>0.5714285714285714</v>
      </c>
      <c r="AT5" s="39">
        <f>1/AG5</f>
        <v>0.14285714285714285</v>
      </c>
      <c r="AU5" s="39"/>
      <c r="AV5" s="4">
        <v>217.58</v>
      </c>
      <c r="AW5" s="37">
        <v>238</v>
      </c>
      <c r="AX5" s="39">
        <f>AW5/O5</f>
        <v>0.39273927392739272</v>
      </c>
      <c r="AY5" s="26">
        <v>2</v>
      </c>
      <c r="AZ5" s="25" t="s">
        <v>386</v>
      </c>
      <c r="BA5" s="4" t="s">
        <v>94</v>
      </c>
      <c r="BB5" s="26"/>
      <c r="BC5" s="26"/>
      <c r="BD5" s="26"/>
      <c r="BE5" s="26"/>
      <c r="BF5" s="22"/>
      <c r="BG5" s="22"/>
      <c r="BH5" s="89">
        <v>40963</v>
      </c>
      <c r="BI5" s="89"/>
      <c r="BJ5" s="548">
        <v>40998</v>
      </c>
      <c r="BK5" s="548">
        <v>41171</v>
      </c>
      <c r="BL5" s="549"/>
      <c r="BM5" s="547">
        <f t="shared" si="56"/>
        <v>5.7666666666666666</v>
      </c>
      <c r="BN5" s="490"/>
      <c r="BO5" s="467"/>
      <c r="BP5" s="476">
        <v>41274</v>
      </c>
      <c r="BQ5" s="525"/>
      <c r="BR5" s="525"/>
      <c r="BS5" s="77">
        <f>DATE(YEAR(BP5),MONTH(BP5)+3,DAY(BP5))</f>
        <v>41364</v>
      </c>
      <c r="BT5" s="50"/>
      <c r="BU5" s="150">
        <v>41365</v>
      </c>
      <c r="BV5" s="150">
        <f t="shared" si="57"/>
        <v>42461</v>
      </c>
      <c r="BW5" s="373">
        <v>22679</v>
      </c>
      <c r="BX5" s="150" t="str">
        <f>IF(Tableau6[[#This Row],[Montant des loyers perçus avant 1e échéance]]&lt;BW5,"oui","non")</f>
        <v>non</v>
      </c>
      <c r="BY5" s="475">
        <f>(BV5-EL5)/30</f>
        <v>18.899999999999999</v>
      </c>
      <c r="BZ5" s="373">
        <f>IF((BY5*EO5)&lt;0,"0",BY5*EO5)</f>
        <v>53214.525000000001</v>
      </c>
      <c r="CA5" s="373">
        <f>IF(BW5-BZ5&lt;0,0,Tableau6[[#This Row],[Montant échéance annuelle]]-Tableau6[[#This Row],[Montant des loyers perçus avant 1e échéance]])</f>
        <v>0</v>
      </c>
      <c r="CB5" s="64"/>
      <c r="CC5" s="57"/>
      <c r="CD5" s="57"/>
      <c r="CE5" s="273" t="str">
        <f t="shared" si="58"/>
        <v>0</v>
      </c>
      <c r="CF5" s="64"/>
      <c r="CG5" s="64"/>
      <c r="CH5" s="273" t="str">
        <f t="shared" si="59"/>
        <v>0</v>
      </c>
      <c r="CI5" s="66"/>
      <c r="CJ5" s="64"/>
      <c r="CK5" s="273" t="str">
        <f t="shared" si="60"/>
        <v>0</v>
      </c>
      <c r="CL5" s="66"/>
      <c r="CM5" s="64"/>
      <c r="CN5" s="273" t="str">
        <f t="shared" si="61"/>
        <v>0</v>
      </c>
      <c r="CO5" s="66"/>
      <c r="CP5" s="311"/>
      <c r="CQ5" s="273" t="str">
        <f t="shared" si="62"/>
        <v>0</v>
      </c>
      <c r="CR5" s="239"/>
      <c r="CS5" s="117"/>
      <c r="CT5" s="64"/>
      <c r="CU5" s="117"/>
      <c r="CV5" s="273" t="str">
        <f t="shared" si="63"/>
        <v>0</v>
      </c>
      <c r="CW5" s="64"/>
      <c r="CX5" s="183">
        <v>41400</v>
      </c>
      <c r="CY5" s="175">
        <v>2013</v>
      </c>
      <c r="CZ5" s="232">
        <f t="shared" si="64"/>
        <v>7.6333333333333337</v>
      </c>
      <c r="DA5" s="273" t="str">
        <f t="shared" si="65"/>
        <v>0</v>
      </c>
      <c r="DB5" s="66">
        <v>10</v>
      </c>
      <c r="DC5" s="59">
        <f t="shared" si="66"/>
        <v>14</v>
      </c>
      <c r="DD5" s="159"/>
      <c r="DE5" s="158"/>
      <c r="DF5" s="381" t="str">
        <f t="shared" si="67"/>
        <v>0</v>
      </c>
      <c r="DG5" s="392"/>
      <c r="DH5" s="336"/>
      <c r="DI5" s="337" t="str">
        <f t="shared" si="68"/>
        <v>0</v>
      </c>
      <c r="DJ5" s="133"/>
      <c r="DK5" s="159"/>
      <c r="DL5" s="381" t="str">
        <f t="shared" si="69"/>
        <v>0</v>
      </c>
      <c r="DM5" s="158"/>
      <c r="DN5" s="159"/>
      <c r="DO5" s="381" t="str">
        <f t="shared" si="70"/>
        <v>0</v>
      </c>
      <c r="DP5" s="167"/>
      <c r="DQ5" s="167"/>
      <c r="DR5" s="381" t="str">
        <f t="shared" si="71"/>
        <v>0</v>
      </c>
      <c r="DS5" s="167"/>
      <c r="DT5" s="168"/>
      <c r="DU5" s="381" t="str">
        <f t="shared" si="72"/>
        <v>0</v>
      </c>
      <c r="DV5" s="159"/>
      <c r="DW5" s="158"/>
      <c r="DX5" s="381" t="str">
        <f t="shared" si="73"/>
        <v>0</v>
      </c>
      <c r="DY5" s="158"/>
      <c r="DZ5" s="158"/>
      <c r="EA5" s="158"/>
      <c r="EB5" s="240">
        <f t="shared" si="74"/>
        <v>41704</v>
      </c>
      <c r="EC5" s="185">
        <v>41831</v>
      </c>
      <c r="ED5" s="401">
        <f t="shared" si="75"/>
        <v>4.2333333333333334</v>
      </c>
      <c r="EE5" s="511"/>
      <c r="EF5" s="326"/>
      <c r="EG5" s="67">
        <v>41883</v>
      </c>
      <c r="EH5" s="58" t="s">
        <v>101</v>
      </c>
      <c r="EI5" s="58">
        <v>41894</v>
      </c>
      <c r="EJ5" s="240"/>
      <c r="EK5" s="455">
        <f t="shared" ref="EK5:EK7" si="95">DATE(YEAR(EB5),MONTH(EB5)+1,DAY(EB5))</f>
        <v>41735</v>
      </c>
      <c r="EL5" s="183">
        <v>41894</v>
      </c>
      <c r="EM5" s="324">
        <v>2014</v>
      </c>
      <c r="EN5" s="398">
        <f t="shared" si="27"/>
        <v>5.3</v>
      </c>
      <c r="EO5" s="388">
        <f>33787/12</f>
        <v>2815.5833333333335</v>
      </c>
      <c r="EP5" s="117">
        <f t="shared" si="76"/>
        <v>14922.591666666667</v>
      </c>
      <c r="EQ5" s="67"/>
      <c r="ER5" s="67"/>
      <c r="ES5" s="737"/>
      <c r="ET5" s="300"/>
      <c r="EU5" s="387">
        <f>HF5</f>
        <v>50607</v>
      </c>
      <c r="EV5" s="300"/>
      <c r="EW5" s="300"/>
      <c r="EX5" s="300"/>
      <c r="EY5" s="416">
        <f t="shared" si="77"/>
        <v>0</v>
      </c>
      <c r="EZ5" s="301"/>
      <c r="FA5" s="315"/>
      <c r="FB5" s="301"/>
      <c r="FC5" s="301"/>
      <c r="FD5" s="89">
        <f t="shared" si="78"/>
        <v>731</v>
      </c>
      <c r="FE5" s="64"/>
      <c r="FF5" s="64"/>
      <c r="FG5" s="64"/>
      <c r="FH5" s="64"/>
      <c r="FI5" s="95" t="s">
        <v>101</v>
      </c>
      <c r="FJ5" s="64">
        <v>42082</v>
      </c>
      <c r="FK5" s="64">
        <f t="shared" si="79"/>
        <v>42196</v>
      </c>
      <c r="FL5" s="64"/>
      <c r="FM5" s="375">
        <v>10711</v>
      </c>
      <c r="FN5" s="64">
        <v>41915</v>
      </c>
      <c r="FO5" s="64">
        <v>41918</v>
      </c>
      <c r="FP5" s="64"/>
      <c r="FQ5" s="64" t="s">
        <v>101</v>
      </c>
      <c r="FR5" s="64">
        <v>42346</v>
      </c>
      <c r="FS5" s="64"/>
      <c r="FT5" s="64" t="s">
        <v>101</v>
      </c>
      <c r="FU5" s="64"/>
      <c r="FV5" s="56">
        <v>42851</v>
      </c>
      <c r="FW5" s="95" t="s">
        <v>101</v>
      </c>
      <c r="FX5" s="64" t="s">
        <v>101</v>
      </c>
      <c r="FY5" s="95" t="s">
        <v>101</v>
      </c>
      <c r="FZ5" s="95" t="s">
        <v>101</v>
      </c>
      <c r="GA5" s="452"/>
      <c r="GB5" s="471">
        <f>GD5+GG5+GJ5+HF5+Tableau6[[#This Row],[PRÊT CREDIT D''IMPOT (PM)]]</f>
        <v>1127563</v>
      </c>
      <c r="GC5" s="644">
        <f t="shared" si="80"/>
        <v>1127563</v>
      </c>
      <c r="GD5" s="507">
        <f>GP5+GQ5+GT5+GU5</f>
        <v>177688</v>
      </c>
      <c r="GE5" s="20">
        <f t="shared" si="81"/>
        <v>2111.2249101258235</v>
      </c>
      <c r="GF5" s="20">
        <f t="shared" si="82"/>
        <v>161080.42857142858</v>
      </c>
      <c r="GG5" s="507">
        <v>294297</v>
      </c>
      <c r="GH5" s="351"/>
      <c r="GI5" s="11">
        <f t="shared" si="83"/>
        <v>42042.428571428572</v>
      </c>
      <c r="GJ5" s="507">
        <f t="shared" si="84"/>
        <v>604971</v>
      </c>
      <c r="GK5" s="5">
        <f>+GL5+GM5</f>
        <v>604971</v>
      </c>
      <c r="GL5" s="6">
        <v>112853</v>
      </c>
      <c r="GM5" s="6">
        <v>492118</v>
      </c>
      <c r="GN5" s="345">
        <f t="shared" si="85"/>
        <v>86424.428571428565</v>
      </c>
      <c r="GO5" s="5">
        <v>0</v>
      </c>
      <c r="GP5" s="8">
        <v>177688</v>
      </c>
      <c r="GQ5" s="34"/>
      <c r="GR5" s="18">
        <f t="shared" si="86"/>
        <v>0.15758587325054121</v>
      </c>
      <c r="GS5" s="35"/>
      <c r="GT5" s="35"/>
      <c r="GU5" s="8">
        <v>0</v>
      </c>
      <c r="GV5" s="20">
        <f t="shared" si="87"/>
        <v>25384</v>
      </c>
      <c r="GW5" s="20">
        <f t="shared" si="88"/>
        <v>67426.428571428565</v>
      </c>
      <c r="GX5" s="567">
        <v>176884.08837750001</v>
      </c>
      <c r="GY5" s="567">
        <v>119543.69426743503</v>
      </c>
      <c r="GZ5" s="567" t="e">
        <f>(#REF!+#REF!+GY5)/AD5</f>
        <v>#REF!</v>
      </c>
      <c r="HA5" s="567">
        <v>0</v>
      </c>
      <c r="HB5" s="567">
        <f t="shared" si="89"/>
        <v>84504.099181062149</v>
      </c>
      <c r="HC5" s="568">
        <f t="shared" si="90"/>
        <v>0.47252544420817433</v>
      </c>
      <c r="HD5" s="567">
        <v>52601.919999999998</v>
      </c>
      <c r="HE5" s="567"/>
      <c r="HF5" s="507">
        <v>50607</v>
      </c>
      <c r="HG5" s="633"/>
      <c r="HH5" s="634">
        <f t="shared" si="91"/>
        <v>0</v>
      </c>
      <c r="HI5" s="635">
        <f t="shared" si="92"/>
        <v>1127563</v>
      </c>
      <c r="HJ5" s="633" t="e">
        <f t="shared" ca="1" si="46"/>
        <v>#VALUE!</v>
      </c>
      <c r="HK5" s="633"/>
      <c r="HL5" s="633"/>
      <c r="HM5" s="633">
        <f t="shared" si="93"/>
        <v>177688</v>
      </c>
      <c r="HN5" s="636">
        <f t="shared" si="94"/>
        <v>0</v>
      </c>
      <c r="HO5" s="636"/>
      <c r="HP5" s="563"/>
      <c r="HQ5" s="47"/>
      <c r="HR5" s="563"/>
      <c r="HS5" s="563">
        <f>SUM(Tableau6[[#This Row],[GO]:[CARRELAGE]])</f>
        <v>0</v>
      </c>
      <c r="HT5" s="461"/>
      <c r="HU5" s="461"/>
      <c r="HV5" s="461"/>
      <c r="HW5" s="461"/>
      <c r="HX5" s="461"/>
      <c r="HY5" s="461"/>
      <c r="HZ5" s="461"/>
      <c r="IA5" s="461"/>
      <c r="IB5" s="461"/>
      <c r="IC5" s="461"/>
      <c r="ID5" s="461"/>
      <c r="IE5" s="461"/>
      <c r="IF5" s="461"/>
      <c r="IG5" s="563"/>
      <c r="IH5" s="563"/>
      <c r="II5" s="563">
        <f>HP5+HR5+Tableau6[[#This Row],[TRAVAUX BATIS]]+Tableau6[[#This Row],[HONORAIRES]]+IH5</f>
        <v>0</v>
      </c>
      <c r="IJ5" s="654">
        <f>Tableau6[[#This Row],[TOTAL PRP HT]]-Tableau6[[#This Row],[PRP TTC HORS FRAFU]]/1.021</f>
        <v>-1104371.2047012735</v>
      </c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ht="20.149999999999999" customHeight="1">
      <c r="A6" s="603" t="s">
        <v>198</v>
      </c>
      <c r="B6" s="2" t="s">
        <v>20</v>
      </c>
      <c r="C6" s="2" t="s">
        <v>87</v>
      </c>
      <c r="D6" s="2">
        <v>2012</v>
      </c>
      <c r="E6" s="2" t="s">
        <v>69</v>
      </c>
      <c r="F6" s="2" t="s">
        <v>40</v>
      </c>
      <c r="G6" s="423" t="s">
        <v>329</v>
      </c>
      <c r="H6" s="22" t="s">
        <v>181</v>
      </c>
      <c r="I6" s="22"/>
      <c r="J6" s="22"/>
      <c r="K6" s="215" t="s">
        <v>421</v>
      </c>
      <c r="L6" s="75"/>
      <c r="M6" s="75"/>
      <c r="N6" s="75"/>
      <c r="O6" s="103">
        <v>3000</v>
      </c>
      <c r="P6" s="103">
        <v>200500</v>
      </c>
      <c r="Q6" s="103">
        <v>112930</v>
      </c>
      <c r="R6" s="103">
        <f>P6/AD6</f>
        <v>20050</v>
      </c>
      <c r="S6" s="103">
        <f t="shared" si="49"/>
        <v>66.833333333333329</v>
      </c>
      <c r="T6" s="103">
        <f t="shared" si="50"/>
        <v>37.643333333333331</v>
      </c>
      <c r="U6" s="103">
        <f>Q6/AK6</f>
        <v>120.70587229312298</v>
      </c>
      <c r="V6" s="103">
        <f>Q6/AD6</f>
        <v>11293</v>
      </c>
      <c r="W6" s="103">
        <f>O6/AD6</f>
        <v>300</v>
      </c>
      <c r="X6" s="104">
        <v>691.97</v>
      </c>
      <c r="Y6" s="444">
        <f t="shared" si="51"/>
        <v>33.333333333333336</v>
      </c>
      <c r="Z6" s="104" t="s">
        <v>147</v>
      </c>
      <c r="AA6" s="106">
        <v>850</v>
      </c>
      <c r="AB6" s="107">
        <v>0.3</v>
      </c>
      <c r="AC6" s="2" t="s">
        <v>10</v>
      </c>
      <c r="AD6" s="426">
        <f t="shared" si="52"/>
        <v>10</v>
      </c>
      <c r="AE6" s="426">
        <f t="shared" si="53"/>
        <v>10</v>
      </c>
      <c r="AF6" s="3"/>
      <c r="AG6" s="2">
        <v>10</v>
      </c>
      <c r="AH6" s="32"/>
      <c r="AI6" s="32"/>
      <c r="AJ6" s="26">
        <v>930.18000000000006</v>
      </c>
      <c r="AK6" s="225">
        <v>935.58</v>
      </c>
      <c r="AL6" s="492">
        <f t="shared" si="54"/>
        <v>93.018000000000001</v>
      </c>
      <c r="AM6" s="4">
        <f t="shared" si="55"/>
        <v>93.558000000000007</v>
      </c>
      <c r="AN6" s="26">
        <v>4.87</v>
      </c>
      <c r="AO6" s="26">
        <v>4.84</v>
      </c>
      <c r="AP6" s="26">
        <v>453.23</v>
      </c>
      <c r="AQ6" s="28"/>
      <c r="AR6" s="28"/>
      <c r="AS6" s="39">
        <f>3/AD6</f>
        <v>0.3</v>
      </c>
      <c r="AT6" s="39">
        <f>5/AD6</f>
        <v>0.5</v>
      </c>
      <c r="AU6" s="39">
        <f>2/AD6</f>
        <v>0.2</v>
      </c>
      <c r="AV6" s="4">
        <v>884</v>
      </c>
      <c r="AW6" s="37">
        <v>91</v>
      </c>
      <c r="AX6" s="39">
        <f>AW6/O6</f>
        <v>3.0333333333333334E-2</v>
      </c>
      <c r="AY6" s="26">
        <v>1.5</v>
      </c>
      <c r="AZ6" s="28" t="s">
        <v>385</v>
      </c>
      <c r="BA6" s="4" t="s">
        <v>95</v>
      </c>
      <c r="BB6" s="26"/>
      <c r="BC6" s="26"/>
      <c r="BD6" s="26"/>
      <c r="BE6" s="26"/>
      <c r="BF6" s="22"/>
      <c r="BG6" s="22"/>
      <c r="BH6" s="89">
        <v>40963</v>
      </c>
      <c r="BI6" s="89"/>
      <c r="BJ6" s="548">
        <v>40998</v>
      </c>
      <c r="BK6" s="548">
        <v>41179</v>
      </c>
      <c r="BL6" s="549"/>
      <c r="BM6" s="547">
        <f t="shared" si="56"/>
        <v>6.0333333333333332</v>
      </c>
      <c r="BN6" s="490"/>
      <c r="BO6" s="467"/>
      <c r="BP6" s="476">
        <v>41256</v>
      </c>
      <c r="BQ6" s="525"/>
      <c r="BR6" s="525"/>
      <c r="BS6" s="77">
        <f>DATE(YEAR(BP6),MONTH(BP6)+3,DAY(BP6))</f>
        <v>41346</v>
      </c>
      <c r="BT6" s="50"/>
      <c r="BU6" s="150">
        <v>41365</v>
      </c>
      <c r="BV6" s="150">
        <f t="shared" si="57"/>
        <v>42461</v>
      </c>
      <c r="BW6" s="373">
        <v>41370</v>
      </c>
      <c r="BX6" s="150" t="str">
        <f>IF(Tableau6[[#This Row],[Montant des loyers perçus avant 1e échéance]]&lt;BW6,"oui","non")</f>
        <v>oui</v>
      </c>
      <c r="BY6" s="475">
        <f>(BV6-EL6)/30</f>
        <v>5.833333333333333</v>
      </c>
      <c r="BZ6" s="373">
        <f>IF((BY6*EO6)&lt;0,"0",BY6*EO6)</f>
        <v>27237.619118622257</v>
      </c>
      <c r="CA6" s="373">
        <f>IF(BW6-BZ6&lt;0,0,Tableau6[[#This Row],[Montant échéance annuelle]]-Tableau6[[#This Row],[Montant des loyers perçus avant 1e échéance]])</f>
        <v>14132.380881377743</v>
      </c>
      <c r="CB6" s="64"/>
      <c r="CC6" s="64"/>
      <c r="CD6" s="64"/>
      <c r="CE6" s="273" t="str">
        <f t="shared" si="58"/>
        <v>0</v>
      </c>
      <c r="CF6" s="64"/>
      <c r="CG6" s="64"/>
      <c r="CH6" s="273" t="str">
        <f t="shared" si="59"/>
        <v>0</v>
      </c>
      <c r="CI6" s="64"/>
      <c r="CJ6" s="64"/>
      <c r="CK6" s="273" t="str">
        <f t="shared" si="60"/>
        <v>0</v>
      </c>
      <c r="CL6" s="64"/>
      <c r="CM6" s="64"/>
      <c r="CN6" s="273" t="str">
        <f t="shared" si="61"/>
        <v>0</v>
      </c>
      <c r="CO6" s="66"/>
      <c r="CP6" s="311"/>
      <c r="CQ6" s="273" t="str">
        <f t="shared" si="62"/>
        <v>0</v>
      </c>
      <c r="CR6" s="239"/>
      <c r="CS6" s="117"/>
      <c r="CT6" s="64"/>
      <c r="CU6" s="117"/>
      <c r="CV6" s="273" t="str">
        <f t="shared" si="63"/>
        <v>0</v>
      </c>
      <c r="CW6" s="64"/>
      <c r="CX6" s="181">
        <v>41451</v>
      </c>
      <c r="CY6" s="175">
        <v>2013</v>
      </c>
      <c r="CZ6" s="232">
        <f t="shared" si="64"/>
        <v>9.0666666666666664</v>
      </c>
      <c r="DA6" s="273" t="str">
        <f t="shared" si="65"/>
        <v>0</v>
      </c>
      <c r="DB6" s="126">
        <v>14</v>
      </c>
      <c r="DC6" s="66">
        <f t="shared" si="66"/>
        <v>26</v>
      </c>
      <c r="DD6" s="159"/>
      <c r="DE6" s="158"/>
      <c r="DF6" s="381" t="str">
        <f t="shared" si="67"/>
        <v>0</v>
      </c>
      <c r="DG6" s="392"/>
      <c r="DH6" s="336"/>
      <c r="DI6" s="337" t="str">
        <f t="shared" si="68"/>
        <v>0</v>
      </c>
      <c r="DJ6" s="133"/>
      <c r="DK6" s="159">
        <f ca="1">IF(DJ6&lt;TODAY(),TODAY(),DJ6)</f>
        <v>43998</v>
      </c>
      <c r="DL6" s="381" t="str">
        <f t="shared" ca="1" si="69"/>
        <v>0</v>
      </c>
      <c r="DM6" s="159"/>
      <c r="DN6" s="159"/>
      <c r="DO6" s="381" t="str">
        <f t="shared" si="70"/>
        <v>0</v>
      </c>
      <c r="DP6" s="159"/>
      <c r="DQ6" s="159"/>
      <c r="DR6" s="381" t="str">
        <f t="shared" si="71"/>
        <v>0</v>
      </c>
      <c r="DS6" s="159"/>
      <c r="DT6" s="159"/>
      <c r="DU6" s="381" t="str">
        <f t="shared" si="72"/>
        <v>0</v>
      </c>
      <c r="DV6" s="159"/>
      <c r="DW6" s="159"/>
      <c r="DX6" s="381" t="str">
        <f t="shared" si="73"/>
        <v>0</v>
      </c>
      <c r="DY6" s="159"/>
      <c r="DZ6" s="159"/>
      <c r="EA6" s="159"/>
      <c r="EB6" s="240">
        <f t="shared" si="74"/>
        <v>41877</v>
      </c>
      <c r="EC6" s="183">
        <v>42265</v>
      </c>
      <c r="ED6" s="401">
        <f t="shared" si="75"/>
        <v>12.933333333333334</v>
      </c>
      <c r="EE6" s="511"/>
      <c r="EF6" s="240"/>
      <c r="EG6" s="67">
        <v>42285</v>
      </c>
      <c r="EH6" s="120" t="s">
        <v>101</v>
      </c>
      <c r="EI6" s="67">
        <v>42277</v>
      </c>
      <c r="EJ6" s="326"/>
      <c r="EK6" s="455">
        <f t="shared" si="95"/>
        <v>41908</v>
      </c>
      <c r="EL6" s="185">
        <v>42286</v>
      </c>
      <c r="EM6" s="241">
        <v>2015</v>
      </c>
      <c r="EN6" s="396">
        <f t="shared" si="27"/>
        <v>12.6</v>
      </c>
      <c r="EO6" s="391">
        <f>56031.6736154515/12</f>
        <v>4669.3061346209588</v>
      </c>
      <c r="EP6" s="117">
        <f t="shared" si="76"/>
        <v>58833.257296224081</v>
      </c>
      <c r="EQ6" s="67"/>
      <c r="ER6" s="67"/>
      <c r="ES6" s="737"/>
      <c r="ET6" s="296"/>
      <c r="EU6" s="387">
        <f>HF6</f>
        <v>179385.62</v>
      </c>
      <c r="EV6" s="300"/>
      <c r="EW6" s="300"/>
      <c r="EX6" s="300"/>
      <c r="EY6" s="416">
        <f t="shared" si="77"/>
        <v>0</v>
      </c>
      <c r="EZ6" s="297"/>
      <c r="FA6" s="308" t="s">
        <v>519</v>
      </c>
      <c r="FB6" s="297"/>
      <c r="FC6" s="297"/>
      <c r="FD6" s="89">
        <f t="shared" si="78"/>
        <v>731</v>
      </c>
      <c r="FE6" s="67" t="s">
        <v>101</v>
      </c>
      <c r="FF6" s="67"/>
      <c r="FG6" s="64" t="s">
        <v>101</v>
      </c>
      <c r="FH6" s="64" t="s">
        <v>101</v>
      </c>
      <c r="FI6" s="64" t="s">
        <v>101</v>
      </c>
      <c r="FJ6" s="341" t="s">
        <v>101</v>
      </c>
      <c r="FK6" s="64">
        <f t="shared" si="79"/>
        <v>42631</v>
      </c>
      <c r="FL6" s="64"/>
      <c r="FM6" s="375"/>
      <c r="FN6" s="95">
        <v>42311</v>
      </c>
      <c r="FO6" s="119" t="s">
        <v>256</v>
      </c>
      <c r="FP6" s="119"/>
      <c r="FQ6" s="119" t="s">
        <v>101</v>
      </c>
      <c r="FR6" s="119">
        <v>42781</v>
      </c>
      <c r="FS6" s="119">
        <v>42781</v>
      </c>
      <c r="FT6" s="63"/>
      <c r="FU6" s="325" t="s">
        <v>413</v>
      </c>
      <c r="FV6" s="22" t="s">
        <v>287</v>
      </c>
      <c r="FW6" s="119">
        <v>42808</v>
      </c>
      <c r="FX6" s="86" t="s">
        <v>101</v>
      </c>
      <c r="FY6" s="119">
        <v>43214</v>
      </c>
      <c r="FZ6" s="95" t="s">
        <v>101</v>
      </c>
      <c r="GA6" s="334">
        <v>1723671</v>
      </c>
      <c r="GB6" s="471">
        <f>GD6+GG6+GJ6+HF6+Tableau6[[#This Row],[PRÊT CREDIT D''IMPOT (PM)]]</f>
        <v>2108085.62</v>
      </c>
      <c r="GC6" s="644">
        <f t="shared" si="80"/>
        <v>2108085.62</v>
      </c>
      <c r="GD6" s="507">
        <f>GP6+GQ6+GT6+GU6</f>
        <v>165000</v>
      </c>
      <c r="GE6" s="20">
        <f t="shared" si="81"/>
        <v>2253.2392954103339</v>
      </c>
      <c r="GF6" s="20">
        <f t="shared" si="82"/>
        <v>210808.56200000001</v>
      </c>
      <c r="GG6" s="507">
        <v>553441</v>
      </c>
      <c r="GH6" s="351"/>
      <c r="GI6" s="11">
        <f t="shared" si="83"/>
        <v>55344.1</v>
      </c>
      <c r="GJ6" s="507">
        <f t="shared" si="84"/>
        <v>1210259</v>
      </c>
      <c r="GK6" s="5">
        <f>+GL6+GM6</f>
        <v>1110259</v>
      </c>
      <c r="GL6" s="6">
        <v>257996</v>
      </c>
      <c r="GM6" s="6">
        <v>852263</v>
      </c>
      <c r="GN6" s="345">
        <f t="shared" si="85"/>
        <v>111025.9</v>
      </c>
      <c r="GO6" s="5">
        <v>100000</v>
      </c>
      <c r="GP6" s="8">
        <v>165000</v>
      </c>
      <c r="GQ6" s="34"/>
      <c r="GR6" s="18">
        <f t="shared" si="86"/>
        <v>7.8270065710139419E-2</v>
      </c>
      <c r="GS6" s="45"/>
      <c r="GT6" s="45"/>
      <c r="GU6" s="8">
        <v>0</v>
      </c>
      <c r="GV6" s="20">
        <f t="shared" si="87"/>
        <v>16500</v>
      </c>
      <c r="GW6" s="20">
        <f t="shared" si="88"/>
        <v>71844.100000000006</v>
      </c>
      <c r="GX6" s="567">
        <v>666201.89926500001</v>
      </c>
      <c r="GY6" s="567">
        <v>200000</v>
      </c>
      <c r="GZ6" s="567" t="e">
        <f>(#REF!+#REF!+GY6)/AD6</f>
        <v>#REF!</v>
      </c>
      <c r="HA6" s="567">
        <v>206916.91</v>
      </c>
      <c r="HB6" s="567">
        <f t="shared" si="89"/>
        <v>112535.791</v>
      </c>
      <c r="HC6" s="568">
        <f t="shared" si="90"/>
        <v>0.42322822103740099</v>
      </c>
      <c r="HD6" s="567">
        <v>115301.53</v>
      </c>
      <c r="HE6" s="570"/>
      <c r="HF6" s="507">
        <v>179385.62</v>
      </c>
      <c r="HG6" s="633"/>
      <c r="HH6" s="634">
        <f t="shared" si="91"/>
        <v>0</v>
      </c>
      <c r="HI6" s="635">
        <f t="shared" si="92"/>
        <v>2108085.62</v>
      </c>
      <c r="HJ6" s="633" t="e">
        <f t="shared" ca="1" si="46"/>
        <v>#VALUE!</v>
      </c>
      <c r="HK6" s="633"/>
      <c r="HL6" s="633"/>
      <c r="HM6" s="633">
        <f t="shared" si="93"/>
        <v>165000</v>
      </c>
      <c r="HN6" s="636">
        <f t="shared" si="94"/>
        <v>0</v>
      </c>
      <c r="HO6" s="636"/>
      <c r="HP6" s="563"/>
      <c r="HQ6" s="47"/>
      <c r="HR6" s="563"/>
      <c r="HS6" s="563">
        <f>SUM(Tableau6[[#This Row],[GO]:[CARRELAGE]])</f>
        <v>0</v>
      </c>
      <c r="HT6" s="461"/>
      <c r="HU6" s="461"/>
      <c r="HV6" s="461"/>
      <c r="HW6" s="461"/>
      <c r="HX6" s="461"/>
      <c r="HY6" s="461"/>
      <c r="HZ6" s="461"/>
      <c r="IA6" s="461"/>
      <c r="IB6" s="461"/>
      <c r="IC6" s="461"/>
      <c r="ID6" s="461"/>
      <c r="IE6" s="461"/>
      <c r="IF6" s="461"/>
      <c r="IG6" s="563"/>
      <c r="IH6" s="563"/>
      <c r="II6" s="563">
        <f>HP6+HR6+Tableau6[[#This Row],[TRAVAUX BATIS]]+Tableau6[[#This Row],[HONORAIRES]]+IH6</f>
        <v>0</v>
      </c>
      <c r="IJ6" s="654">
        <f>Tableau6[[#This Row],[TOTAL PRP HT]]-Tableau6[[#This Row],[PRP TTC HORS FRAFU]]/1.021</f>
        <v>-2064726.366307542</v>
      </c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ht="20.149999999999999" customHeight="1">
      <c r="A7" s="765" t="s">
        <v>937</v>
      </c>
      <c r="B7" s="2" t="s">
        <v>21</v>
      </c>
      <c r="C7" s="2" t="s">
        <v>86</v>
      </c>
      <c r="D7" s="2">
        <v>2011</v>
      </c>
      <c r="E7" s="2" t="s">
        <v>81</v>
      </c>
      <c r="F7" s="2"/>
      <c r="G7" s="423"/>
      <c r="H7" s="22" t="s">
        <v>181</v>
      </c>
      <c r="I7" s="22"/>
      <c r="J7" s="22"/>
      <c r="K7" s="134"/>
      <c r="L7" s="224"/>
      <c r="M7" s="224"/>
      <c r="N7" s="224"/>
      <c r="O7" s="103">
        <v>5169</v>
      </c>
      <c r="P7" s="103">
        <v>830607</v>
      </c>
      <c r="Q7" s="103">
        <v>830607</v>
      </c>
      <c r="R7" s="103">
        <f>P7/(AD7+AD41)</f>
        <v>10648.807692307691</v>
      </c>
      <c r="S7" s="103">
        <f t="shared" si="49"/>
        <v>160.69007544979686</v>
      </c>
      <c r="T7" s="103">
        <f t="shared" si="50"/>
        <v>160.69007544979686</v>
      </c>
      <c r="U7" s="103">
        <f>Q7/(AK7+AK41)</f>
        <v>117.81926965718374</v>
      </c>
      <c r="V7" s="103">
        <f>Q7/(AD7+AD41)</f>
        <v>10648.807692307691</v>
      </c>
      <c r="W7" s="103">
        <f>O7/(AD7+AD41)</f>
        <v>66.269230769230774</v>
      </c>
      <c r="X7" s="104"/>
      <c r="Y7" s="444">
        <f t="shared" si="51"/>
        <v>98.665118978525825</v>
      </c>
      <c r="Z7" s="104" t="s">
        <v>142</v>
      </c>
      <c r="AA7" s="106"/>
      <c r="AB7" s="106"/>
      <c r="AC7" s="2" t="s">
        <v>9</v>
      </c>
      <c r="AD7" s="426">
        <f t="shared" si="52"/>
        <v>51</v>
      </c>
      <c r="AE7" s="426">
        <f t="shared" si="53"/>
        <v>51</v>
      </c>
      <c r="AF7" s="2">
        <v>51</v>
      </c>
      <c r="AG7" s="472"/>
      <c r="AH7" s="217"/>
      <c r="AI7" s="217"/>
      <c r="AJ7" s="26">
        <v>4165.7300000000005</v>
      </c>
      <c r="AK7" s="225">
        <v>4837.3599999999997</v>
      </c>
      <c r="AL7" s="492">
        <f t="shared" si="54"/>
        <v>81.680980392156869</v>
      </c>
      <c r="AM7" s="4">
        <f t="shared" si="55"/>
        <v>94.850196078431367</v>
      </c>
      <c r="AN7" s="26">
        <v>6.89</v>
      </c>
      <c r="AO7" s="26">
        <v>5.93</v>
      </c>
      <c r="AP7" s="26">
        <v>562.6</v>
      </c>
      <c r="AQ7" s="26"/>
      <c r="AR7" s="26"/>
      <c r="AS7" s="26"/>
      <c r="AT7" s="26"/>
      <c r="AU7" s="26"/>
      <c r="AV7" s="4">
        <v>900</v>
      </c>
      <c r="AW7" s="37">
        <v>0</v>
      </c>
      <c r="AX7" s="39">
        <f>AW7/O7</f>
        <v>0</v>
      </c>
      <c r="AY7" s="26"/>
      <c r="AZ7" s="25" t="s">
        <v>386</v>
      </c>
      <c r="BA7" s="468" t="s">
        <v>94</v>
      </c>
      <c r="BB7" s="437">
        <v>8947368.421052631</v>
      </c>
      <c r="BC7" s="437">
        <f>BB7/AJ7</f>
        <v>2147.8512580154329</v>
      </c>
      <c r="BD7" s="334">
        <f>BB7/AK7</f>
        <v>1849.6387329147783</v>
      </c>
      <c r="BE7" s="334">
        <f>BB7/AD7</f>
        <v>175438.59649122806</v>
      </c>
      <c r="BF7" s="22"/>
      <c r="BG7" s="22"/>
      <c r="BH7" s="89">
        <v>40816</v>
      </c>
      <c r="BI7" s="89"/>
      <c r="BJ7" s="548">
        <v>40632</v>
      </c>
      <c r="BK7" s="548">
        <v>40722</v>
      </c>
      <c r="BL7" s="549">
        <v>42317</v>
      </c>
      <c r="BM7" s="547">
        <f t="shared" si="56"/>
        <v>3</v>
      </c>
      <c r="BN7" s="490"/>
      <c r="BO7" s="469"/>
      <c r="BP7" s="470"/>
      <c r="BQ7" s="481"/>
      <c r="BR7" s="481"/>
      <c r="BS7" s="55"/>
      <c r="BT7" s="55"/>
      <c r="BU7" s="150">
        <v>41311</v>
      </c>
      <c r="BV7" s="150">
        <f t="shared" si="57"/>
        <v>42406</v>
      </c>
      <c r="BW7" s="150"/>
      <c r="BX7" s="150" t="str">
        <f>IF(Tableau6[[#This Row],[Montant des loyers perçus avant 1e échéance]]&lt;BW7,"oui","non")</f>
        <v>non</v>
      </c>
      <c r="BY7" s="373">
        <f>DATEDIF(EL7,BV7,"M")</f>
        <v>23</v>
      </c>
      <c r="BZ7" s="373">
        <f>BY7*EO7</f>
        <v>703064</v>
      </c>
      <c r="CA7" s="373">
        <f>IF(BW7-BZ7&lt;0,0,Tableau6[[#This Row],[Montant échéance annuelle]]-Tableau6[[#This Row],[Montant des loyers perçus avant 1e échéance]])</f>
        <v>0</v>
      </c>
      <c r="CB7" s="64"/>
      <c r="CC7" s="64"/>
      <c r="CD7" s="64"/>
      <c r="CE7" s="273" t="str">
        <f t="shared" si="58"/>
        <v>0</v>
      </c>
      <c r="CF7" s="64"/>
      <c r="CG7" s="64"/>
      <c r="CH7" s="273" t="str">
        <f t="shared" si="59"/>
        <v>0</v>
      </c>
      <c r="CI7" s="64"/>
      <c r="CJ7" s="64"/>
      <c r="CK7" s="273" t="str">
        <f t="shared" si="60"/>
        <v>0</v>
      </c>
      <c r="CL7" s="64"/>
      <c r="CM7" s="64"/>
      <c r="CN7" s="273" t="str">
        <f t="shared" si="61"/>
        <v>0</v>
      </c>
      <c r="CO7" s="66"/>
      <c r="CP7" s="311"/>
      <c r="CQ7" s="273" t="str">
        <f t="shared" si="62"/>
        <v>0</v>
      </c>
      <c r="CR7" s="239"/>
      <c r="CS7" s="117"/>
      <c r="CT7" s="64"/>
      <c r="CU7" s="117"/>
      <c r="CV7" s="273" t="str">
        <f t="shared" si="63"/>
        <v>0</v>
      </c>
      <c r="CW7" s="64"/>
      <c r="CX7" s="182">
        <v>40898</v>
      </c>
      <c r="CY7" s="175">
        <v>2011</v>
      </c>
      <c r="CZ7" s="232">
        <f t="shared" si="64"/>
        <v>5.8666666666666663</v>
      </c>
      <c r="DA7" s="273" t="str">
        <f t="shared" si="65"/>
        <v>0</v>
      </c>
      <c r="DB7" s="66">
        <v>22</v>
      </c>
      <c r="DC7" s="66">
        <f t="shared" si="66"/>
        <v>22</v>
      </c>
      <c r="DD7" s="159"/>
      <c r="DE7" s="158"/>
      <c r="DF7" s="381" t="str">
        <f t="shared" si="67"/>
        <v>0</v>
      </c>
      <c r="DG7" s="392"/>
      <c r="DH7" s="336"/>
      <c r="DI7" s="337" t="str">
        <f t="shared" si="68"/>
        <v>0</v>
      </c>
      <c r="DJ7" s="133"/>
      <c r="DK7" s="159"/>
      <c r="DL7" s="381" t="str">
        <f t="shared" si="69"/>
        <v>0</v>
      </c>
      <c r="DM7" s="159"/>
      <c r="DN7" s="159"/>
      <c r="DO7" s="381" t="str">
        <f t="shared" si="70"/>
        <v>0</v>
      </c>
      <c r="DP7" s="159"/>
      <c r="DQ7" s="159"/>
      <c r="DR7" s="381" t="str">
        <f t="shared" si="71"/>
        <v>0</v>
      </c>
      <c r="DS7" s="159"/>
      <c r="DT7" s="159"/>
      <c r="DU7" s="381" t="str">
        <f t="shared" si="72"/>
        <v>0</v>
      </c>
      <c r="DV7" s="159"/>
      <c r="DW7" s="159"/>
      <c r="DX7" s="381" t="str">
        <f t="shared" si="73"/>
        <v>0</v>
      </c>
      <c r="DY7" s="159"/>
      <c r="DZ7" s="159"/>
      <c r="EA7" s="159"/>
      <c r="EB7" s="240">
        <f t="shared" si="74"/>
        <v>41568</v>
      </c>
      <c r="EC7" s="185">
        <v>41568</v>
      </c>
      <c r="ED7" s="402">
        <f t="shared" si="75"/>
        <v>0</v>
      </c>
      <c r="EE7" s="510"/>
      <c r="EF7" s="326"/>
      <c r="EG7" s="67">
        <v>41611</v>
      </c>
      <c r="EH7" s="67" t="s">
        <v>101</v>
      </c>
      <c r="EI7" s="67">
        <v>41683</v>
      </c>
      <c r="EJ7" s="411"/>
      <c r="EK7" s="455">
        <f t="shared" si="95"/>
        <v>41599</v>
      </c>
      <c r="EL7" s="328">
        <v>41683</v>
      </c>
      <c r="EM7" s="324">
        <v>2014</v>
      </c>
      <c r="EN7" s="397">
        <f t="shared" si="27"/>
        <v>2.8</v>
      </c>
      <c r="EO7" s="391">
        <v>30568</v>
      </c>
      <c r="EP7" s="117">
        <f t="shared" si="76"/>
        <v>85590.399999999994</v>
      </c>
      <c r="EQ7" s="90"/>
      <c r="ER7" s="90">
        <v>41568</v>
      </c>
      <c r="ES7" s="738">
        <f>(Tableau6[[#This Row],[Date inauguration recalée]]-ER7)/30</f>
        <v>3.8333333333333335</v>
      </c>
      <c r="ET7" s="296"/>
      <c r="EU7" s="387">
        <f>HF7</f>
        <v>0</v>
      </c>
      <c r="EV7" s="300"/>
      <c r="EW7" s="300"/>
      <c r="EX7" s="300"/>
      <c r="EY7" s="416">
        <f t="shared" si="77"/>
        <v>0</v>
      </c>
      <c r="EZ7" s="297"/>
      <c r="FA7" s="308"/>
      <c r="FB7" s="297"/>
      <c r="FC7" s="297"/>
      <c r="FD7" s="89">
        <f t="shared" si="78"/>
        <v>731</v>
      </c>
      <c r="FE7" s="64"/>
      <c r="FF7" s="64"/>
      <c r="FG7" s="64"/>
      <c r="FH7" s="64"/>
      <c r="FI7" s="64"/>
      <c r="FJ7" s="57"/>
      <c r="FK7" s="64">
        <f t="shared" si="79"/>
        <v>41933</v>
      </c>
      <c r="FL7" s="64"/>
      <c r="FM7" s="375">
        <v>0</v>
      </c>
      <c r="FN7" s="64" t="s">
        <v>212</v>
      </c>
      <c r="FO7" s="64" t="s">
        <v>101</v>
      </c>
      <c r="FP7" s="64"/>
      <c r="FQ7" s="64"/>
      <c r="FR7" s="64"/>
      <c r="FS7" s="64"/>
      <c r="FT7" s="64"/>
      <c r="FU7" s="56">
        <v>42121</v>
      </c>
      <c r="FV7" s="56"/>
      <c r="FW7" s="95"/>
      <c r="FX7" s="95"/>
      <c r="FY7" s="64"/>
      <c r="FZ7" s="64" t="s">
        <v>101</v>
      </c>
      <c r="GA7" s="450"/>
      <c r="GB7" s="471">
        <f>GD7+GG7+GJ7+HF7+Tableau6[[#This Row],[PRÊT CREDIT D''IMPOT (PM)]]</f>
        <v>9522775</v>
      </c>
      <c r="GC7" s="644">
        <f t="shared" si="80"/>
        <v>9522775</v>
      </c>
      <c r="GD7" s="507">
        <f>GP7+GQ7+GT7+GU7</f>
        <v>300000</v>
      </c>
      <c r="GE7" s="20">
        <f t="shared" si="81"/>
        <v>1968.5892718342238</v>
      </c>
      <c r="GF7" s="20">
        <f t="shared" si="82"/>
        <v>186721.07843137256</v>
      </c>
      <c r="GG7" s="507">
        <v>2932668</v>
      </c>
      <c r="GH7" s="351"/>
      <c r="GI7" s="11">
        <f t="shared" si="83"/>
        <v>57503.294117647056</v>
      </c>
      <c r="GJ7" s="507">
        <f t="shared" si="84"/>
        <v>6290107</v>
      </c>
      <c r="GK7" s="5">
        <f>+GL7+GM7</f>
        <v>6290107</v>
      </c>
      <c r="GL7" s="6">
        <v>1887032</v>
      </c>
      <c r="GM7" s="6">
        <v>4403075</v>
      </c>
      <c r="GN7" s="345">
        <f t="shared" si="85"/>
        <v>123335.43137254902</v>
      </c>
      <c r="GO7" s="5">
        <v>0</v>
      </c>
      <c r="GP7" s="8">
        <v>300000</v>
      </c>
      <c r="GQ7" s="34"/>
      <c r="GR7" s="18">
        <f t="shared" si="86"/>
        <v>3.150342205922118E-2</v>
      </c>
      <c r="GS7" s="45"/>
      <c r="GT7" s="45"/>
      <c r="GU7" s="8">
        <v>0</v>
      </c>
      <c r="GV7" s="20">
        <f t="shared" si="87"/>
        <v>5882.3529411764703</v>
      </c>
      <c r="GW7" s="20">
        <f t="shared" si="88"/>
        <v>63385.647058823532</v>
      </c>
      <c r="GX7" s="567">
        <v>0</v>
      </c>
      <c r="GY7" s="567">
        <v>0</v>
      </c>
      <c r="GZ7" s="567" t="e">
        <f>(#REF!+#REF!+GY7)/AD7</f>
        <v>#REF!</v>
      </c>
      <c r="HA7" s="567">
        <v>0</v>
      </c>
      <c r="HB7" s="567">
        <f t="shared" si="89"/>
        <v>63385.647058823532</v>
      </c>
      <c r="HC7" s="568">
        <f t="shared" si="90"/>
        <v>0.33946701460446144</v>
      </c>
      <c r="HD7" s="567"/>
      <c r="HE7" s="567"/>
      <c r="HF7" s="507">
        <v>0</v>
      </c>
      <c r="HG7" s="633"/>
      <c r="HH7" s="634">
        <f t="shared" si="91"/>
        <v>0</v>
      </c>
      <c r="HI7" s="635">
        <f t="shared" si="92"/>
        <v>9522775</v>
      </c>
      <c r="HJ7" s="633" t="e">
        <f t="shared" ca="1" si="46"/>
        <v>#VALUE!</v>
      </c>
      <c r="HK7" s="633"/>
      <c r="HL7" s="633"/>
      <c r="HM7" s="633">
        <f t="shared" si="93"/>
        <v>300000</v>
      </c>
      <c r="HN7" s="636">
        <f t="shared" si="94"/>
        <v>0</v>
      </c>
      <c r="HO7" s="636"/>
      <c r="HP7" s="563"/>
      <c r="HQ7" s="47"/>
      <c r="HR7" s="563"/>
      <c r="HS7" s="563">
        <f>SUM(Tableau6[[#This Row],[GO]:[CARRELAGE]])</f>
        <v>0</v>
      </c>
      <c r="HT7" s="461"/>
      <c r="HU7" s="461"/>
      <c r="HV7" s="461"/>
      <c r="HW7" s="461"/>
      <c r="HX7" s="461"/>
      <c r="HY7" s="461"/>
      <c r="HZ7" s="461"/>
      <c r="IA7" s="461"/>
      <c r="IB7" s="461"/>
      <c r="IC7" s="461"/>
      <c r="ID7" s="461"/>
      <c r="IE7" s="461"/>
      <c r="IF7" s="461"/>
      <c r="IG7" s="563"/>
      <c r="IH7" s="563"/>
      <c r="II7" s="563">
        <f>HP7+HR7+Tableau6[[#This Row],[TRAVAUX BATIS]]+Tableau6[[#This Row],[HONORAIRES]]+IH7</f>
        <v>0</v>
      </c>
      <c r="IJ7" s="654">
        <f>Tableau6[[#This Row],[TOTAL PRP HT]]-Tableau6[[#This Row],[PRP TTC HORS FRAFU]]/1.021</f>
        <v>-9326909.8922624886</v>
      </c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s="12" customFormat="1" ht="20.149999999999999" customHeight="1">
      <c r="A8" s="770" t="s">
        <v>835</v>
      </c>
      <c r="B8" s="2" t="s">
        <v>21</v>
      </c>
      <c r="C8" s="2" t="s">
        <v>86</v>
      </c>
      <c r="D8" s="2">
        <v>2020</v>
      </c>
      <c r="E8" s="2" t="s">
        <v>756</v>
      </c>
      <c r="F8" s="2" t="s">
        <v>686</v>
      </c>
      <c r="G8" s="2" t="s">
        <v>329</v>
      </c>
      <c r="H8" s="24" t="s">
        <v>552</v>
      </c>
      <c r="I8" s="22"/>
      <c r="J8" s="22" t="s">
        <v>675</v>
      </c>
      <c r="K8" s="134" t="s">
        <v>674</v>
      </c>
      <c r="L8" s="78"/>
      <c r="M8" s="51"/>
      <c r="N8" s="52"/>
      <c r="O8" s="103">
        <v>4330</v>
      </c>
      <c r="P8" s="103">
        <v>400000</v>
      </c>
      <c r="Q8" s="103">
        <v>400000</v>
      </c>
      <c r="R8" s="103">
        <f>P8/AD8</f>
        <v>19047.619047619046</v>
      </c>
      <c r="S8" s="103">
        <f>P8/O8</f>
        <v>92.378752886836025</v>
      </c>
      <c r="T8" s="109">
        <f>Q8/O8</f>
        <v>92.378752886836025</v>
      </c>
      <c r="U8" s="109">
        <f>Q8/AK8</f>
        <v>217.75699408245367</v>
      </c>
      <c r="V8" s="109">
        <f>Q8/AD8</f>
        <v>19047.619047619046</v>
      </c>
      <c r="W8" s="103">
        <f>O8/AD8</f>
        <v>206.1904761904762</v>
      </c>
      <c r="X8" s="104"/>
      <c r="Y8" s="447">
        <f t="shared" ref="Y8:Y39" si="96">10000*AD8/O8</f>
        <v>48.498845265588912</v>
      </c>
      <c r="Z8" s="104" t="s">
        <v>676</v>
      </c>
      <c r="AA8" s="106">
        <v>760</v>
      </c>
      <c r="AB8" s="107">
        <v>0.2</v>
      </c>
      <c r="AC8" s="2" t="s">
        <v>9</v>
      </c>
      <c r="AD8" s="426">
        <f t="shared" ref="AD8:AD39" si="97">SUM(AF8:AI8)</f>
        <v>21</v>
      </c>
      <c r="AE8" s="426">
        <f t="shared" ref="AE8:AE39" si="98">AD8-AI8</f>
        <v>21</v>
      </c>
      <c r="AF8" s="2">
        <v>21</v>
      </c>
      <c r="AG8" s="3"/>
      <c r="AH8" s="32"/>
      <c r="AI8" s="32"/>
      <c r="AJ8" s="615">
        <v>1619.94</v>
      </c>
      <c r="AK8" s="225">
        <v>1836.91</v>
      </c>
      <c r="AL8" s="492">
        <f t="shared" ref="AL8:AL39" si="99">AJ8/AD8</f>
        <v>77.14</v>
      </c>
      <c r="AM8" s="4">
        <f t="shared" ref="AM8:AM39" si="100">AK8/AD8</f>
        <v>87.471904761904767</v>
      </c>
      <c r="AN8" s="26">
        <v>6.65</v>
      </c>
      <c r="AO8" s="26">
        <v>6.65</v>
      </c>
      <c r="AP8" s="26"/>
      <c r="AQ8" s="39"/>
      <c r="AR8" s="39"/>
      <c r="AS8" s="39"/>
      <c r="AT8" s="39"/>
      <c r="AU8" s="39"/>
      <c r="AV8" s="4"/>
      <c r="AW8" s="37"/>
      <c r="AX8" s="39"/>
      <c r="AY8" s="26"/>
      <c r="AZ8" s="25" t="s">
        <v>386</v>
      </c>
      <c r="BA8" s="2" t="s">
        <v>94</v>
      </c>
      <c r="BB8" s="32"/>
      <c r="BC8" s="32"/>
      <c r="BD8" s="32"/>
      <c r="BE8" s="32"/>
      <c r="BF8" s="123" t="s">
        <v>830</v>
      </c>
      <c r="BG8" s="123"/>
      <c r="BH8" s="56">
        <v>43781</v>
      </c>
      <c r="BI8" s="89"/>
      <c r="BJ8" s="548"/>
      <c r="BK8" s="548"/>
      <c r="BL8" s="549"/>
      <c r="BM8" s="547">
        <f t="shared" ref="BM8:BM39" si="101">(DATEDIF(BJ8,BK8,"d"))/30</f>
        <v>0</v>
      </c>
      <c r="BN8" s="490" t="s">
        <v>229</v>
      </c>
      <c r="BO8" s="76"/>
      <c r="BP8" s="99"/>
      <c r="BQ8" s="536">
        <f>(DATEDIF(BO8,BP8,"d"))/30</f>
        <v>0</v>
      </c>
      <c r="BR8" s="529"/>
      <c r="BS8" s="77"/>
      <c r="BT8" s="77"/>
      <c r="BU8" s="151"/>
      <c r="BV8" s="150">
        <f t="shared" ref="BV8:BV39" si="102">DATE(YEAR(BU8),MONTH(BU8)+36,DAY(BU8))</f>
        <v>1096</v>
      </c>
      <c r="BW8" s="373"/>
      <c r="BX8" s="150" t="str">
        <f>IF(Tableau6[[#This Row],[Montant des loyers perçus avant 1e échéance]]&lt;BW8,"oui","non")</f>
        <v>non</v>
      </c>
      <c r="BY8" s="475">
        <f>(BV8-EL8)/30</f>
        <v>-1462.5333333333333</v>
      </c>
      <c r="BZ8" s="373">
        <f>IF((BY8*EO8)&lt;0,"0",BY8*EO8)</f>
        <v>0</v>
      </c>
      <c r="CA8" s="373">
        <f>IF(BW8-BZ8&lt;0,0,Tableau6[[#This Row],[Montant échéance annuelle]]-Tableau6[[#This Row],[Montant des loyers perçus avant 1e échéance]])</f>
        <v>0</v>
      </c>
      <c r="CB8" s="159">
        <v>43558</v>
      </c>
      <c r="CC8" s="64">
        <v>43573</v>
      </c>
      <c r="CD8" s="64">
        <v>43563</v>
      </c>
      <c r="CE8" s="273">
        <f t="shared" ref="CE8:CE23" si="103">IF(AND(CC8&gt;0,CD8&gt;0),CD8-CC8,"0")</f>
        <v>-10</v>
      </c>
      <c r="CF8" s="64">
        <v>43615</v>
      </c>
      <c r="CG8" s="64">
        <v>43614</v>
      </c>
      <c r="CH8" s="273">
        <f t="shared" ref="CH8:CH23" si="104">IF(AND(CF8&gt;0,CG8&gt;0),CG8-CF8,"0")</f>
        <v>-1</v>
      </c>
      <c r="CI8" s="159">
        <v>43709</v>
      </c>
      <c r="CJ8" s="65">
        <f ca="1">IF(CI8&lt;TODAY(),TODAY(),CI8)</f>
        <v>43998</v>
      </c>
      <c r="CK8" s="580">
        <f t="shared" ref="CK8:CK23" ca="1" si="105">IF(AND(CI8&gt;0,CJ8&gt;0),CJ8-CI8,"0")</f>
        <v>289</v>
      </c>
      <c r="CL8" s="288">
        <v>44077</v>
      </c>
      <c r="CM8" s="288">
        <f ca="1">IF(CL8&lt;TODAY(),TODAY(),CL8)</f>
        <v>44077</v>
      </c>
      <c r="CN8" s="290">
        <f t="shared" ref="CN8:CN23" ca="1" si="106">IF(AND(CL8&gt;0,CM8&gt;0),CM8-CL8,"0")</f>
        <v>0</v>
      </c>
      <c r="CO8" s="288">
        <v>44168</v>
      </c>
      <c r="CP8" s="288">
        <f ca="1">IF(CO8&lt;TODAY(),TODAY(),CO8)</f>
        <v>44168</v>
      </c>
      <c r="CQ8" s="290">
        <f t="shared" ref="CQ8:CQ39" ca="1" si="107">IF(AND(CO8&gt;0,CP8&gt;0),CP8-CO8,"0")</f>
        <v>0</v>
      </c>
      <c r="CR8" s="237"/>
      <c r="CS8" s="286">
        <v>44287</v>
      </c>
      <c r="CT8" s="277">
        <v>44348</v>
      </c>
      <c r="CU8" s="278"/>
      <c r="CV8" s="279" t="str">
        <f t="shared" ref="CV8:CV20" si="108">IF(AND(CT8&gt;0,CU8&gt;0),CU8-CT8,"0")</f>
        <v>0</v>
      </c>
      <c r="CW8" s="277">
        <v>44362</v>
      </c>
      <c r="CX8" s="382">
        <v>44362</v>
      </c>
      <c r="CY8" s="178"/>
      <c r="CZ8" s="231">
        <f t="shared" ref="CZ8:CZ39" si="109">(DATEDIF(BK8,CX8,"d"))/30</f>
        <v>1478.7333333333333</v>
      </c>
      <c r="DA8" s="279">
        <f t="shared" ref="DA8:DA39" si="110">IF(AND(CW8&gt;0,CX8&gt;0),CX8-CW8,"0")</f>
        <v>0</v>
      </c>
      <c r="DB8" s="383">
        <v>16</v>
      </c>
      <c r="DC8" s="127">
        <f t="shared" ref="DC8:DC39" si="111">DATEDIF(CX8,EC8,"M")</f>
        <v>19</v>
      </c>
      <c r="DD8" s="277"/>
      <c r="DE8" s="282">
        <f ca="1">IF(DD8&lt;TODAY(),TODAY(),DD8)</f>
        <v>43998</v>
      </c>
      <c r="DF8" s="279" t="str">
        <f t="shared" ref="DF8:DF39" ca="1" si="112">IF(AND(DD8&gt;0,DE8&gt;0),DE8-DD8,"0")</f>
        <v>0</v>
      </c>
      <c r="DG8" s="766"/>
      <c r="DH8" s="295">
        <f ca="1">IF(DG8&lt;TODAY(),TODAY(),DG8)</f>
        <v>43998</v>
      </c>
      <c r="DI8" s="280" t="str">
        <f t="shared" ref="DI8:DI39" ca="1" si="113">IF(AND(DG8&gt;0,DH8&gt;0),DH8-DG8,"0")</f>
        <v>0</v>
      </c>
      <c r="DJ8" s="281"/>
      <c r="DK8" s="282">
        <f ca="1">IF(DJ8&lt;TODAY(),TODAY(),DJ8)</f>
        <v>43998</v>
      </c>
      <c r="DL8" s="279" t="str">
        <f t="shared" ref="DL8:DL39" ca="1" si="114">IF(AND(DJ8&gt;0,DK8&gt;0),DK8-DJ8,"0")</f>
        <v>0</v>
      </c>
      <c r="DM8" s="282"/>
      <c r="DN8" s="282">
        <f ca="1">IF(DM8&lt;TODAY(),TODAY(),DM8)</f>
        <v>43998</v>
      </c>
      <c r="DO8" s="279" t="str">
        <f t="shared" ref="DO8:DO39" ca="1" si="115">IF(AND(DM8&gt;0,DN8&gt;0),DN8-DM8,"0")</f>
        <v>0</v>
      </c>
      <c r="DP8" s="283"/>
      <c r="DQ8" s="283"/>
      <c r="DR8" s="279" t="str">
        <f t="shared" ref="DR8:DR39" si="116">IF(AND(DP8&gt;0,DQ8&gt;0),DQ8-DP8,"0")</f>
        <v>0</v>
      </c>
      <c r="DS8" s="282"/>
      <c r="DT8" s="282">
        <f ca="1">IF(DS8&lt;TODAY(),TODAY(),DS8)</f>
        <v>43998</v>
      </c>
      <c r="DU8" s="279" t="str">
        <f t="shared" ref="DU8:DU39" ca="1" si="117">IF(AND(DS8&gt;0,DT8&gt;0),DT8-DS8,"0")</f>
        <v>0</v>
      </c>
      <c r="DV8" s="282"/>
      <c r="DW8" s="282">
        <f ca="1">IF(DV8&lt;TODAY(),TODAY(),DV8)</f>
        <v>43998</v>
      </c>
      <c r="DX8" s="279" t="str">
        <f t="shared" ref="DX8:DX39" ca="1" si="118">IF(AND(DV8&gt;0,DW8&gt;0),DW8-DV8,"0")</f>
        <v>0</v>
      </c>
      <c r="DY8" s="282"/>
      <c r="DZ8" s="282"/>
      <c r="EA8" s="282"/>
      <c r="EB8" s="410">
        <f t="shared" ref="EB8:EB39" si="119">DATE(YEAR(CX8),MONTH(CX8)+DB8,DAY(CX8))</f>
        <v>44849</v>
      </c>
      <c r="EC8" s="409">
        <f>DATE(YEAR(EB8),MONTH(EB8)+3,DAY(EB8))</f>
        <v>44941</v>
      </c>
      <c r="ED8" s="406">
        <f t="shared" ref="ED8:ED39" si="120">(EC8-EB8)/30</f>
        <v>3.0666666666666669</v>
      </c>
      <c r="EE8" s="513">
        <f ca="1">IF(((EC8-TODAY())/30)&lt;0,0,(EC8-TODAY())/30)</f>
        <v>31.433333333333334</v>
      </c>
      <c r="EF8" s="408">
        <f ca="1">DATE(YEAR(DH8)+2,MONTH(DH8),DAY(DH8))</f>
        <v>44728</v>
      </c>
      <c r="EG8" s="448"/>
      <c r="EH8" s="448"/>
      <c r="EI8" s="448">
        <f>DATE(YEAR(EC8),MONTH(EC8)+4,DAY(EC8)+2)</f>
        <v>45063</v>
      </c>
      <c r="EJ8" s="242"/>
      <c r="EK8" s="456">
        <f>DATE(YEAR(EB8),MONTH(EB8)+1,DAY(EB8))</f>
        <v>44880</v>
      </c>
      <c r="EL8" s="409">
        <f>DATE(YEAR(EC8),MONTH(EC8)+1,DAY(EC8))</f>
        <v>44972</v>
      </c>
      <c r="EM8" s="314"/>
      <c r="EN8" s="404">
        <f>(DATEDIF(EK8,EL8,"d"))/30</f>
        <v>3.0666666666666669</v>
      </c>
      <c r="EO8" s="394"/>
      <c r="EP8" s="131">
        <f t="shared" ref="EP8:EP39" si="121">EO8*EN8</f>
        <v>0</v>
      </c>
      <c r="EQ8" s="60"/>
      <c r="ER8" s="60"/>
      <c r="ES8" s="742"/>
      <c r="ET8" s="300"/>
      <c r="EU8" s="300"/>
      <c r="EV8" s="300"/>
      <c r="EW8" s="300"/>
      <c r="EX8" s="300"/>
      <c r="EY8" s="416">
        <f t="shared" ref="EY8:EY39" si="122">EX8/GB8</f>
        <v>0</v>
      </c>
      <c r="EZ8" s="297"/>
      <c r="FA8" s="308"/>
      <c r="FB8" s="297"/>
      <c r="FC8" s="308" t="s">
        <v>800</v>
      </c>
      <c r="FD8" s="89">
        <f t="shared" ref="FD8:FD23" ca="1" si="123">DATE(YEAR(DH8),MONTH(DH8)+24,DAY(DH8))</f>
        <v>44728</v>
      </c>
      <c r="FE8" s="63"/>
      <c r="FF8" s="63"/>
      <c r="FG8" s="63"/>
      <c r="FH8" s="63"/>
      <c r="FI8" s="63"/>
      <c r="FJ8" s="22"/>
      <c r="FK8" s="146">
        <f t="shared" ref="FK8:FK39" si="124">DATE(YEAR(EC8)+1,MONTH(EC8),DAY(EC8))</f>
        <v>45306</v>
      </c>
      <c r="FL8" s="146"/>
      <c r="FM8" s="146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451"/>
      <c r="GB8" s="471">
        <f>GD8+GG8+GJ8+HF8+Tableau6[[#This Row],[PRÊT CREDIT D''IMPOT (PM)]]</f>
        <v>4498215.97</v>
      </c>
      <c r="GC8" s="645">
        <f>GB8</f>
        <v>4498215.97</v>
      </c>
      <c r="GD8" s="507">
        <v>693000.63</v>
      </c>
      <c r="GE8" s="20">
        <f t="shared" ref="GE8:GE39" si="125">GB8/AK8</f>
        <v>2448.7949709022214</v>
      </c>
      <c r="GF8" s="20">
        <f t="shared" ref="GF8:GF39" si="126">GB8/AD8</f>
        <v>214200.76047619045</v>
      </c>
      <c r="GG8" s="503">
        <v>1385908.46</v>
      </c>
      <c r="GH8" s="351"/>
      <c r="GI8" s="11">
        <f>GG8/AD8</f>
        <v>65995.640952380956</v>
      </c>
      <c r="GJ8" s="503">
        <f t="shared" ref="GJ8:GJ39" si="127">GK8+GO8+GS8</f>
        <v>2419306.88</v>
      </c>
      <c r="GK8" s="5">
        <f>GL8+GM8</f>
        <v>2419306.88</v>
      </c>
      <c r="GL8" s="6">
        <v>530580.93999999994</v>
      </c>
      <c r="GM8" s="6">
        <v>1888725.94</v>
      </c>
      <c r="GN8" s="345">
        <f t="shared" ref="GN8:GN39" si="128">GK8/AD8</f>
        <v>115205.08952380953</v>
      </c>
      <c r="GO8" s="5"/>
      <c r="GP8" s="5">
        <v>693000.63</v>
      </c>
      <c r="GQ8" s="35"/>
      <c r="GR8" s="18">
        <f t="shared" ref="GR8:GR39" si="129">GP8/GB8</f>
        <v>0.15406121774095255</v>
      </c>
      <c r="GS8" s="35"/>
      <c r="GT8" s="35"/>
      <c r="GU8" s="5"/>
      <c r="GV8" s="20">
        <f t="shared" ref="GV8:GV28" si="130">GP8/AD8</f>
        <v>33000.03</v>
      </c>
      <c r="GW8" s="20">
        <f t="shared" ref="GW8:GW28" si="131">(GG8+GP8)/AD8</f>
        <v>98995.67095238094</v>
      </c>
      <c r="GX8" s="567"/>
      <c r="GY8" s="567"/>
      <c r="GZ8" s="567">
        <f>(GG8+GP8+GY8)/AD8</f>
        <v>98995.67095238094</v>
      </c>
      <c r="HA8" s="567"/>
      <c r="HB8" s="567">
        <f t="shared" ref="HB8:HB28" si="132">(GG8+GP8+GY8+HA8)/AD8</f>
        <v>98995.67095238094</v>
      </c>
      <c r="HC8" s="568">
        <f>(GG8+GP8+GY8+HA8)/(GX8+GB8-HD8)</f>
        <v>0.46216302282168992</v>
      </c>
      <c r="HD8" s="567"/>
      <c r="HE8" s="567"/>
      <c r="HF8" s="503"/>
      <c r="HG8" s="633">
        <v>31301</v>
      </c>
      <c r="HH8" s="634">
        <f t="shared" ref="HH8:HH39" si="133">HG8/GB8</f>
        <v>6.9585364973038417E-3</v>
      </c>
      <c r="HI8" s="633">
        <f t="shared" ref="HI8:HI27" si="134">GB8-HG8</f>
        <v>4466914.97</v>
      </c>
      <c r="HJ8" s="633" t="e">
        <f ca="1">IF(EE8&lt;DATEDIF(TODAY(),$HJ$1,"M"),HI8,(HI8/EE8*DATEDIF(TODAY(),$HJ$1,"M")))*0+100000</f>
        <v>#VALUE!</v>
      </c>
      <c r="HK8" s="634" t="e">
        <f ca="1">(HG8+HJ8)/GB8</f>
        <v>#VALUE!</v>
      </c>
      <c r="HL8" s="633"/>
      <c r="HM8" s="633">
        <f t="shared" ref="HM8:HM39" si="135">GD8-HL8</f>
        <v>693000.63</v>
      </c>
      <c r="HN8" s="633">
        <f t="shared" ref="HN8:HN39" si="136">HL8/GD8</f>
        <v>0</v>
      </c>
      <c r="HO8" s="633"/>
      <c r="HP8" s="563">
        <v>381100.44036207715</v>
      </c>
      <c r="HQ8" s="47">
        <v>270227.31452982762</v>
      </c>
      <c r="HR8" s="563">
        <v>592639.54909989366</v>
      </c>
      <c r="HS8" s="563">
        <f>SUM(Tableau6[[#This Row],[GO]:[CARRELAGE]])</f>
        <v>0</v>
      </c>
      <c r="HT8" s="461"/>
      <c r="HU8" s="461"/>
      <c r="HV8" s="461"/>
      <c r="HW8" s="461"/>
      <c r="HX8" s="461"/>
      <c r="HY8" s="461"/>
      <c r="HZ8" s="461"/>
      <c r="IA8" s="461"/>
      <c r="IB8" s="461"/>
      <c r="IC8" s="461"/>
      <c r="ID8" s="461"/>
      <c r="IE8" s="461"/>
      <c r="IF8" s="461"/>
      <c r="IG8" s="563">
        <v>611689</v>
      </c>
      <c r="IH8" s="563">
        <v>81047</v>
      </c>
      <c r="II8" s="563">
        <f>HP8+HR8+Tableau6[[#This Row],[TRAVAUX BATIS]]+Tableau6[[#This Row],[HONORAIRES]]+IH8</f>
        <v>1666475.9894619707</v>
      </c>
      <c r="IJ8" s="654">
        <f>Tableau6[[#This Row],[TOTAL PRP HT]]-Tableau6[[#This Row],[PRP TTC HORS FRAFU]]/1.021</f>
        <v>-2739220.3572569331</v>
      </c>
    </row>
    <row r="9" spans="1:256" ht="20.149999999999999" customHeight="1">
      <c r="A9" s="770" t="s">
        <v>836</v>
      </c>
      <c r="B9" s="2" t="s">
        <v>21</v>
      </c>
      <c r="C9" s="2" t="s">
        <v>86</v>
      </c>
      <c r="D9" s="2">
        <v>2020</v>
      </c>
      <c r="E9" s="2" t="s">
        <v>756</v>
      </c>
      <c r="F9" s="423"/>
      <c r="G9" s="423"/>
      <c r="H9" s="220"/>
      <c r="I9" s="22"/>
      <c r="J9" s="22" t="s">
        <v>675</v>
      </c>
      <c r="K9" s="134" t="s">
        <v>674</v>
      </c>
      <c r="L9" s="78"/>
      <c r="M9" s="51"/>
      <c r="N9" s="52"/>
      <c r="O9" s="103">
        <v>4330</v>
      </c>
      <c r="P9" s="103">
        <v>400000</v>
      </c>
      <c r="Q9" s="103">
        <v>400000</v>
      </c>
      <c r="R9" s="103">
        <f>P9/AD9</f>
        <v>36363.63636363636</v>
      </c>
      <c r="S9" s="103">
        <f>P9/O9</f>
        <v>92.378752886836025</v>
      </c>
      <c r="T9" s="109">
        <f>Q9/O9</f>
        <v>92.378752886836025</v>
      </c>
      <c r="U9" s="109">
        <f>Q9/AK9</f>
        <v>660.90577135964838</v>
      </c>
      <c r="V9" s="109">
        <f>Q9/AD9</f>
        <v>36363.63636363636</v>
      </c>
      <c r="W9" s="103">
        <f>O9/AD9</f>
        <v>393.63636363636363</v>
      </c>
      <c r="X9" s="104"/>
      <c r="Y9" s="447">
        <f t="shared" si="96"/>
        <v>25.404157043879909</v>
      </c>
      <c r="Z9" s="104" t="s">
        <v>676</v>
      </c>
      <c r="AA9" s="106">
        <v>760</v>
      </c>
      <c r="AB9" s="107">
        <v>0.2</v>
      </c>
      <c r="AC9" s="2" t="s">
        <v>10</v>
      </c>
      <c r="AD9" s="426">
        <f t="shared" si="97"/>
        <v>11</v>
      </c>
      <c r="AE9" s="426">
        <f t="shared" si="98"/>
        <v>11</v>
      </c>
      <c r="AF9" s="3"/>
      <c r="AG9" s="2">
        <v>11</v>
      </c>
      <c r="AH9" s="32"/>
      <c r="AI9" s="32"/>
      <c r="AJ9" s="615">
        <v>472.3</v>
      </c>
      <c r="AK9" s="225">
        <v>605.23</v>
      </c>
      <c r="AL9" s="492">
        <f t="shared" si="99"/>
        <v>42.936363636363637</v>
      </c>
      <c r="AM9" s="4">
        <f t="shared" si="100"/>
        <v>55.020909090909093</v>
      </c>
      <c r="AN9" s="26">
        <v>6.15</v>
      </c>
      <c r="AO9" s="26">
        <v>6.15</v>
      </c>
      <c r="AP9" s="26"/>
      <c r="AQ9" s="39"/>
      <c r="AR9" s="39"/>
      <c r="AS9" s="39"/>
      <c r="AT9" s="39"/>
      <c r="AU9" s="39"/>
      <c r="AV9" s="4"/>
      <c r="AW9" s="37"/>
      <c r="AX9" s="39"/>
      <c r="AY9" s="26"/>
      <c r="AZ9" s="25" t="s">
        <v>386</v>
      </c>
      <c r="BA9" s="2" t="s">
        <v>94</v>
      </c>
      <c r="BB9" s="32"/>
      <c r="BC9" s="32"/>
      <c r="BD9" s="32"/>
      <c r="BE9" s="32"/>
      <c r="BF9" s="123" t="s">
        <v>830</v>
      </c>
      <c r="BG9" s="123"/>
      <c r="BH9" s="56">
        <v>43781</v>
      </c>
      <c r="BI9" s="89"/>
      <c r="BJ9" s="548"/>
      <c r="BK9" s="548"/>
      <c r="BL9" s="549"/>
      <c r="BM9" s="547">
        <f t="shared" si="101"/>
        <v>0</v>
      </c>
      <c r="BN9" s="490" t="s">
        <v>229</v>
      </c>
      <c r="BO9" s="76"/>
      <c r="BP9" s="99"/>
      <c r="BQ9" s="536">
        <f>(DATEDIF(BO9,BP9,"d"))/30</f>
        <v>0</v>
      </c>
      <c r="BR9" s="529"/>
      <c r="BS9" s="77"/>
      <c r="BT9" s="77"/>
      <c r="BU9" s="151"/>
      <c r="BV9" s="150">
        <f t="shared" si="102"/>
        <v>1096</v>
      </c>
      <c r="BW9" s="373"/>
      <c r="BX9" s="150" t="str">
        <f>IF(Tableau6[[#This Row],[Montant des loyers perçus avant 1e échéance]]&lt;BW9,"oui","non")</f>
        <v>non</v>
      </c>
      <c r="BY9" s="475">
        <f>(BV9-EL9)/30</f>
        <v>-1462.5333333333333</v>
      </c>
      <c r="BZ9" s="373">
        <f>IF((BY9*EO9)&lt;0,"0",BY9*EO9)</f>
        <v>0</v>
      </c>
      <c r="CA9" s="373">
        <f>IF(BW9-BZ9&lt;0,0,Tableau6[[#This Row],[Montant échéance annuelle]]-Tableau6[[#This Row],[Montant des loyers perçus avant 1e échéance]])</f>
        <v>0</v>
      </c>
      <c r="CB9" s="159">
        <v>43558</v>
      </c>
      <c r="CC9" s="64">
        <v>43573</v>
      </c>
      <c r="CD9" s="64">
        <v>43563</v>
      </c>
      <c r="CE9" s="273">
        <f t="shared" si="103"/>
        <v>-10</v>
      </c>
      <c r="CF9" s="64">
        <v>43615</v>
      </c>
      <c r="CG9" s="64">
        <v>43614</v>
      </c>
      <c r="CH9" s="273">
        <f t="shared" si="104"/>
        <v>-1</v>
      </c>
      <c r="CI9" s="159">
        <v>43709</v>
      </c>
      <c r="CJ9" s="65">
        <f ca="1">IF(CI9&lt;TODAY(),TODAY(),CI9)</f>
        <v>43998</v>
      </c>
      <c r="CK9" s="580">
        <f t="shared" ca="1" si="105"/>
        <v>289</v>
      </c>
      <c r="CL9" s="288">
        <v>44077</v>
      </c>
      <c r="CM9" s="288">
        <f ca="1">IF(CL9&lt;TODAY(),TODAY(),CL9)</f>
        <v>44077</v>
      </c>
      <c r="CN9" s="290">
        <f t="shared" ca="1" si="106"/>
        <v>0</v>
      </c>
      <c r="CO9" s="288">
        <v>44168</v>
      </c>
      <c r="CP9" s="288">
        <f ca="1">IF(CO9&lt;TODAY(),TODAY(),CO9)</f>
        <v>44168</v>
      </c>
      <c r="CQ9" s="290">
        <f t="shared" ca="1" si="107"/>
        <v>0</v>
      </c>
      <c r="CR9" s="237"/>
      <c r="CS9" s="286">
        <v>44287</v>
      </c>
      <c r="CT9" s="277">
        <v>44348</v>
      </c>
      <c r="CU9" s="278"/>
      <c r="CV9" s="279" t="str">
        <f t="shared" si="108"/>
        <v>0</v>
      </c>
      <c r="CW9" s="277">
        <v>44362</v>
      </c>
      <c r="CX9" s="382">
        <v>44362</v>
      </c>
      <c r="CY9" s="178"/>
      <c r="CZ9" s="231">
        <f t="shared" si="109"/>
        <v>1478.7333333333333</v>
      </c>
      <c r="DA9" s="279">
        <f t="shared" si="110"/>
        <v>0</v>
      </c>
      <c r="DB9" s="383">
        <v>16</v>
      </c>
      <c r="DC9" s="127">
        <f t="shared" si="111"/>
        <v>19</v>
      </c>
      <c r="DD9" s="277"/>
      <c r="DE9" s="282">
        <f ca="1">IF(DD9&lt;TODAY(),TODAY(),DD9)</f>
        <v>43998</v>
      </c>
      <c r="DF9" s="279" t="str">
        <f t="shared" ca="1" si="112"/>
        <v>0</v>
      </c>
      <c r="DG9" s="766"/>
      <c r="DH9" s="295">
        <f ca="1">IF(DG9&lt;TODAY(),TODAY(),DG9)</f>
        <v>43998</v>
      </c>
      <c r="DI9" s="280" t="str">
        <f t="shared" ca="1" si="113"/>
        <v>0</v>
      </c>
      <c r="DJ9" s="281"/>
      <c r="DK9" s="282">
        <f ca="1">IF(DJ9&lt;TODAY(),TODAY(),DJ9)</f>
        <v>43998</v>
      </c>
      <c r="DL9" s="279" t="str">
        <f t="shared" ca="1" si="114"/>
        <v>0</v>
      </c>
      <c r="DM9" s="282"/>
      <c r="DN9" s="282">
        <f ca="1">IF(DM9&lt;TODAY(),TODAY(),DM9)</f>
        <v>43998</v>
      </c>
      <c r="DO9" s="279" t="str">
        <f t="shared" ca="1" si="115"/>
        <v>0</v>
      </c>
      <c r="DP9" s="283"/>
      <c r="DQ9" s="283"/>
      <c r="DR9" s="279" t="str">
        <f t="shared" si="116"/>
        <v>0</v>
      </c>
      <c r="DS9" s="282"/>
      <c r="DT9" s="282">
        <f ca="1">IF(DS9&lt;TODAY(),TODAY(),DS9)</f>
        <v>43998</v>
      </c>
      <c r="DU9" s="279" t="str">
        <f t="shared" ca="1" si="117"/>
        <v>0</v>
      </c>
      <c r="DV9" s="282"/>
      <c r="DW9" s="282">
        <f ca="1">IF(DV9&lt;TODAY(),TODAY(),DV9)</f>
        <v>43998</v>
      </c>
      <c r="DX9" s="279" t="str">
        <f t="shared" ca="1" si="118"/>
        <v>0</v>
      </c>
      <c r="DY9" s="282"/>
      <c r="DZ9" s="282"/>
      <c r="EA9" s="282"/>
      <c r="EB9" s="410">
        <f t="shared" si="119"/>
        <v>44849</v>
      </c>
      <c r="EC9" s="409">
        <f>DATE(YEAR(EB9),MONTH(EB9)+3,DAY(EB9))</f>
        <v>44941</v>
      </c>
      <c r="ED9" s="406">
        <f t="shared" si="120"/>
        <v>3.0666666666666669</v>
      </c>
      <c r="EE9" s="513">
        <f ca="1">IF(((EC9-TODAY())/30)&lt;0,0,(EC9-TODAY())/30)</f>
        <v>31.433333333333334</v>
      </c>
      <c r="EF9" s="408">
        <f ca="1">DATE(YEAR(DH9)+2,MONTH(DH9),DAY(DH9))</f>
        <v>44728</v>
      </c>
      <c r="EG9" s="448"/>
      <c r="EH9" s="448"/>
      <c r="EI9" s="448">
        <f>DATE(YEAR(EC9),MONTH(EC9)+4,DAY(EC9)+2)</f>
        <v>45063</v>
      </c>
      <c r="EJ9" s="242"/>
      <c r="EK9" s="456">
        <f>DATE(YEAR(EB9),MONTH(EB9)+1,DAY(EB9))</f>
        <v>44880</v>
      </c>
      <c r="EL9" s="409">
        <f>DATE(YEAR(EC9),MONTH(EC9)+1,DAY(EC9))</f>
        <v>44972</v>
      </c>
      <c r="EM9" s="314"/>
      <c r="EN9" s="404">
        <f>(DATEDIF(EK9,EL9,"d"))/30</f>
        <v>3.0666666666666669</v>
      </c>
      <c r="EO9" s="394"/>
      <c r="EP9" s="131">
        <f t="shared" si="121"/>
        <v>0</v>
      </c>
      <c r="EQ9" s="60"/>
      <c r="ER9" s="60"/>
      <c r="ES9" s="742"/>
      <c r="ET9" s="300"/>
      <c r="EU9" s="300"/>
      <c r="EV9" s="300"/>
      <c r="EW9" s="300"/>
      <c r="EX9" s="300"/>
      <c r="EY9" s="416">
        <f t="shared" si="122"/>
        <v>0</v>
      </c>
      <c r="EZ9" s="297"/>
      <c r="FA9" s="308"/>
      <c r="FB9" s="297"/>
      <c r="FC9" s="308" t="s">
        <v>800</v>
      </c>
      <c r="FD9" s="89">
        <f t="shared" ca="1" si="123"/>
        <v>44728</v>
      </c>
      <c r="FE9" s="63"/>
      <c r="FF9" s="63"/>
      <c r="FG9" s="63"/>
      <c r="FH9" s="63"/>
      <c r="FI9" s="63"/>
      <c r="FJ9" s="22"/>
      <c r="FK9" s="146">
        <f t="shared" si="124"/>
        <v>45306</v>
      </c>
      <c r="FL9" s="146"/>
      <c r="FM9" s="146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451"/>
      <c r="GB9" s="471">
        <f>GD9+GG9+GJ9+HF9+Tableau6[[#This Row],[PRÊT CREDIT D''IMPOT (PM)]]</f>
        <v>1440120.4300000002</v>
      </c>
      <c r="GC9" s="645">
        <f>GB9</f>
        <v>1440120.4300000002</v>
      </c>
      <c r="GD9" s="507">
        <f t="shared" ref="GD9:GD40" si="137">GP9+GQ9+GT9+GU9</f>
        <v>321999.37</v>
      </c>
      <c r="GE9" s="20">
        <f t="shared" si="125"/>
        <v>2379.4597590998465</v>
      </c>
      <c r="GF9" s="20">
        <f t="shared" si="126"/>
        <v>130920.03909090911</v>
      </c>
      <c r="GG9" s="503">
        <v>397523</v>
      </c>
      <c r="GH9" s="351"/>
      <c r="GI9" s="11">
        <f>GG9/AD9</f>
        <v>36138.454545454544</v>
      </c>
      <c r="GJ9" s="503">
        <f t="shared" si="127"/>
        <v>720598.06</v>
      </c>
      <c r="GK9" s="5">
        <f>GL9+GM9</f>
        <v>720598.06</v>
      </c>
      <c r="GL9" s="6">
        <v>147597.54999999999</v>
      </c>
      <c r="GM9" s="6">
        <v>573000.51</v>
      </c>
      <c r="GN9" s="345">
        <f t="shared" si="128"/>
        <v>65508.914545454551</v>
      </c>
      <c r="GO9" s="5"/>
      <c r="GP9" s="5">
        <v>321999.37</v>
      </c>
      <c r="GQ9" s="35"/>
      <c r="GR9" s="18">
        <f t="shared" si="129"/>
        <v>0.22359197417954826</v>
      </c>
      <c r="GS9" s="35"/>
      <c r="GT9" s="35"/>
      <c r="GU9" s="5"/>
      <c r="GV9" s="20">
        <f t="shared" si="130"/>
        <v>29272.67</v>
      </c>
      <c r="GW9" s="20">
        <f t="shared" si="131"/>
        <v>65411.124545454542</v>
      </c>
      <c r="GX9" s="567"/>
      <c r="GY9" s="567"/>
      <c r="GZ9" s="567">
        <f>(GG9+GP9+GY9)/AD9</f>
        <v>65411.124545454542</v>
      </c>
      <c r="HA9" s="567"/>
      <c r="HB9" s="567">
        <f t="shared" si="132"/>
        <v>65411.124545454542</v>
      </c>
      <c r="HC9" s="568">
        <f>(GG9+GP9+GY9+HA9)/(GX9+GB9-HD9)</f>
        <v>0.49962652776198718</v>
      </c>
      <c r="HD9" s="567"/>
      <c r="HE9" s="567"/>
      <c r="HF9" s="503"/>
      <c r="HG9" s="633">
        <v>31301</v>
      </c>
      <c r="HH9" s="634">
        <f t="shared" si="133"/>
        <v>2.1734987816262003E-2</v>
      </c>
      <c r="HI9" s="633">
        <f t="shared" si="134"/>
        <v>1408819.4300000002</v>
      </c>
      <c r="HJ9" s="633" t="e">
        <f ca="1">IF(EE9&lt;DATEDIF(TODAY(),$HJ$1,"M"),HI9,(HI9/EE9*DATEDIF(TODAY(),$HJ$1,"M")))*0+100000</f>
        <v>#VALUE!</v>
      </c>
      <c r="HK9" s="634" t="e">
        <f ca="1">(HG9+HJ9)/GB9</f>
        <v>#VALUE!</v>
      </c>
      <c r="HL9" s="633"/>
      <c r="HM9" s="633">
        <f t="shared" si="135"/>
        <v>321999.37</v>
      </c>
      <c r="HN9" s="633">
        <f t="shared" si="136"/>
        <v>0</v>
      </c>
      <c r="HO9" s="633"/>
      <c r="HP9" s="563">
        <v>98100.169197922834</v>
      </c>
      <c r="HQ9" s="47">
        <v>89035.68547017232</v>
      </c>
      <c r="HR9" s="563">
        <v>198040.45090010634</v>
      </c>
      <c r="HS9" s="563">
        <f>SUM(Tableau6[[#This Row],[GO]:[CARRELAGE]])</f>
        <v>0</v>
      </c>
      <c r="HT9" s="461"/>
      <c r="HU9" s="461"/>
      <c r="HV9" s="461"/>
      <c r="HW9" s="461"/>
      <c r="HX9" s="461"/>
      <c r="HY9" s="461"/>
      <c r="HZ9" s="461"/>
      <c r="IA9" s="461"/>
      <c r="IB9" s="461"/>
      <c r="IC9" s="461"/>
      <c r="ID9" s="461"/>
      <c r="IE9" s="461"/>
      <c r="IF9" s="461"/>
      <c r="IG9" s="563">
        <v>128032</v>
      </c>
      <c r="IH9" s="563">
        <v>34865</v>
      </c>
      <c r="II9" s="563">
        <f>HP9+HR9+Tableau6[[#This Row],[TRAVAUX BATIS]]+Tableau6[[#This Row],[HONORAIRES]]+IH9</f>
        <v>459037.62009802915</v>
      </c>
      <c r="IJ9" s="654">
        <f>Tableau6[[#This Row],[TOTAL PRP HT]]-Tableau6[[#This Row],[PRP TTC HORS FRAFU]]/1.021</f>
        <v>-951462.31134173612</v>
      </c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ht="20.149999999999999" customHeight="1">
      <c r="A10" s="42" t="s">
        <v>872</v>
      </c>
      <c r="B10" s="10" t="s">
        <v>21</v>
      </c>
      <c r="C10" s="10" t="s">
        <v>86</v>
      </c>
      <c r="D10" s="10">
        <v>2014</v>
      </c>
      <c r="E10" s="10" t="s">
        <v>153</v>
      </c>
      <c r="F10" s="10"/>
      <c r="G10" s="604"/>
      <c r="H10" s="10" t="s">
        <v>181</v>
      </c>
      <c r="I10" s="23"/>
      <c r="J10" s="23"/>
      <c r="K10" s="102"/>
      <c r="L10" s="78"/>
      <c r="M10" s="51"/>
      <c r="N10" s="52"/>
      <c r="O10" s="108">
        <f>1032+357+882+400</f>
        <v>2671</v>
      </c>
      <c r="P10" s="108">
        <f>Q10</f>
        <v>637295</v>
      </c>
      <c r="Q10" s="108">
        <v>637295</v>
      </c>
      <c r="R10" s="103">
        <f>P10/AD10</f>
        <v>13559.468085106382</v>
      </c>
      <c r="S10" s="108">
        <f>P10/O10</f>
        <v>238.5979034069637</v>
      </c>
      <c r="T10" s="109">
        <f>Q10/O10</f>
        <v>238.5979034069637</v>
      </c>
      <c r="U10" s="109">
        <f>Q10/AK10</f>
        <v>166.56952430737061</v>
      </c>
      <c r="V10" s="109">
        <f>Q10/AD10</f>
        <v>13559.468085106382</v>
      </c>
      <c r="W10" s="103">
        <f>O10/AD10</f>
        <v>56.829787234042556</v>
      </c>
      <c r="X10" s="110"/>
      <c r="Y10" s="446">
        <f t="shared" si="96"/>
        <v>175.96405840509172</v>
      </c>
      <c r="Z10" s="110" t="s">
        <v>142</v>
      </c>
      <c r="AA10" s="605">
        <v>512</v>
      </c>
      <c r="AB10" s="606"/>
      <c r="AC10" s="10" t="s">
        <v>10</v>
      </c>
      <c r="AD10" s="426">
        <f t="shared" si="97"/>
        <v>47</v>
      </c>
      <c r="AE10" s="426">
        <f t="shared" si="98"/>
        <v>47</v>
      </c>
      <c r="AF10" s="21"/>
      <c r="AG10" s="10">
        <v>47</v>
      </c>
      <c r="AH10" s="135"/>
      <c r="AI10" s="135"/>
      <c r="AJ10" s="614">
        <v>3318.5</v>
      </c>
      <c r="AK10" s="225">
        <v>3826</v>
      </c>
      <c r="AL10" s="492">
        <f t="shared" si="99"/>
        <v>70.606382978723403</v>
      </c>
      <c r="AM10" s="4">
        <f t="shared" si="100"/>
        <v>81.40425531914893</v>
      </c>
      <c r="AN10" s="26">
        <v>6.01</v>
      </c>
      <c r="AO10" s="26">
        <v>5.2</v>
      </c>
      <c r="AP10" s="26">
        <v>423.17</v>
      </c>
      <c r="AQ10" s="29"/>
      <c r="AR10" s="29"/>
      <c r="AS10" s="29"/>
      <c r="AT10" s="29"/>
      <c r="AU10" s="29"/>
      <c r="AV10" s="600"/>
      <c r="AW10" s="785">
        <v>0</v>
      </c>
      <c r="AX10" s="40">
        <f>AW10/O10</f>
        <v>0</v>
      </c>
      <c r="AY10" s="27">
        <v>4.5</v>
      </c>
      <c r="AZ10" s="25" t="s">
        <v>386</v>
      </c>
      <c r="BA10" s="10" t="s">
        <v>94</v>
      </c>
      <c r="BB10" s="29">
        <v>7250000</v>
      </c>
      <c r="BC10" s="437">
        <f>BB10/AJ10</f>
        <v>2184.7220129576617</v>
      </c>
      <c r="BD10" s="332">
        <f>BB10/AK10</f>
        <v>1894.929430214323</v>
      </c>
      <c r="BE10" s="334">
        <f>BB10/AD10</f>
        <v>154255.31914893616</v>
      </c>
      <c r="BF10" s="160">
        <v>41591</v>
      </c>
      <c r="BG10" s="160"/>
      <c r="BH10" s="160">
        <v>41771</v>
      </c>
      <c r="BI10" s="160"/>
      <c r="BJ10" s="548">
        <v>41728</v>
      </c>
      <c r="BK10" s="548">
        <v>41800</v>
      </c>
      <c r="BL10" s="549"/>
      <c r="BM10" s="547">
        <f t="shared" si="101"/>
        <v>2.4</v>
      </c>
      <c r="BN10" s="490"/>
      <c r="BO10" s="76">
        <v>41989</v>
      </c>
      <c r="BP10" s="99">
        <v>41990</v>
      </c>
      <c r="BQ10" s="536">
        <f>(DATEDIF(BO10,BP10,"d"))/30</f>
        <v>3.3333333333333333E-2</v>
      </c>
      <c r="BR10" s="100"/>
      <c r="BS10" s="77">
        <v>42080</v>
      </c>
      <c r="BT10" s="77" t="s">
        <v>101</v>
      </c>
      <c r="BU10" s="151">
        <v>42095</v>
      </c>
      <c r="BV10" s="150">
        <f t="shared" si="102"/>
        <v>43191</v>
      </c>
      <c r="BW10" s="373">
        <f>31116+82675</f>
        <v>113791</v>
      </c>
      <c r="BX10" s="150" t="str">
        <f>IF(Tableau6[[#This Row],[Montant des loyers perçus avant 1e échéance]]&lt;BW10,"oui","non")</f>
        <v>non</v>
      </c>
      <c r="BY10" s="475">
        <f>(BV10-EL10)/30</f>
        <v>16.966666666666665</v>
      </c>
      <c r="BZ10" s="373">
        <f>IF((BY10*EO10)&lt;0,"0",BY10*EO10)</f>
        <v>346913.11162547069</v>
      </c>
      <c r="CA10" s="373">
        <f>IF(BW10-BZ10&lt;0,0,Tableau6[[#This Row],[Montant échéance annuelle]]-Tableau6[[#This Row],[Montant des loyers perçus avant 1e échéance]])</f>
        <v>0</v>
      </c>
      <c r="CB10" s="64"/>
      <c r="CC10" s="64"/>
      <c r="CD10" s="64"/>
      <c r="CE10" s="273" t="str">
        <f t="shared" si="103"/>
        <v>0</v>
      </c>
      <c r="CF10" s="64"/>
      <c r="CG10" s="64"/>
      <c r="CH10" s="273" t="str">
        <f t="shared" si="104"/>
        <v>0</v>
      </c>
      <c r="CI10" s="64"/>
      <c r="CJ10" s="64"/>
      <c r="CK10" s="273" t="str">
        <f t="shared" si="105"/>
        <v>0</v>
      </c>
      <c r="CL10" s="64"/>
      <c r="CM10" s="64"/>
      <c r="CN10" s="273" t="str">
        <f t="shared" si="106"/>
        <v>0</v>
      </c>
      <c r="CO10" s="66"/>
      <c r="CP10" s="311"/>
      <c r="CQ10" s="273" t="str">
        <f t="shared" si="107"/>
        <v>0</v>
      </c>
      <c r="CR10" s="239"/>
      <c r="CS10" s="117"/>
      <c r="CT10" s="64"/>
      <c r="CU10" s="117"/>
      <c r="CV10" s="273" t="str">
        <f t="shared" si="108"/>
        <v>0</v>
      </c>
      <c r="CW10" s="64"/>
      <c r="CX10" s="181">
        <v>42037</v>
      </c>
      <c r="CY10" s="177">
        <v>2015</v>
      </c>
      <c r="CZ10" s="233">
        <f t="shared" si="109"/>
        <v>7.9</v>
      </c>
      <c r="DA10" s="273" t="str">
        <f t="shared" si="110"/>
        <v>0</v>
      </c>
      <c r="DB10" s="126">
        <v>18</v>
      </c>
      <c r="DC10" s="59">
        <f t="shared" si="111"/>
        <v>20</v>
      </c>
      <c r="DD10" s="64"/>
      <c r="DE10" s="117"/>
      <c r="DF10" s="273" t="str">
        <f t="shared" si="112"/>
        <v>0</v>
      </c>
      <c r="DG10" s="595"/>
      <c r="DH10" s="309"/>
      <c r="DI10" s="276" t="str">
        <f t="shared" si="113"/>
        <v>0</v>
      </c>
      <c r="DJ10" s="66"/>
      <c r="DK10" s="159"/>
      <c r="DL10" s="273" t="str">
        <f t="shared" si="114"/>
        <v>0</v>
      </c>
      <c r="DM10" s="64"/>
      <c r="DN10" s="64"/>
      <c r="DO10" s="273" t="str">
        <f t="shared" si="115"/>
        <v>0</v>
      </c>
      <c r="DP10" s="64"/>
      <c r="DQ10" s="64"/>
      <c r="DR10" s="273" t="str">
        <f t="shared" si="116"/>
        <v>0</v>
      </c>
      <c r="DS10" s="64"/>
      <c r="DT10" s="64"/>
      <c r="DU10" s="273" t="str">
        <f t="shared" si="117"/>
        <v>0</v>
      </c>
      <c r="DV10" s="64"/>
      <c r="DW10" s="64"/>
      <c r="DX10" s="273" t="str">
        <f t="shared" si="118"/>
        <v>0</v>
      </c>
      <c r="DY10" s="64"/>
      <c r="DZ10" s="64"/>
      <c r="EA10" s="64"/>
      <c r="EB10" s="313">
        <f t="shared" si="119"/>
        <v>42584</v>
      </c>
      <c r="EC10" s="181">
        <v>42674</v>
      </c>
      <c r="ED10" s="401">
        <f t="shared" si="120"/>
        <v>3</v>
      </c>
      <c r="EE10" s="511"/>
      <c r="EF10" s="607"/>
      <c r="EG10" s="125">
        <v>42657</v>
      </c>
      <c r="EH10" s="58">
        <v>42591</v>
      </c>
      <c r="EI10" s="58"/>
      <c r="EJ10" s="240"/>
      <c r="EK10" s="455">
        <f t="shared" ref="EK10:EK23" si="138">DATE(YEAR(EB10),MONTH(EB10)+1,DAY(EB10))</f>
        <v>42615</v>
      </c>
      <c r="EL10" s="328">
        <v>42682</v>
      </c>
      <c r="EM10" s="177">
        <v>2016</v>
      </c>
      <c r="EN10" s="397">
        <f>(DATEDIF(EK10,EL10,"d"))/30</f>
        <v>2.2333333333333334</v>
      </c>
      <c r="EO10" s="388">
        <f>245360.943389331/12</f>
        <v>20446.745282444248</v>
      </c>
      <c r="EP10" s="158">
        <f t="shared" si="121"/>
        <v>45664.39779745882</v>
      </c>
      <c r="EQ10" s="159" t="s">
        <v>101</v>
      </c>
      <c r="ER10" s="159">
        <v>42662</v>
      </c>
      <c r="ES10" s="133">
        <f>(Tableau6[[#This Row],[Date inauguration recalée]]-ER10)/30</f>
        <v>0.66666666666666663</v>
      </c>
      <c r="ET10" s="296"/>
      <c r="EU10" s="387">
        <f>HF10</f>
        <v>0</v>
      </c>
      <c r="EV10" s="300"/>
      <c r="EW10" s="300"/>
      <c r="EX10" s="300">
        <v>0</v>
      </c>
      <c r="EY10" s="416">
        <f t="shared" si="122"/>
        <v>0</v>
      </c>
      <c r="EZ10" s="297"/>
      <c r="FA10" s="308"/>
      <c r="FB10" s="297"/>
      <c r="FC10" s="297"/>
      <c r="FD10" s="89">
        <f t="shared" si="123"/>
        <v>731</v>
      </c>
      <c r="FE10" s="61"/>
      <c r="FF10" s="166">
        <v>42727</v>
      </c>
      <c r="FG10" s="121"/>
      <c r="FH10" s="121" t="s">
        <v>376</v>
      </c>
      <c r="FI10" s="121" t="s">
        <v>101</v>
      </c>
      <c r="FJ10" s="121"/>
      <c r="FK10" s="64">
        <f t="shared" si="124"/>
        <v>43039</v>
      </c>
      <c r="FL10" s="64"/>
      <c r="FM10" s="375">
        <v>27200</v>
      </c>
      <c r="FN10" s="125">
        <v>42710</v>
      </c>
      <c r="FO10" s="125">
        <v>42779</v>
      </c>
      <c r="FP10" s="125"/>
      <c r="FQ10" s="23"/>
      <c r="FR10" s="23"/>
      <c r="FS10" s="584"/>
      <c r="FT10" s="168" t="s">
        <v>129</v>
      </c>
      <c r="FU10" s="168"/>
      <c r="FV10" s="585" t="s">
        <v>401</v>
      </c>
      <c r="FW10" s="119">
        <v>42808</v>
      </c>
      <c r="FX10" s="119" t="s">
        <v>101</v>
      </c>
      <c r="FY10" s="64" t="s">
        <v>101</v>
      </c>
      <c r="FZ10" s="23"/>
      <c r="GA10" s="332"/>
      <c r="GB10" s="471">
        <f>GD10+GG10+GJ10+HF10+Tableau6[[#This Row],[PRÊT CREDIT D''IMPOT (PM)]]</f>
        <v>7893608.4299999997</v>
      </c>
      <c r="GC10" s="644">
        <f>GB10</f>
        <v>7893608.4299999997</v>
      </c>
      <c r="GD10" s="507">
        <f t="shared" si="137"/>
        <v>1118000</v>
      </c>
      <c r="GE10" s="20">
        <f t="shared" si="125"/>
        <v>2063.1490930475693</v>
      </c>
      <c r="GF10" s="20">
        <f t="shared" si="126"/>
        <v>167949.1155319149</v>
      </c>
      <c r="GG10" s="507">
        <v>2234701</v>
      </c>
      <c r="GH10" s="351"/>
      <c r="GI10" s="11">
        <f>GG10/AD10</f>
        <v>47546.829787234041</v>
      </c>
      <c r="GJ10" s="507">
        <f t="shared" si="127"/>
        <v>4540907.43</v>
      </c>
      <c r="GK10" s="5">
        <f>GL10+GM10</f>
        <v>4540907.43</v>
      </c>
      <c r="GL10" s="599">
        <v>1362272</v>
      </c>
      <c r="GM10" s="599">
        <v>3178635.43</v>
      </c>
      <c r="GN10" s="345">
        <f t="shared" si="128"/>
        <v>96615.051702127646</v>
      </c>
      <c r="GO10" s="485">
        <v>0</v>
      </c>
      <c r="GP10" s="485">
        <v>1118000</v>
      </c>
      <c r="GQ10" s="36">
        <v>0</v>
      </c>
      <c r="GR10" s="18">
        <f t="shared" si="129"/>
        <v>0.1416335773321353</v>
      </c>
      <c r="GS10" s="488"/>
      <c r="GT10" s="488"/>
      <c r="GU10" s="485">
        <v>0</v>
      </c>
      <c r="GV10" s="41">
        <f t="shared" si="130"/>
        <v>23787.234042553191</v>
      </c>
      <c r="GW10" s="41">
        <f t="shared" si="131"/>
        <v>71334.063829787236</v>
      </c>
      <c r="GX10" s="571">
        <v>0</v>
      </c>
      <c r="GY10" s="571">
        <v>0</v>
      </c>
      <c r="GZ10" s="571" t="e">
        <f>(#REF!+#REF!+GY10)/AD10</f>
        <v>#REF!</v>
      </c>
      <c r="HA10" s="571">
        <v>0</v>
      </c>
      <c r="HB10" s="571">
        <f t="shared" si="132"/>
        <v>71334.063829787236</v>
      </c>
      <c r="HC10" s="568">
        <f>(GG10+GP10+GY10+HA10)/(GX10+GB10-HD10)</f>
        <v>0.42473616847497969</v>
      </c>
      <c r="HD10" s="571">
        <v>0</v>
      </c>
      <c r="HE10" s="571"/>
      <c r="HF10" s="507">
        <v>0</v>
      </c>
      <c r="HG10" s="639"/>
      <c r="HH10" s="634">
        <f t="shared" si="133"/>
        <v>0</v>
      </c>
      <c r="HI10" s="635">
        <f t="shared" si="134"/>
        <v>7893608.4299999997</v>
      </c>
      <c r="HJ10" s="633" t="e">
        <f ca="1">IF(EE10&lt;DATEDIF(TODAY(),$HJ$1,"M"),HI10,(HI10/EE10*DATEDIF(TODAY(),$HJ$1,"M")))</f>
        <v>#VALUE!</v>
      </c>
      <c r="HK10" s="633"/>
      <c r="HL10" s="639"/>
      <c r="HM10" s="633">
        <f t="shared" si="135"/>
        <v>1118000</v>
      </c>
      <c r="HN10" s="636">
        <f t="shared" si="136"/>
        <v>0</v>
      </c>
      <c r="HO10" s="636"/>
      <c r="HP10" s="563"/>
      <c r="HQ10" s="47"/>
      <c r="HR10" s="563"/>
      <c r="HS10" s="563">
        <f>SUM(Tableau6[[#This Row],[GO]:[CARRELAGE]])</f>
        <v>0</v>
      </c>
      <c r="HT10" s="461"/>
      <c r="HU10" s="461"/>
      <c r="HV10" s="461"/>
      <c r="HW10" s="461"/>
      <c r="HX10" s="461"/>
      <c r="HY10" s="461"/>
      <c r="HZ10" s="461"/>
      <c r="IA10" s="461"/>
      <c r="IB10" s="461"/>
      <c r="IC10" s="461"/>
      <c r="ID10" s="461"/>
      <c r="IE10" s="461"/>
      <c r="IF10" s="461"/>
      <c r="IG10" s="563"/>
      <c r="IH10" s="563"/>
      <c r="II10" s="563">
        <f>HP10+HR10+Tableau6[[#This Row],[TRAVAUX BATIS]]+Tableau6[[#This Row],[HONORAIRES]]+IH10</f>
        <v>0</v>
      </c>
      <c r="IJ10" s="654">
        <f>Tableau6[[#This Row],[TOTAL PRP HT]]-Tableau6[[#This Row],[PRP TTC HORS FRAFU]]/1.021</f>
        <v>-7731252.1351616066</v>
      </c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ht="20.149999999999999" customHeight="1">
      <c r="A11" s="594" t="s">
        <v>399</v>
      </c>
      <c r="B11" s="2" t="s">
        <v>31</v>
      </c>
      <c r="C11" s="2" t="s">
        <v>86</v>
      </c>
      <c r="D11" s="2">
        <v>2016</v>
      </c>
      <c r="E11" s="2" t="s">
        <v>220</v>
      </c>
      <c r="F11" s="2" t="s">
        <v>686</v>
      </c>
      <c r="G11" s="2" t="s">
        <v>329</v>
      </c>
      <c r="H11" s="2" t="s">
        <v>136</v>
      </c>
      <c r="I11" s="22"/>
      <c r="J11" s="22" t="s">
        <v>248</v>
      </c>
      <c r="K11" s="134" t="s">
        <v>436</v>
      </c>
      <c r="L11" s="78"/>
      <c r="M11" s="51"/>
      <c r="N11" s="52"/>
      <c r="O11" s="103">
        <v>2307</v>
      </c>
      <c r="P11" s="103">
        <v>184560</v>
      </c>
      <c r="Q11" s="103">
        <v>184560</v>
      </c>
      <c r="R11" s="103">
        <f>P11/AD11</f>
        <v>10253.333333333334</v>
      </c>
      <c r="S11" s="103">
        <f>P11/O11</f>
        <v>80</v>
      </c>
      <c r="T11" s="109">
        <f>Q11/O11</f>
        <v>80</v>
      </c>
      <c r="U11" s="109">
        <f>Q11/AK11</f>
        <v>132.858222654141</v>
      </c>
      <c r="V11" s="109">
        <f>Q11/AD11</f>
        <v>10253.333333333334</v>
      </c>
      <c r="W11" s="103">
        <f>O11/AD11</f>
        <v>128.16666666666666</v>
      </c>
      <c r="X11" s="104"/>
      <c r="Y11" s="447">
        <f t="shared" si="96"/>
        <v>78.023407022106639</v>
      </c>
      <c r="Z11" s="104" t="s">
        <v>701</v>
      </c>
      <c r="AA11" s="106">
        <v>380</v>
      </c>
      <c r="AB11" s="107"/>
      <c r="AC11" s="2" t="s">
        <v>10</v>
      </c>
      <c r="AD11" s="426">
        <f t="shared" si="97"/>
        <v>18</v>
      </c>
      <c r="AE11" s="426">
        <f t="shared" si="98"/>
        <v>18</v>
      </c>
      <c r="AF11" s="3"/>
      <c r="AG11" s="2">
        <v>18</v>
      </c>
      <c r="AH11" s="32"/>
      <c r="AI11" s="32"/>
      <c r="AJ11" s="614">
        <v>1159.8700000000001</v>
      </c>
      <c r="AK11" s="225">
        <v>1389.15</v>
      </c>
      <c r="AL11" s="492">
        <f t="shared" si="99"/>
        <v>64.437222222222232</v>
      </c>
      <c r="AM11" s="4">
        <f t="shared" si="100"/>
        <v>77.175000000000011</v>
      </c>
      <c r="AN11" s="26">
        <v>6.5</v>
      </c>
      <c r="AO11" s="26">
        <v>5.42</v>
      </c>
      <c r="AP11" s="26">
        <v>418.66</v>
      </c>
      <c r="AQ11" s="39">
        <f>2/AD11</f>
        <v>0.1111111111111111</v>
      </c>
      <c r="AR11" s="39">
        <f>6/AD11</f>
        <v>0.33333333333333331</v>
      </c>
      <c r="AS11" s="39">
        <f>7/AD11</f>
        <v>0.3888888888888889</v>
      </c>
      <c r="AT11" s="39">
        <f>3/AD11</f>
        <v>0.16666666666666666</v>
      </c>
      <c r="AU11" s="39"/>
      <c r="AV11" s="4"/>
      <c r="AW11" s="53"/>
      <c r="AX11" s="39"/>
      <c r="AY11" s="26"/>
      <c r="AZ11" s="25" t="s">
        <v>386</v>
      </c>
      <c r="BA11" s="2" t="s">
        <v>94</v>
      </c>
      <c r="BB11" s="22"/>
      <c r="BC11" s="22"/>
      <c r="BD11" s="22"/>
      <c r="BE11" s="22"/>
      <c r="BF11" s="122">
        <v>42396</v>
      </c>
      <c r="BG11" s="122"/>
      <c r="BH11" s="122">
        <v>42475</v>
      </c>
      <c r="BI11" s="325" t="s">
        <v>778</v>
      </c>
      <c r="BJ11" s="548">
        <v>42459</v>
      </c>
      <c r="BK11" s="548">
        <v>42620</v>
      </c>
      <c r="BL11" s="549">
        <v>42646</v>
      </c>
      <c r="BM11" s="547">
        <f t="shared" si="101"/>
        <v>5.3666666666666663</v>
      </c>
      <c r="BN11" s="490" t="s">
        <v>229</v>
      </c>
      <c r="BO11" s="786"/>
      <c r="BP11" s="99"/>
      <c r="BQ11" s="536">
        <f>(DATEDIF(BO11,BP11,"d"))/30</f>
        <v>0</v>
      </c>
      <c r="BR11" s="529"/>
      <c r="BS11" s="77">
        <f>DATE(YEAR(BP11),MONTH(BP11)+3,DAY(BP11))</f>
        <v>91</v>
      </c>
      <c r="BT11" s="77"/>
      <c r="BU11" s="151"/>
      <c r="BV11" s="150">
        <f t="shared" si="102"/>
        <v>1096</v>
      </c>
      <c r="BW11" s="373"/>
      <c r="BX11" s="150" t="str">
        <f>IF(Tableau6[[#This Row],[Montant des loyers perçus avant 1e échéance]]&lt;BW11,"oui","non")</f>
        <v>non</v>
      </c>
      <c r="BY11" s="475">
        <f>(BV11-EL11)/30</f>
        <v>-1454.5333333333333</v>
      </c>
      <c r="BZ11" s="373" t="str">
        <f>IF((BY11*EO11)&lt;0,"0",BY11*EO11)</f>
        <v>0</v>
      </c>
      <c r="CA11" s="373">
        <f>IF(BW11-BZ11&lt;0,0,Tableau6[[#This Row],[Montant échéance annuelle]]-Tableau6[[#This Row],[Montant des loyers perçus avant 1e échéance]])</f>
        <v>0</v>
      </c>
      <c r="CB11" s="64"/>
      <c r="CC11" s="64"/>
      <c r="CD11" s="64"/>
      <c r="CE11" s="290" t="str">
        <f t="shared" si="103"/>
        <v>0</v>
      </c>
      <c r="CF11" s="64"/>
      <c r="CG11" s="64"/>
      <c r="CH11" s="273" t="str">
        <f t="shared" si="104"/>
        <v>0</v>
      </c>
      <c r="CI11" s="64"/>
      <c r="CJ11" s="159"/>
      <c r="CK11" s="273" t="str">
        <f t="shared" si="105"/>
        <v>0</v>
      </c>
      <c r="CL11" s="64"/>
      <c r="CM11" s="159"/>
      <c r="CN11" s="273" t="str">
        <f t="shared" si="106"/>
        <v>0</v>
      </c>
      <c r="CO11" s="64"/>
      <c r="CP11" s="64"/>
      <c r="CQ11" s="273" t="str">
        <f t="shared" si="107"/>
        <v>0</v>
      </c>
      <c r="CR11" s="237"/>
      <c r="CS11" s="293"/>
      <c r="CT11" s="284"/>
      <c r="CU11" s="282"/>
      <c r="CV11" s="279" t="str">
        <f t="shared" si="108"/>
        <v>0</v>
      </c>
      <c r="CW11" s="284"/>
      <c r="CX11" s="382">
        <v>44124</v>
      </c>
      <c r="CY11" s="178"/>
      <c r="CZ11" s="231">
        <f t="shared" si="109"/>
        <v>50.133333333333333</v>
      </c>
      <c r="DA11" s="279" t="str">
        <f t="shared" si="110"/>
        <v>0</v>
      </c>
      <c r="DB11" s="383">
        <v>16</v>
      </c>
      <c r="DC11" s="127">
        <f t="shared" si="111"/>
        <v>19</v>
      </c>
      <c r="DD11" s="277">
        <v>43784</v>
      </c>
      <c r="DE11" s="282">
        <f ca="1">IF(DD11&lt;TODAY(),TODAY(),DD11)</f>
        <v>43998</v>
      </c>
      <c r="DF11" s="279">
        <f t="shared" ca="1" si="112"/>
        <v>214</v>
      </c>
      <c r="DG11" s="277">
        <f>DATE(YEAR(DD11),MONTH(DD11)+2,DAY(DD11))</f>
        <v>43845</v>
      </c>
      <c r="DH11" s="295">
        <f ca="1">IF(DG11&lt;TODAY(),TODAY(),DG11)</f>
        <v>43998</v>
      </c>
      <c r="DI11" s="280">
        <f t="shared" ca="1" si="113"/>
        <v>153</v>
      </c>
      <c r="DJ11" s="282"/>
      <c r="DK11" s="295">
        <f ca="1">IF(DJ11&lt;TODAY(),TODAY(),DJ11)</f>
        <v>43998</v>
      </c>
      <c r="DL11" s="279" t="str">
        <f t="shared" ca="1" si="114"/>
        <v>0</v>
      </c>
      <c r="DM11" s="282"/>
      <c r="DN11" s="282">
        <f ca="1">IF(DM11&lt;TODAY(),TODAY(),DM11)</f>
        <v>43998</v>
      </c>
      <c r="DO11" s="279" t="str">
        <f t="shared" ca="1" si="115"/>
        <v>0</v>
      </c>
      <c r="DP11" s="283"/>
      <c r="DQ11" s="283"/>
      <c r="DR11" s="279" t="str">
        <f t="shared" si="116"/>
        <v>0</v>
      </c>
      <c r="DS11" s="282"/>
      <c r="DT11" s="282">
        <f ca="1">IF(DS11&lt;TODAY(),TODAY(),DS11)</f>
        <v>43998</v>
      </c>
      <c r="DU11" s="279" t="str">
        <f t="shared" ca="1" si="117"/>
        <v>0</v>
      </c>
      <c r="DV11" s="282"/>
      <c r="DW11" s="282">
        <f ca="1">IF(DV11&lt;TODAY(),TODAY(),DV11)</f>
        <v>43998</v>
      </c>
      <c r="DX11" s="279" t="str">
        <f t="shared" ca="1" si="118"/>
        <v>0</v>
      </c>
      <c r="DY11" s="282"/>
      <c r="DZ11" s="282"/>
      <c r="EA11" s="282"/>
      <c r="EB11" s="410">
        <f t="shared" si="119"/>
        <v>44612</v>
      </c>
      <c r="EC11" s="409">
        <f>DATE(YEAR(EB11),MONTH(EB11)+3,DAY(EB11))</f>
        <v>44701</v>
      </c>
      <c r="ED11" s="406">
        <f t="shared" si="120"/>
        <v>2.9666666666666668</v>
      </c>
      <c r="EE11" s="513">
        <f ca="1">IF(((EC11-TODAY())/30)&lt;0,0,(EC11-TODAY())/30)</f>
        <v>23.433333333333334</v>
      </c>
      <c r="EF11" s="408">
        <f ca="1">DATE(YEAR(DH11)+2,MONTH(DH11),DAY(DH11))</f>
        <v>44728</v>
      </c>
      <c r="EG11" s="448"/>
      <c r="EH11" s="448"/>
      <c r="EI11" s="448"/>
      <c r="EJ11" s="242"/>
      <c r="EK11" s="456">
        <f t="shared" si="138"/>
        <v>44640</v>
      </c>
      <c r="EL11" s="409">
        <f>DATE(YEAR(EC11),MONTH(EC11)+1,DAY(EC11))</f>
        <v>44732</v>
      </c>
      <c r="EM11" s="314"/>
      <c r="EN11" s="404">
        <f>(DATEDIF(EK11,EL11,"d"))/30</f>
        <v>3.0666666666666669</v>
      </c>
      <c r="EO11" s="394">
        <v>7287</v>
      </c>
      <c r="EP11" s="131">
        <f t="shared" si="121"/>
        <v>22346.800000000003</v>
      </c>
      <c r="EQ11" s="60"/>
      <c r="ER11" s="60"/>
      <c r="ES11" s="742"/>
      <c r="ET11" s="300">
        <v>0</v>
      </c>
      <c r="EU11" s="300">
        <v>0</v>
      </c>
      <c r="EV11" s="300"/>
      <c r="EW11" s="300"/>
      <c r="EX11" s="300"/>
      <c r="EY11" s="416">
        <f t="shared" si="122"/>
        <v>0</v>
      </c>
      <c r="EZ11" s="297"/>
      <c r="FA11" s="308"/>
      <c r="FB11" s="308" t="s">
        <v>132</v>
      </c>
      <c r="FC11" s="297" t="s">
        <v>787</v>
      </c>
      <c r="FD11" s="89">
        <f t="shared" ca="1" si="123"/>
        <v>44728</v>
      </c>
      <c r="FE11" s="63"/>
      <c r="FF11" s="63"/>
      <c r="FG11" s="63"/>
      <c r="FH11" s="63"/>
      <c r="FI11" s="63"/>
      <c r="FJ11" s="22"/>
      <c r="FK11" s="146">
        <f t="shared" si="124"/>
        <v>45066</v>
      </c>
      <c r="FL11" s="146"/>
      <c r="FM11" s="146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451"/>
      <c r="GB11" s="471">
        <f>GD11+GG11+GJ11+HF11+Tableau6[[#This Row],[PRÊT CREDIT D''IMPOT (PM)]]</f>
        <v>3219743</v>
      </c>
      <c r="GC11" s="644">
        <f>GB11</f>
        <v>3219743</v>
      </c>
      <c r="GD11" s="507">
        <f t="shared" si="137"/>
        <v>270000</v>
      </c>
      <c r="GE11" s="20">
        <f t="shared" si="125"/>
        <v>2317.7792175071086</v>
      </c>
      <c r="GF11" s="20">
        <f t="shared" si="126"/>
        <v>178874.61111111112</v>
      </c>
      <c r="GG11" s="507">
        <v>1090439</v>
      </c>
      <c r="GH11" s="351"/>
      <c r="GI11" s="11">
        <f>GG11/AD11</f>
        <v>60579.944444444445</v>
      </c>
      <c r="GJ11" s="507">
        <f t="shared" si="127"/>
        <v>1859304</v>
      </c>
      <c r="GK11" s="5">
        <f>GL11+GM11</f>
        <v>1859304</v>
      </c>
      <c r="GL11" s="6">
        <v>400822</v>
      </c>
      <c r="GM11" s="6">
        <v>1458482</v>
      </c>
      <c r="GN11" s="345">
        <f t="shared" si="128"/>
        <v>103294.66666666667</v>
      </c>
      <c r="GO11" s="5"/>
      <c r="GP11" s="5">
        <v>270000</v>
      </c>
      <c r="GQ11" s="35"/>
      <c r="GR11" s="18">
        <f t="shared" si="129"/>
        <v>8.3857624661347191E-2</v>
      </c>
      <c r="GS11" s="45"/>
      <c r="GT11" s="45"/>
      <c r="GU11" s="5"/>
      <c r="GV11" s="20">
        <f t="shared" si="130"/>
        <v>15000</v>
      </c>
      <c r="GW11" s="20">
        <f t="shared" si="131"/>
        <v>75579.944444444438</v>
      </c>
      <c r="GX11" s="567"/>
      <c r="GY11" s="567"/>
      <c r="GZ11" s="567">
        <f>(GG11+GP11+GY11)/AD11</f>
        <v>75579.944444444438</v>
      </c>
      <c r="HA11" s="567"/>
      <c r="HB11" s="567">
        <f t="shared" si="132"/>
        <v>75579.944444444438</v>
      </c>
      <c r="HC11" s="568">
        <f>(GG11+GP11+GY11+HA11)/(GX11+GB11-HD11)</f>
        <v>0.42253030754317966</v>
      </c>
      <c r="HD11" s="567"/>
      <c r="HE11" s="567"/>
      <c r="HF11" s="507">
        <f>EU11</f>
        <v>0</v>
      </c>
      <c r="HG11" s="637">
        <f>(177400+88473)*1.021</f>
        <v>271456.33299999998</v>
      </c>
      <c r="HH11" s="634">
        <f t="shared" si="133"/>
        <v>8.4309938091332123E-2</v>
      </c>
      <c r="HI11" s="633">
        <f t="shared" si="134"/>
        <v>2948286.6669999999</v>
      </c>
      <c r="HJ11" s="633" t="e">
        <f ca="1">IF(EE11&lt;DATEDIF(TODAY(),$HJ$1,"M"),HI11,(HI11/EE11*DATEDIF(TODAY(),$HJ$1,"M")))*0+200000</f>
        <v>#VALUE!</v>
      </c>
      <c r="HK11" s="634" t="e">
        <f ca="1">(HJ11+HG11)/GB11</f>
        <v>#VALUE!</v>
      </c>
      <c r="HL11" s="633">
        <f>'[1]GLOBAL OPERATION'!$AG$51</f>
        <v>1145828.3699999999</v>
      </c>
      <c r="HM11" s="633">
        <f t="shared" si="135"/>
        <v>-875828.36999999988</v>
      </c>
      <c r="HN11" s="634">
        <f t="shared" si="136"/>
        <v>4.2438087777777778</v>
      </c>
      <c r="HO11" s="640" t="s">
        <v>754</v>
      </c>
      <c r="HP11" s="563">
        <v>167045.4926</v>
      </c>
      <c r="HQ11" s="47">
        <v>125443.13</v>
      </c>
      <c r="HR11" s="563">
        <v>505211.47767197952</v>
      </c>
      <c r="HS11" s="563">
        <f>SUM(Tableau6[[#This Row],[GO]:[CARRELAGE]])</f>
        <v>0</v>
      </c>
      <c r="HT11" s="461"/>
      <c r="HU11" s="461"/>
      <c r="HV11" s="461"/>
      <c r="HW11" s="461"/>
      <c r="HX11" s="461"/>
      <c r="HY11" s="461"/>
      <c r="HZ11" s="461"/>
      <c r="IA11" s="461"/>
      <c r="IB11" s="461"/>
      <c r="IC11" s="461"/>
      <c r="ID11" s="461"/>
      <c r="IE11" s="461"/>
      <c r="IF11" s="461"/>
      <c r="IG11" s="563">
        <v>436902</v>
      </c>
      <c r="IH11" s="563">
        <v>76000</v>
      </c>
      <c r="II11" s="563">
        <f>HP11+HR11+Tableau6[[#This Row],[TRAVAUX BATIS]]+Tableau6[[#This Row],[HONORAIRES]]+IH11</f>
        <v>1185158.9702719795</v>
      </c>
      <c r="IJ11" s="654">
        <f>Tableau6[[#This Row],[TOTAL PRP HT]]-Tableau6[[#This Row],[PRP TTC HORS FRAFU]]/1.021</f>
        <v>-1968360.1286506457</v>
      </c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ht="20.149999999999999" customHeight="1">
      <c r="A12" s="772" t="s">
        <v>319</v>
      </c>
      <c r="B12" s="2" t="s">
        <v>31</v>
      </c>
      <c r="C12" s="2" t="s">
        <v>86</v>
      </c>
      <c r="D12" s="2">
        <v>2020</v>
      </c>
      <c r="E12" s="2"/>
      <c r="F12" s="2" t="s">
        <v>301</v>
      </c>
      <c r="G12" s="2" t="s">
        <v>329</v>
      </c>
      <c r="H12" s="2" t="s">
        <v>794</v>
      </c>
      <c r="I12" s="22"/>
      <c r="J12" s="22" t="s">
        <v>327</v>
      </c>
      <c r="K12" s="134" t="s">
        <v>339</v>
      </c>
      <c r="L12" s="78" t="s">
        <v>31</v>
      </c>
      <c r="M12" s="51" t="s">
        <v>340</v>
      </c>
      <c r="N12" s="52">
        <v>39798</v>
      </c>
      <c r="O12" s="117"/>
      <c r="P12" s="117"/>
      <c r="Q12" s="117"/>
      <c r="R12" s="117"/>
      <c r="S12" s="117"/>
      <c r="T12" s="330"/>
      <c r="U12" s="330"/>
      <c r="V12" s="330"/>
      <c r="W12" s="117"/>
      <c r="X12" s="104"/>
      <c r="Y12" s="447" t="e">
        <f t="shared" si="96"/>
        <v>#DIV/0!</v>
      </c>
      <c r="Z12" s="104"/>
      <c r="AA12" s="106"/>
      <c r="AB12" s="107"/>
      <c r="AC12" s="2" t="s">
        <v>300</v>
      </c>
      <c r="AD12" s="426">
        <f t="shared" si="97"/>
        <v>16</v>
      </c>
      <c r="AE12" s="426">
        <f t="shared" si="98"/>
        <v>0</v>
      </c>
      <c r="AF12" s="3"/>
      <c r="AG12" s="3"/>
      <c r="AH12" s="32"/>
      <c r="AI12" s="22">
        <v>16</v>
      </c>
      <c r="AJ12" s="614"/>
      <c r="AK12" s="225"/>
      <c r="AL12" s="492">
        <f t="shared" si="99"/>
        <v>0</v>
      </c>
      <c r="AM12" s="4">
        <f t="shared" si="100"/>
        <v>0</v>
      </c>
      <c r="AN12" s="26"/>
      <c r="AO12" s="26"/>
      <c r="AP12" s="26"/>
      <c r="AQ12" s="39"/>
      <c r="AR12" s="39"/>
      <c r="AS12" s="39"/>
      <c r="AT12" s="39"/>
      <c r="AU12" s="39"/>
      <c r="AV12" s="4"/>
      <c r="AW12" s="37"/>
      <c r="AX12" s="39"/>
      <c r="AY12" s="26"/>
      <c r="AZ12" s="22"/>
      <c r="BA12" s="2"/>
      <c r="BB12" s="118"/>
      <c r="BC12" s="22"/>
      <c r="BD12" s="22"/>
      <c r="BE12" s="22"/>
      <c r="BF12" s="22"/>
      <c r="BG12" s="22"/>
      <c r="BH12" s="56">
        <v>43816</v>
      </c>
      <c r="BI12" s="22"/>
      <c r="BJ12" s="548"/>
      <c r="BK12" s="548"/>
      <c r="BL12" s="549"/>
      <c r="BM12" s="547">
        <f t="shared" si="101"/>
        <v>0</v>
      </c>
      <c r="BN12" s="490"/>
      <c r="BO12" s="786"/>
      <c r="BP12" s="761"/>
      <c r="BQ12" s="536">
        <f>(DATEDIF(BO12,BP12,"d"))/30</f>
        <v>0</v>
      </c>
      <c r="BR12" s="530"/>
      <c r="BS12" s="385"/>
      <c r="BT12" s="77"/>
      <c r="BU12" s="151"/>
      <c r="BV12" s="150">
        <f t="shared" si="102"/>
        <v>1096</v>
      </c>
      <c r="BW12" s="373"/>
      <c r="BX12" s="150" t="str">
        <f>IF(Tableau6[[#This Row],[Montant des loyers perçus avant 1e échéance]]&lt;BW12,"oui","non")</f>
        <v>non</v>
      </c>
      <c r="BY12" s="474"/>
      <c r="BZ12" s="474"/>
      <c r="CA12" s="474"/>
      <c r="CB12" s="64">
        <v>43711</v>
      </c>
      <c r="CC12" s="64">
        <v>43696</v>
      </c>
      <c r="CD12" s="64">
        <v>43698</v>
      </c>
      <c r="CE12" s="273">
        <f t="shared" si="103"/>
        <v>2</v>
      </c>
      <c r="CF12" s="288">
        <v>43951</v>
      </c>
      <c r="CG12" s="288"/>
      <c r="CH12" s="290" t="str">
        <f t="shared" si="104"/>
        <v>0</v>
      </c>
      <c r="CI12" s="64">
        <v>43937</v>
      </c>
      <c r="CJ12" s="288">
        <f ca="1">IF(CI12&lt;TODAY(),TODAY(),CI12)</f>
        <v>43998</v>
      </c>
      <c r="CK12" s="273">
        <f t="shared" ca="1" si="105"/>
        <v>61</v>
      </c>
      <c r="CL12" s="288">
        <v>43937</v>
      </c>
      <c r="CM12" s="288">
        <f ca="1">IF(CL12&lt;TODAY(),TODAY(),CL12)</f>
        <v>43998</v>
      </c>
      <c r="CN12" s="290">
        <f t="shared" ca="1" si="106"/>
        <v>61</v>
      </c>
      <c r="CO12" s="288">
        <v>43981</v>
      </c>
      <c r="CP12" s="288">
        <f ca="1">IF(CO12&lt;TODAY(),TODAY(),CO12)</f>
        <v>43998</v>
      </c>
      <c r="CQ12" s="290">
        <f t="shared" ca="1" si="107"/>
        <v>17</v>
      </c>
      <c r="CR12" s="237"/>
      <c r="CS12" s="288"/>
      <c r="CT12" s="277"/>
      <c r="CU12" s="278"/>
      <c r="CV12" s="279" t="str">
        <f t="shared" si="108"/>
        <v>0</v>
      </c>
      <c r="CW12" s="277">
        <v>44228</v>
      </c>
      <c r="CX12" s="382">
        <v>44270</v>
      </c>
      <c r="CY12" s="178"/>
      <c r="CZ12" s="231">
        <f t="shared" si="109"/>
        <v>1475.6666666666667</v>
      </c>
      <c r="DA12" s="279">
        <f t="shared" si="110"/>
        <v>42</v>
      </c>
      <c r="DB12" s="383">
        <v>12</v>
      </c>
      <c r="DC12" s="127">
        <f t="shared" si="111"/>
        <v>13</v>
      </c>
      <c r="DD12" s="277"/>
      <c r="DE12" s="282">
        <f ca="1">IF(DD12&lt;TODAY(),TODAY(),DD12)</f>
        <v>43998</v>
      </c>
      <c r="DF12" s="279" t="str">
        <f t="shared" ca="1" si="112"/>
        <v>0</v>
      </c>
      <c r="DG12" s="766"/>
      <c r="DH12" s="295">
        <f ca="1">IF(DG12&lt;TODAY(),TODAY(),DG12)</f>
        <v>43998</v>
      </c>
      <c r="DI12" s="280" t="str">
        <f t="shared" ca="1" si="113"/>
        <v>0</v>
      </c>
      <c r="DJ12" s="281"/>
      <c r="DK12" s="282">
        <f ca="1">IF(DJ12&lt;TODAY(),TODAY(),DJ12)</f>
        <v>43998</v>
      </c>
      <c r="DL12" s="279" t="str">
        <f t="shared" ca="1" si="114"/>
        <v>0</v>
      </c>
      <c r="DM12" s="282"/>
      <c r="DN12" s="282">
        <f ca="1">IF(DM12&lt;TODAY(),TODAY(),DM12)</f>
        <v>43998</v>
      </c>
      <c r="DO12" s="279" t="str">
        <f t="shared" ca="1" si="115"/>
        <v>0</v>
      </c>
      <c r="DP12" s="283"/>
      <c r="DQ12" s="283"/>
      <c r="DR12" s="279" t="str">
        <f t="shared" si="116"/>
        <v>0</v>
      </c>
      <c r="DS12" s="282"/>
      <c r="DT12" s="282">
        <f ca="1">IF(DS12&lt;TODAY(),TODAY(),DS12)</f>
        <v>43998</v>
      </c>
      <c r="DU12" s="279" t="str">
        <f t="shared" ca="1" si="117"/>
        <v>0</v>
      </c>
      <c r="DV12" s="282"/>
      <c r="DW12" s="282">
        <f ca="1">IF(DV12&lt;TODAY(),TODAY(),DV12)</f>
        <v>43998</v>
      </c>
      <c r="DX12" s="279" t="str">
        <f t="shared" ca="1" si="118"/>
        <v>0</v>
      </c>
      <c r="DY12" s="283"/>
      <c r="DZ12" s="283"/>
      <c r="EA12" s="283"/>
      <c r="EB12" s="410">
        <f t="shared" si="119"/>
        <v>44635</v>
      </c>
      <c r="EC12" s="409">
        <f>DATE(YEAR(EB12),MONTH(EB12)+1,DAY(EB12))</f>
        <v>44666</v>
      </c>
      <c r="ED12" s="406">
        <f t="shared" si="120"/>
        <v>1.0333333333333334</v>
      </c>
      <c r="EE12" s="513">
        <f ca="1">IF(((EC12-TODAY())/30)&lt;0,0,(EC12-TODAY())/30)</f>
        <v>22.266666666666666</v>
      </c>
      <c r="EF12" s="509">
        <f ca="1">DATE(YEAR(DH12)+2,MONTH(DH12),DAY(DH12))</f>
        <v>44728</v>
      </c>
      <c r="EG12" s="448"/>
      <c r="EH12" s="448"/>
      <c r="EI12" s="448">
        <f>DATE(YEAR(EC12),MONTH(EC12)+4,DAY(EC12)+2)</f>
        <v>44790</v>
      </c>
      <c r="EJ12" s="242"/>
      <c r="EK12" s="456">
        <f t="shared" si="138"/>
        <v>44666</v>
      </c>
      <c r="EL12" s="409">
        <f>DATE(YEAR(EC12),MONTH(EC12)+1,DAY(EC12))</f>
        <v>44696</v>
      </c>
      <c r="EM12" s="516"/>
      <c r="EN12" s="404">
        <f>(EL12-EK12)/30</f>
        <v>1</v>
      </c>
      <c r="EO12" s="394"/>
      <c r="EP12" s="131">
        <f t="shared" si="121"/>
        <v>0</v>
      </c>
      <c r="EQ12" s="60"/>
      <c r="ER12" s="60"/>
      <c r="ES12" s="742"/>
      <c r="ET12" s="300"/>
      <c r="EU12" s="300">
        <v>0</v>
      </c>
      <c r="EV12" s="300"/>
      <c r="EW12" s="300"/>
      <c r="EX12" s="300"/>
      <c r="EY12" s="416">
        <f t="shared" si="122"/>
        <v>0</v>
      </c>
      <c r="EZ12" s="297"/>
      <c r="FA12" s="308"/>
      <c r="FB12" s="297"/>
      <c r="FC12" s="297"/>
      <c r="FD12" s="89">
        <f t="shared" ca="1" si="123"/>
        <v>44728</v>
      </c>
      <c r="FE12" s="63"/>
      <c r="FF12" s="63"/>
      <c r="FG12" s="63"/>
      <c r="FH12" s="63"/>
      <c r="FI12" s="63"/>
      <c r="FJ12" s="22"/>
      <c r="FK12" s="146">
        <f t="shared" si="124"/>
        <v>45031</v>
      </c>
      <c r="FL12" s="146"/>
      <c r="FM12" s="146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451"/>
      <c r="GB12" s="471">
        <f>GD12+GG12+GJ12+HF12+Tableau6[[#This Row],[PRÊT CREDIT D''IMPOT (PM)]]</f>
        <v>879956</v>
      </c>
      <c r="GC12" s="645"/>
      <c r="GD12" s="507">
        <f t="shared" si="137"/>
        <v>208830</v>
      </c>
      <c r="GE12" s="212" t="e">
        <f t="shared" si="125"/>
        <v>#DIV/0!</v>
      </c>
      <c r="GF12" s="212">
        <f t="shared" si="126"/>
        <v>54997.25</v>
      </c>
      <c r="GG12" s="503"/>
      <c r="GH12" s="442"/>
      <c r="GI12" s="213" t="e">
        <f>#REF!/AD12</f>
        <v>#REF!</v>
      </c>
      <c r="GJ12" s="503">
        <f t="shared" si="127"/>
        <v>671126</v>
      </c>
      <c r="GK12" s="5">
        <v>671126</v>
      </c>
      <c r="GL12" s="213"/>
      <c r="GM12" s="213"/>
      <c r="GN12" s="345">
        <f t="shared" si="128"/>
        <v>41945.375</v>
      </c>
      <c r="GO12" s="806"/>
      <c r="GP12" s="5">
        <v>207360</v>
      </c>
      <c r="GQ12" s="35"/>
      <c r="GR12" s="18">
        <f t="shared" si="129"/>
        <v>0.23564814604366582</v>
      </c>
      <c r="GS12" s="45"/>
      <c r="GT12" s="35"/>
      <c r="GU12" s="5">
        <v>1470</v>
      </c>
      <c r="GV12" s="20">
        <f t="shared" si="130"/>
        <v>12960</v>
      </c>
      <c r="GW12" s="20">
        <f t="shared" si="131"/>
        <v>12960</v>
      </c>
      <c r="GX12" s="567"/>
      <c r="GY12" s="567"/>
      <c r="GZ12" s="567" t="e">
        <f>(#REF!+#REF!+GY12)/AD12</f>
        <v>#REF!</v>
      </c>
      <c r="HA12" s="567"/>
      <c r="HB12" s="567">
        <f t="shared" si="132"/>
        <v>12960</v>
      </c>
      <c r="HC12" s="568" t="e">
        <f>(#REF!+#REF!+GY12+HA12)/(GX12+#REF!-HD12)</f>
        <v>#REF!</v>
      </c>
      <c r="HD12" s="567"/>
      <c r="HE12" s="567"/>
      <c r="HF12" s="503"/>
      <c r="HG12" s="633"/>
      <c r="HH12" s="634">
        <f t="shared" si="133"/>
        <v>0</v>
      </c>
      <c r="HI12" s="633">
        <f t="shared" si="134"/>
        <v>879956</v>
      </c>
      <c r="HJ12" s="633" t="e">
        <f ca="1">IF(EE12&lt;DATEDIF(TODAY(),$HJ$1,"M"),HI12,(HI12/EE12*DATEDIF(TODAY(),$HJ$1,"M")))</f>
        <v>#VALUE!</v>
      </c>
      <c r="HK12" s="634" t="e">
        <f ca="1">(HG12+HJ12)/GB12</f>
        <v>#VALUE!</v>
      </c>
      <c r="HL12" s="633"/>
      <c r="HM12" s="633">
        <f t="shared" si="135"/>
        <v>208830</v>
      </c>
      <c r="HN12" s="633">
        <f t="shared" si="136"/>
        <v>0</v>
      </c>
      <c r="HO12" s="633"/>
      <c r="HP12" s="563"/>
      <c r="HQ12" s="214"/>
      <c r="HR12" s="563"/>
      <c r="HS12" s="563">
        <f>SUM(Tableau6[[#This Row],[GO]:[CARRELAGE]])</f>
        <v>0</v>
      </c>
      <c r="HT12" s="461"/>
      <c r="HU12" s="461"/>
      <c r="HV12" s="461"/>
      <c r="HW12" s="461"/>
      <c r="HX12" s="461"/>
      <c r="HY12" s="461"/>
      <c r="HZ12" s="461"/>
      <c r="IA12" s="461"/>
      <c r="IB12" s="461"/>
      <c r="IC12" s="461"/>
      <c r="ID12" s="461"/>
      <c r="IE12" s="461"/>
      <c r="IF12" s="461"/>
      <c r="IG12" s="563"/>
      <c r="IH12" s="563"/>
      <c r="II12" s="563">
        <f>HP12+HR12+Tableau6[[#This Row],[TRAVAUX BATIS]]+Tableau6[[#This Row],[HONORAIRES]]+IH12</f>
        <v>0</v>
      </c>
      <c r="IJ12" s="654">
        <f>Tableau6[[#This Row],[TOTAL PRP HT]]-Tableau6[[#This Row],[PRP TTC HORS FRAFU]]/1.021</f>
        <v>-861857.00293829583</v>
      </c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ht="20.149999999999999" customHeight="1">
      <c r="A13" s="603" t="s">
        <v>56</v>
      </c>
      <c r="B13" s="2" t="s">
        <v>20</v>
      </c>
      <c r="C13" s="2" t="s">
        <v>87</v>
      </c>
      <c r="D13" s="2">
        <v>2012</v>
      </c>
      <c r="E13" s="2" t="s">
        <v>67</v>
      </c>
      <c r="F13" s="2" t="s">
        <v>40</v>
      </c>
      <c r="G13" s="423" t="s">
        <v>329</v>
      </c>
      <c r="H13" s="2" t="s">
        <v>181</v>
      </c>
      <c r="I13" s="22"/>
      <c r="J13" s="22" t="s">
        <v>257</v>
      </c>
      <c r="K13" s="134" t="s">
        <v>358</v>
      </c>
      <c r="L13" s="75"/>
      <c r="M13" s="75"/>
      <c r="N13" s="75"/>
      <c r="O13" s="103">
        <v>7382</v>
      </c>
      <c r="P13" s="103">
        <v>243429</v>
      </c>
      <c r="Q13" s="103">
        <v>239545</v>
      </c>
      <c r="R13" s="103">
        <f>P13/AD13</f>
        <v>10142.875</v>
      </c>
      <c r="S13" s="103">
        <f>P13/O13</f>
        <v>32.976022758060147</v>
      </c>
      <c r="T13" s="103">
        <f>Q13/O13</f>
        <v>32.449878081820643</v>
      </c>
      <c r="U13" s="103">
        <f>Q13/AK13</f>
        <v>117.04534349653083</v>
      </c>
      <c r="V13" s="103">
        <f>Q13/AD13</f>
        <v>9981.0416666666661</v>
      </c>
      <c r="W13" s="103">
        <f>O13/AD13</f>
        <v>307.58333333333331</v>
      </c>
      <c r="X13" s="104"/>
      <c r="Y13" s="444">
        <f t="shared" si="96"/>
        <v>32.511514494716877</v>
      </c>
      <c r="Z13" s="104" t="s">
        <v>147</v>
      </c>
      <c r="AA13" s="106">
        <v>750</v>
      </c>
      <c r="AB13" s="107">
        <v>0.3</v>
      </c>
      <c r="AC13" s="2" t="s">
        <v>10</v>
      </c>
      <c r="AD13" s="426">
        <f t="shared" si="97"/>
        <v>24</v>
      </c>
      <c r="AE13" s="426">
        <f t="shared" si="98"/>
        <v>24</v>
      </c>
      <c r="AF13" s="3"/>
      <c r="AG13" s="2">
        <v>24</v>
      </c>
      <c r="AH13" s="32"/>
      <c r="AI13" s="32"/>
      <c r="AJ13" s="614">
        <v>2026.2599999999998</v>
      </c>
      <c r="AK13" s="225">
        <v>2046.6</v>
      </c>
      <c r="AL13" s="492">
        <f t="shared" si="99"/>
        <v>84.427499999999995</v>
      </c>
      <c r="AM13" s="4">
        <f t="shared" si="100"/>
        <v>85.274999999999991</v>
      </c>
      <c r="AN13" s="26">
        <v>5.01</v>
      </c>
      <c r="AO13" s="26">
        <v>4.96</v>
      </c>
      <c r="AP13" s="26">
        <v>423.09</v>
      </c>
      <c r="AQ13" s="28"/>
      <c r="AR13" s="28"/>
      <c r="AS13" s="28"/>
      <c r="AT13" s="28"/>
      <c r="AU13" s="28"/>
      <c r="AV13" s="4">
        <v>1700</v>
      </c>
      <c r="AW13" s="37">
        <v>486</v>
      </c>
      <c r="AX13" s="39">
        <f>AW13/O13</f>
        <v>6.5835816851801676E-2</v>
      </c>
      <c r="AY13" s="26">
        <v>1.5</v>
      </c>
      <c r="AZ13" s="25" t="s">
        <v>386</v>
      </c>
      <c r="BA13" s="4" t="s">
        <v>95</v>
      </c>
      <c r="BB13" s="26"/>
      <c r="BC13" s="26"/>
      <c r="BD13" s="26"/>
      <c r="BE13" s="26"/>
      <c r="BF13" s="22"/>
      <c r="BG13" s="22"/>
      <c r="BH13" s="89">
        <v>40963</v>
      </c>
      <c r="BI13" s="89"/>
      <c r="BJ13" s="548">
        <v>40998</v>
      </c>
      <c r="BK13" s="548">
        <v>41170</v>
      </c>
      <c r="BL13" s="549"/>
      <c r="BM13" s="547">
        <f t="shared" si="101"/>
        <v>5.7333333333333334</v>
      </c>
      <c r="BN13" s="490"/>
      <c r="BO13" s="467"/>
      <c r="BP13" s="476">
        <v>41256</v>
      </c>
      <c r="BQ13" s="525"/>
      <c r="BR13" s="525"/>
      <c r="BS13" s="77">
        <f>DATE(YEAR(BP13),MONTH(BP13)+3,DAY(BP13))</f>
        <v>41346</v>
      </c>
      <c r="BT13" s="50"/>
      <c r="BU13" s="150">
        <v>41365</v>
      </c>
      <c r="BV13" s="150">
        <f t="shared" si="102"/>
        <v>42461</v>
      </c>
      <c r="BW13" s="373">
        <v>87854</v>
      </c>
      <c r="BX13" s="150" t="str">
        <f>IF(Tableau6[[#This Row],[Montant des loyers perçus avant 1e échéance]]&lt;BW13,"oui","non")</f>
        <v>non</v>
      </c>
      <c r="BY13" s="475">
        <f>(BV13-EL13)/30</f>
        <v>-5.5333333333333332</v>
      </c>
      <c r="BZ13" s="373" t="str">
        <f>IF((BY13*EO13)&lt;0,"0",BY13*EO13)</f>
        <v>0</v>
      </c>
      <c r="CA13" s="373">
        <f>IF(BW13-BZ13&lt;0,0,Tableau6[[#This Row],[Montant échéance annuelle]]-Tableau6[[#This Row],[Montant des loyers perçus avant 1e échéance]])</f>
        <v>87854</v>
      </c>
      <c r="CB13" s="64"/>
      <c r="CC13" s="64"/>
      <c r="CD13" s="64"/>
      <c r="CE13" s="273" t="str">
        <f t="shared" si="103"/>
        <v>0</v>
      </c>
      <c r="CF13" s="64"/>
      <c r="CG13" s="64"/>
      <c r="CH13" s="273" t="str">
        <f t="shared" si="104"/>
        <v>0</v>
      </c>
      <c r="CI13" s="64"/>
      <c r="CJ13" s="64"/>
      <c r="CK13" s="273" t="str">
        <f t="shared" si="105"/>
        <v>0</v>
      </c>
      <c r="CL13" s="64"/>
      <c r="CM13" s="64"/>
      <c r="CN13" s="273" t="str">
        <f t="shared" si="106"/>
        <v>0</v>
      </c>
      <c r="CO13" s="66"/>
      <c r="CP13" s="311"/>
      <c r="CQ13" s="273" t="str">
        <f t="shared" si="107"/>
        <v>0</v>
      </c>
      <c r="CR13" s="239"/>
      <c r="CS13" s="117"/>
      <c r="CT13" s="64"/>
      <c r="CU13" s="117"/>
      <c r="CV13" s="273" t="str">
        <f t="shared" si="108"/>
        <v>0</v>
      </c>
      <c r="CW13" s="64"/>
      <c r="CX13" s="181">
        <v>41572</v>
      </c>
      <c r="CY13" s="175">
        <v>2013</v>
      </c>
      <c r="CZ13" s="232">
        <f t="shared" si="109"/>
        <v>13.4</v>
      </c>
      <c r="DA13" s="273" t="str">
        <f t="shared" si="110"/>
        <v>0</v>
      </c>
      <c r="DB13" s="59">
        <v>17</v>
      </c>
      <c r="DC13" s="59">
        <f t="shared" si="111"/>
        <v>34</v>
      </c>
      <c r="DD13" s="159"/>
      <c r="DE13" s="158"/>
      <c r="DF13" s="381" t="str">
        <f t="shared" si="112"/>
        <v>0</v>
      </c>
      <c r="DG13" s="392"/>
      <c r="DH13" s="336"/>
      <c r="DI13" s="337" t="str">
        <f t="shared" si="113"/>
        <v>0</v>
      </c>
      <c r="DJ13" s="133"/>
      <c r="DK13" s="159"/>
      <c r="DL13" s="381" t="str">
        <f t="shared" si="114"/>
        <v>0</v>
      </c>
      <c r="DM13" s="158"/>
      <c r="DN13" s="159"/>
      <c r="DO13" s="381" t="str">
        <f t="shared" si="115"/>
        <v>0</v>
      </c>
      <c r="DP13" s="168"/>
      <c r="DQ13" s="168"/>
      <c r="DR13" s="381" t="str">
        <f t="shared" si="116"/>
        <v>0</v>
      </c>
      <c r="DS13" s="168"/>
      <c r="DT13" s="168"/>
      <c r="DU13" s="381" t="str">
        <f t="shared" si="117"/>
        <v>0</v>
      </c>
      <c r="DV13" s="159"/>
      <c r="DW13" s="159"/>
      <c r="DX13" s="381" t="str">
        <f t="shared" si="118"/>
        <v>0</v>
      </c>
      <c r="DY13" s="168"/>
      <c r="DZ13" s="168"/>
      <c r="EA13" s="168"/>
      <c r="EB13" s="240">
        <f t="shared" si="119"/>
        <v>42088</v>
      </c>
      <c r="EC13" s="181">
        <v>42619</v>
      </c>
      <c r="ED13" s="401">
        <f t="shared" si="120"/>
        <v>17.7</v>
      </c>
      <c r="EE13" s="511"/>
      <c r="EF13" s="240"/>
      <c r="EG13" s="58">
        <v>42633</v>
      </c>
      <c r="EH13" s="58">
        <v>42342</v>
      </c>
      <c r="EI13" s="58" t="s">
        <v>101</v>
      </c>
      <c r="EJ13" s="240"/>
      <c r="EK13" s="455">
        <f t="shared" si="138"/>
        <v>42119</v>
      </c>
      <c r="EL13" s="183">
        <v>42627</v>
      </c>
      <c r="EM13" s="177">
        <v>2016</v>
      </c>
      <c r="EN13" s="398">
        <f>(DATEDIF(EK13,EL13,"d"))/30</f>
        <v>16.933333333333334</v>
      </c>
      <c r="EO13" s="388">
        <f>100906.540336335/12</f>
        <v>8408.8783613612504</v>
      </c>
      <c r="EP13" s="158">
        <f t="shared" si="121"/>
        <v>142390.34025238384</v>
      </c>
      <c r="EQ13" s="58" t="s">
        <v>101</v>
      </c>
      <c r="ER13" s="58"/>
      <c r="ES13" s="59"/>
      <c r="ET13" s="296"/>
      <c r="EU13" s="387">
        <f>HF13</f>
        <v>0</v>
      </c>
      <c r="EV13" s="300"/>
      <c r="EW13" s="300"/>
      <c r="EX13" s="300">
        <v>44803.79</v>
      </c>
      <c r="EY13" s="416">
        <f t="shared" si="122"/>
        <v>1.0920921423548439E-2</v>
      </c>
      <c r="EZ13" s="297"/>
      <c r="FA13" s="308" t="s">
        <v>517</v>
      </c>
      <c r="FB13" s="297"/>
      <c r="FC13" s="297"/>
      <c r="FD13" s="89">
        <f t="shared" si="123"/>
        <v>731</v>
      </c>
      <c r="FE13" s="98">
        <v>42702</v>
      </c>
      <c r="FF13" s="98"/>
      <c r="FG13" s="98" t="s">
        <v>101</v>
      </c>
      <c r="FH13" s="64" t="s">
        <v>101</v>
      </c>
      <c r="FI13" s="98">
        <v>42766</v>
      </c>
      <c r="FJ13" s="98">
        <v>42979</v>
      </c>
      <c r="FK13" s="64">
        <f t="shared" si="124"/>
        <v>42984</v>
      </c>
      <c r="FL13" s="64"/>
      <c r="FM13" s="375">
        <v>57355</v>
      </c>
      <c r="FN13" s="98">
        <v>42716</v>
      </c>
      <c r="FO13" s="98">
        <v>42755</v>
      </c>
      <c r="FP13" s="98"/>
      <c r="FQ13" s="64"/>
      <c r="FR13" s="64"/>
      <c r="FS13" s="354"/>
      <c r="FT13" s="63"/>
      <c r="FU13" s="361" t="s">
        <v>544</v>
      </c>
      <c r="FV13" s="325"/>
      <c r="FW13" s="119">
        <v>42808</v>
      </c>
      <c r="FX13" s="86" t="s">
        <v>101</v>
      </c>
      <c r="FY13" s="119">
        <v>43214</v>
      </c>
      <c r="FZ13" s="95" t="s">
        <v>101</v>
      </c>
      <c r="GA13" s="334">
        <v>3907101</v>
      </c>
      <c r="GB13" s="471">
        <f>GD13+GG13+GJ13+HF13+Tableau6[[#This Row],[PRÊT CREDIT D''IMPOT (PM)]]</f>
        <v>4102565</v>
      </c>
      <c r="GC13" s="644">
        <f>GB13</f>
        <v>4102565</v>
      </c>
      <c r="GD13" s="507">
        <f t="shared" si="137"/>
        <v>384000</v>
      </c>
      <c r="GE13" s="20">
        <f t="shared" si="125"/>
        <v>2004.5758819505522</v>
      </c>
      <c r="GF13" s="20">
        <f t="shared" si="126"/>
        <v>170940.20833333334</v>
      </c>
      <c r="GG13" s="507">
        <v>1196851</v>
      </c>
      <c r="GH13" s="351"/>
      <c r="GI13" s="11">
        <f>GG13/AD13</f>
        <v>49868.791666666664</v>
      </c>
      <c r="GJ13" s="507">
        <f t="shared" si="127"/>
        <v>2521714</v>
      </c>
      <c r="GK13" s="5">
        <f>+GL13+GM13</f>
        <v>2362522</v>
      </c>
      <c r="GL13" s="6">
        <v>585357</v>
      </c>
      <c r="GM13" s="6">
        <v>1777165</v>
      </c>
      <c r="GN13" s="345">
        <f t="shared" si="128"/>
        <v>98438.416666666672</v>
      </c>
      <c r="GO13" s="5">
        <v>159192</v>
      </c>
      <c r="GP13" s="8">
        <v>384000</v>
      </c>
      <c r="GQ13" s="34"/>
      <c r="GR13" s="18">
        <f t="shared" si="129"/>
        <v>9.3599979525004484E-2</v>
      </c>
      <c r="GS13" s="488"/>
      <c r="GT13" s="488"/>
      <c r="GU13" s="8">
        <v>0</v>
      </c>
      <c r="GV13" s="20">
        <f t="shared" si="130"/>
        <v>16000</v>
      </c>
      <c r="GW13" s="20">
        <f t="shared" si="131"/>
        <v>65868.791666666672</v>
      </c>
      <c r="GX13" s="567">
        <v>913316.69861249998</v>
      </c>
      <c r="GY13" s="567">
        <v>480000</v>
      </c>
      <c r="GZ13" s="567" t="e">
        <f>(#REF!+#REF!+GY13)/AD13</f>
        <v>#REF!</v>
      </c>
      <c r="HA13" s="567">
        <v>148968.80577250005</v>
      </c>
      <c r="HB13" s="567">
        <f t="shared" si="132"/>
        <v>92075.825240520833</v>
      </c>
      <c r="HC13" s="568">
        <f>(GG13+GP13+GY13+HA13)/(GX13+GB13-HD13)</f>
        <v>0.46341443471424698</v>
      </c>
      <c r="HD13" s="567">
        <v>247321.11820000003</v>
      </c>
      <c r="HE13" s="570"/>
      <c r="HF13" s="507"/>
      <c r="HG13" s="633"/>
      <c r="HH13" s="634">
        <f t="shared" si="133"/>
        <v>0</v>
      </c>
      <c r="HI13" s="635">
        <f t="shared" si="134"/>
        <v>4102565</v>
      </c>
      <c r="HJ13" s="633" t="e">
        <f ca="1">IF(EE13&lt;DATEDIF(TODAY(),$HJ$1,"M"),HI13,(HI13/EE13*DATEDIF(TODAY(),$HJ$1,"M")))</f>
        <v>#VALUE!</v>
      </c>
      <c r="HK13" s="633"/>
      <c r="HL13" s="633"/>
      <c r="HM13" s="633">
        <f t="shared" si="135"/>
        <v>384000</v>
      </c>
      <c r="HN13" s="636">
        <f t="shared" si="136"/>
        <v>0</v>
      </c>
      <c r="HO13" s="636"/>
      <c r="HP13" s="563"/>
      <c r="HQ13" s="47"/>
      <c r="HR13" s="563"/>
      <c r="HS13" s="563">
        <f>SUM(Tableau6[[#This Row],[GO]:[CARRELAGE]])</f>
        <v>0</v>
      </c>
      <c r="HT13" s="461"/>
      <c r="HU13" s="461"/>
      <c r="HV13" s="461"/>
      <c r="HW13" s="461"/>
      <c r="HX13" s="461"/>
      <c r="HY13" s="461"/>
      <c r="HZ13" s="461"/>
      <c r="IA13" s="461"/>
      <c r="IB13" s="461"/>
      <c r="IC13" s="461"/>
      <c r="ID13" s="461"/>
      <c r="IE13" s="461"/>
      <c r="IF13" s="461"/>
      <c r="IG13" s="563"/>
      <c r="IH13" s="563"/>
      <c r="II13" s="563">
        <f>HP13+HR13+Tableau6[[#This Row],[TRAVAUX BATIS]]+Tableau6[[#This Row],[HONORAIRES]]+IH13</f>
        <v>0</v>
      </c>
      <c r="IJ13" s="654">
        <f>Tableau6[[#This Row],[TOTAL PRP HT]]-Tableau6[[#This Row],[PRP TTC HORS FRAFU]]/1.021</f>
        <v>-4018183.1537708133</v>
      </c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  <row r="14" spans="1:256" ht="20.149999999999999" customHeight="1">
      <c r="A14" s="772" t="s">
        <v>318</v>
      </c>
      <c r="B14" s="2" t="s">
        <v>21</v>
      </c>
      <c r="C14" s="2" t="s">
        <v>86</v>
      </c>
      <c r="D14" s="2">
        <v>2020</v>
      </c>
      <c r="E14" s="2"/>
      <c r="F14" s="2" t="s">
        <v>834</v>
      </c>
      <c r="G14" s="2" t="s">
        <v>586</v>
      </c>
      <c r="H14" s="2" t="s">
        <v>794</v>
      </c>
      <c r="I14" s="22"/>
      <c r="J14" s="22" t="s">
        <v>342</v>
      </c>
      <c r="K14" s="134" t="s">
        <v>330</v>
      </c>
      <c r="L14" s="78" t="s">
        <v>43</v>
      </c>
      <c r="M14" s="51" t="s">
        <v>341</v>
      </c>
      <c r="N14" s="52">
        <v>35571</v>
      </c>
      <c r="O14" s="117"/>
      <c r="P14" s="117"/>
      <c r="Q14" s="117"/>
      <c r="R14" s="117"/>
      <c r="S14" s="117"/>
      <c r="T14" s="330"/>
      <c r="U14" s="330"/>
      <c r="V14" s="330"/>
      <c r="W14" s="117"/>
      <c r="X14" s="104"/>
      <c r="Y14" s="447" t="e">
        <f t="shared" si="96"/>
        <v>#DIV/0!</v>
      </c>
      <c r="Z14" s="104"/>
      <c r="AA14" s="106"/>
      <c r="AB14" s="107"/>
      <c r="AC14" s="2" t="s">
        <v>300</v>
      </c>
      <c r="AD14" s="426">
        <f t="shared" si="97"/>
        <v>38</v>
      </c>
      <c r="AE14" s="426">
        <f t="shared" si="98"/>
        <v>0</v>
      </c>
      <c r="AF14" s="3"/>
      <c r="AG14" s="3"/>
      <c r="AH14" s="32"/>
      <c r="AI14" s="94">
        <v>38</v>
      </c>
      <c r="AJ14" s="614"/>
      <c r="AK14" s="225"/>
      <c r="AL14" s="492">
        <f t="shared" si="99"/>
        <v>0</v>
      </c>
      <c r="AM14" s="4">
        <f t="shared" si="100"/>
        <v>0</v>
      </c>
      <c r="AN14" s="26"/>
      <c r="AO14" s="26"/>
      <c r="AP14" s="26"/>
      <c r="AQ14" s="39"/>
      <c r="AR14" s="39"/>
      <c r="AS14" s="39"/>
      <c r="AT14" s="39"/>
      <c r="AU14" s="39"/>
      <c r="AV14" s="4"/>
      <c r="AW14" s="37"/>
      <c r="AX14" s="39"/>
      <c r="AY14" s="26"/>
      <c r="AZ14" s="22"/>
      <c r="BA14" s="2"/>
      <c r="BB14" s="118"/>
      <c r="BC14" s="22"/>
      <c r="BD14" s="22"/>
      <c r="BE14" s="22"/>
      <c r="BF14" s="22"/>
      <c r="BG14" s="22"/>
      <c r="BH14" s="56">
        <v>43816</v>
      </c>
      <c r="BI14" s="22"/>
      <c r="BJ14" s="548"/>
      <c r="BK14" s="548"/>
      <c r="BL14" s="549"/>
      <c r="BM14" s="547">
        <f t="shared" si="101"/>
        <v>0</v>
      </c>
      <c r="BN14" s="490"/>
      <c r="BO14" s="76"/>
      <c r="BP14" s="99"/>
      <c r="BQ14" s="536">
        <f>(DATEDIF(BO14,BP14,"d"))/30</f>
        <v>0</v>
      </c>
      <c r="BR14" s="529"/>
      <c r="BS14" s="77"/>
      <c r="BT14" s="77"/>
      <c r="BU14" s="151"/>
      <c r="BV14" s="150">
        <f t="shared" si="102"/>
        <v>1096</v>
      </c>
      <c r="BW14" s="373"/>
      <c r="BX14" s="150" t="str">
        <f>IF(Tableau6[[#This Row],[Montant des loyers perçus avant 1e échéance]]&lt;BW14,"oui","non")</f>
        <v>non</v>
      </c>
      <c r="BY14" s="474"/>
      <c r="BZ14" s="474"/>
      <c r="CA14" s="474"/>
      <c r="CB14" s="64">
        <v>43706</v>
      </c>
      <c r="CC14" s="64">
        <v>43696</v>
      </c>
      <c r="CD14" s="64">
        <v>43704</v>
      </c>
      <c r="CE14" s="273">
        <f t="shared" si="103"/>
        <v>8</v>
      </c>
      <c r="CF14" s="288">
        <v>43951</v>
      </c>
      <c r="CG14" s="288"/>
      <c r="CH14" s="290" t="str">
        <f t="shared" si="104"/>
        <v>0</v>
      </c>
      <c r="CI14" s="64">
        <v>43906</v>
      </c>
      <c r="CJ14" s="64">
        <v>43936</v>
      </c>
      <c r="CK14" s="273">
        <f t="shared" si="105"/>
        <v>30</v>
      </c>
      <c r="CL14" s="64">
        <v>43906</v>
      </c>
      <c r="CM14" s="64">
        <v>43936</v>
      </c>
      <c r="CN14" s="273">
        <f t="shared" si="106"/>
        <v>30</v>
      </c>
      <c r="CO14" s="288">
        <v>43968</v>
      </c>
      <c r="CP14" s="288">
        <f ca="1">IF(CO14&lt;TODAY(),TODAY(),CO14)</f>
        <v>43998</v>
      </c>
      <c r="CQ14" s="290">
        <f t="shared" ca="1" si="107"/>
        <v>30</v>
      </c>
      <c r="CR14" s="237"/>
      <c r="CS14" s="286"/>
      <c r="CT14" s="277"/>
      <c r="CU14" s="278"/>
      <c r="CV14" s="279" t="str">
        <f t="shared" si="108"/>
        <v>0</v>
      </c>
      <c r="CW14" s="277">
        <v>44228</v>
      </c>
      <c r="CX14" s="382">
        <v>44270</v>
      </c>
      <c r="CY14" s="178"/>
      <c r="CZ14" s="231">
        <f t="shared" si="109"/>
        <v>1475.6666666666667</v>
      </c>
      <c r="DA14" s="279">
        <f t="shared" si="110"/>
        <v>42</v>
      </c>
      <c r="DB14" s="383">
        <v>12</v>
      </c>
      <c r="DC14" s="127">
        <f t="shared" si="111"/>
        <v>13</v>
      </c>
      <c r="DD14" s="277"/>
      <c r="DE14" s="282">
        <f ca="1">IF(DD14&lt;TODAY(),TODAY(),DD14)</f>
        <v>43998</v>
      </c>
      <c r="DF14" s="279" t="str">
        <f t="shared" ca="1" si="112"/>
        <v>0</v>
      </c>
      <c r="DG14" s="766"/>
      <c r="DH14" s="295">
        <f ca="1">IF(DG14&lt;TODAY(),TODAY(),DG14)</f>
        <v>43998</v>
      </c>
      <c r="DI14" s="280" t="str">
        <f t="shared" ca="1" si="113"/>
        <v>0</v>
      </c>
      <c r="DJ14" s="281"/>
      <c r="DK14" s="282">
        <f ca="1">IF(DJ14&lt;TODAY(),TODAY(),DJ14)</f>
        <v>43998</v>
      </c>
      <c r="DL14" s="279" t="str">
        <f t="shared" ca="1" si="114"/>
        <v>0</v>
      </c>
      <c r="DM14" s="282"/>
      <c r="DN14" s="282">
        <f ca="1">IF(DM14&lt;TODAY(),TODAY(),DM14)</f>
        <v>43998</v>
      </c>
      <c r="DO14" s="279" t="str">
        <f t="shared" ca="1" si="115"/>
        <v>0</v>
      </c>
      <c r="DP14" s="283"/>
      <c r="DQ14" s="283"/>
      <c r="DR14" s="279" t="str">
        <f t="shared" si="116"/>
        <v>0</v>
      </c>
      <c r="DS14" s="282"/>
      <c r="DT14" s="282">
        <f ca="1">IF(DS14&lt;TODAY(),TODAY(),DS14)</f>
        <v>43998</v>
      </c>
      <c r="DU14" s="279" t="str">
        <f t="shared" ca="1" si="117"/>
        <v>0</v>
      </c>
      <c r="DV14" s="282"/>
      <c r="DW14" s="282">
        <f ca="1">IF(DV14&lt;TODAY(),TODAY(),DV14)</f>
        <v>43998</v>
      </c>
      <c r="DX14" s="279" t="str">
        <f t="shared" ca="1" si="118"/>
        <v>0</v>
      </c>
      <c r="DY14" s="283"/>
      <c r="DZ14" s="283"/>
      <c r="EA14" s="283"/>
      <c r="EB14" s="410">
        <f t="shared" si="119"/>
        <v>44635</v>
      </c>
      <c r="EC14" s="409">
        <f>DATE(YEAR(EB14),MONTH(EB14)+1,DAY(EB14))</f>
        <v>44666</v>
      </c>
      <c r="ED14" s="406">
        <f t="shared" si="120"/>
        <v>1.0333333333333334</v>
      </c>
      <c r="EE14" s="513">
        <f ca="1">IF(((EC14-TODAY())/30)&lt;0,0,(EC14-TODAY())/30)</f>
        <v>22.266666666666666</v>
      </c>
      <c r="EF14" s="509">
        <f ca="1">DATE(YEAR(DH14)+2,MONTH(DH14),DAY(DH14))</f>
        <v>44728</v>
      </c>
      <c r="EG14" s="448"/>
      <c r="EH14" s="448"/>
      <c r="EI14" s="448">
        <f>DATE(YEAR(EC14),MONTH(EC14)+4,DAY(EC14)+2)</f>
        <v>44790</v>
      </c>
      <c r="EJ14" s="242"/>
      <c r="EK14" s="456">
        <f t="shared" si="138"/>
        <v>44666</v>
      </c>
      <c r="EL14" s="409">
        <f>DATE(YEAR(EC14),MONTH(EC14)+1,DAY(EC14))</f>
        <v>44696</v>
      </c>
      <c r="EM14" s="516"/>
      <c r="EN14" s="404">
        <f>(EL14-EK14)/30</f>
        <v>1</v>
      </c>
      <c r="EO14" s="394"/>
      <c r="EP14" s="131">
        <f t="shared" si="121"/>
        <v>0</v>
      </c>
      <c r="EQ14" s="60"/>
      <c r="ER14" s="60"/>
      <c r="ES14" s="742"/>
      <c r="ET14" s="300"/>
      <c r="EU14" s="300">
        <v>0</v>
      </c>
      <c r="EV14" s="300"/>
      <c r="EW14" s="300"/>
      <c r="EX14" s="300"/>
      <c r="EY14" s="416">
        <f t="shared" si="122"/>
        <v>0</v>
      </c>
      <c r="EZ14" s="297"/>
      <c r="FA14" s="308"/>
      <c r="FB14" s="297"/>
      <c r="FC14" s="297"/>
      <c r="FD14" s="89">
        <f t="shared" ca="1" si="123"/>
        <v>44728</v>
      </c>
      <c r="FE14" s="63"/>
      <c r="FF14" s="63"/>
      <c r="FG14" s="63"/>
      <c r="FH14" s="63"/>
      <c r="FI14" s="63"/>
      <c r="FJ14" s="22"/>
      <c r="FK14" s="146">
        <f t="shared" si="124"/>
        <v>45031</v>
      </c>
      <c r="FL14" s="146"/>
      <c r="FM14" s="146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451"/>
      <c r="GB14" s="471">
        <f>GD14+GG14+GJ14+HF14+Tableau6[[#This Row],[PRÊT CREDIT D''IMPOT (PM)]]</f>
        <v>2090000</v>
      </c>
      <c r="GC14" s="645"/>
      <c r="GD14" s="507">
        <f t="shared" si="137"/>
        <v>494650</v>
      </c>
      <c r="GE14" s="212" t="e">
        <f t="shared" si="125"/>
        <v>#DIV/0!</v>
      </c>
      <c r="GF14" s="212">
        <f t="shared" si="126"/>
        <v>55000</v>
      </c>
      <c r="GG14" s="503"/>
      <c r="GH14" s="442"/>
      <c r="GI14" s="213" t="e">
        <f>#REF!/AD14</f>
        <v>#REF!</v>
      </c>
      <c r="GJ14" s="503">
        <f t="shared" si="127"/>
        <v>1595350</v>
      </c>
      <c r="GK14" s="5">
        <v>1595350</v>
      </c>
      <c r="GL14" s="213"/>
      <c r="GM14" s="213"/>
      <c r="GN14" s="345">
        <f t="shared" si="128"/>
        <v>41982.894736842107</v>
      </c>
      <c r="GO14" s="806"/>
      <c r="GP14" s="5">
        <v>492480</v>
      </c>
      <c r="GQ14" s="35"/>
      <c r="GR14" s="18">
        <f t="shared" si="129"/>
        <v>0.23563636363636364</v>
      </c>
      <c r="GS14" s="45"/>
      <c r="GT14" s="35"/>
      <c r="GU14" s="5">
        <v>2170</v>
      </c>
      <c r="GV14" s="20">
        <f t="shared" si="130"/>
        <v>12960</v>
      </c>
      <c r="GW14" s="20">
        <f t="shared" si="131"/>
        <v>12960</v>
      </c>
      <c r="GX14" s="567"/>
      <c r="GY14" s="567"/>
      <c r="GZ14" s="567" t="e">
        <f>(#REF!+#REF!+GY14)/AD14</f>
        <v>#REF!</v>
      </c>
      <c r="HA14" s="567"/>
      <c r="HB14" s="567">
        <f t="shared" si="132"/>
        <v>12960</v>
      </c>
      <c r="HC14" s="568" t="e">
        <f>(#REF!+#REF!+GY14+HA14)/(GX14+#REF!-HD14)</f>
        <v>#REF!</v>
      </c>
      <c r="HD14" s="567"/>
      <c r="HE14" s="567"/>
      <c r="HF14" s="503"/>
      <c r="HG14" s="633"/>
      <c r="HH14" s="634">
        <f t="shared" si="133"/>
        <v>0</v>
      </c>
      <c r="HI14" s="633">
        <f t="shared" si="134"/>
        <v>2090000</v>
      </c>
      <c r="HJ14" s="633" t="e">
        <f ca="1">IF(EE14&lt;DATEDIF(TODAY(),$HJ$1,"M"),HI14,(HI14/EE14*DATEDIF(TODAY(),$HJ$1,"M")))</f>
        <v>#VALUE!</v>
      </c>
      <c r="HK14" s="634" t="e">
        <f ca="1">(HG14+HJ14)/GB14</f>
        <v>#VALUE!</v>
      </c>
      <c r="HL14" s="633"/>
      <c r="HM14" s="633">
        <f t="shared" si="135"/>
        <v>494650</v>
      </c>
      <c r="HN14" s="633">
        <f t="shared" si="136"/>
        <v>0</v>
      </c>
      <c r="HO14" s="633"/>
      <c r="HP14" s="563"/>
      <c r="HQ14" s="214"/>
      <c r="HR14" s="563"/>
      <c r="HS14" s="563">
        <f>SUM(Tableau6[[#This Row],[GO]:[CARRELAGE]])</f>
        <v>0</v>
      </c>
      <c r="HT14" s="461"/>
      <c r="HU14" s="461"/>
      <c r="HV14" s="461"/>
      <c r="HW14" s="461"/>
      <c r="HX14" s="461"/>
      <c r="HY14" s="461"/>
      <c r="HZ14" s="461"/>
      <c r="IA14" s="461"/>
      <c r="IB14" s="461"/>
      <c r="IC14" s="461"/>
      <c r="ID14" s="461"/>
      <c r="IE14" s="461"/>
      <c r="IF14" s="461"/>
      <c r="IG14" s="563"/>
      <c r="IH14" s="563"/>
      <c r="II14" s="563">
        <f>HP14+HR14+Tableau6[[#This Row],[TRAVAUX BATIS]]+Tableau6[[#This Row],[HONORAIRES]]+IH14</f>
        <v>0</v>
      </c>
      <c r="IJ14" s="654">
        <f>Tableau6[[#This Row],[TOTAL PRP HT]]-Tableau6[[#This Row],[PRP TTC HORS FRAFU]]/1.021</f>
        <v>-2047012.7326150835</v>
      </c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</row>
    <row r="15" spans="1:256" ht="20.149999999999999" customHeight="1">
      <c r="A15" s="765" t="s">
        <v>935</v>
      </c>
      <c r="B15" s="2" t="s">
        <v>76</v>
      </c>
      <c r="C15" s="2" t="s">
        <v>88</v>
      </c>
      <c r="D15" s="2">
        <v>2011</v>
      </c>
      <c r="E15" s="2" t="s">
        <v>79</v>
      </c>
      <c r="F15" s="2" t="s">
        <v>82</v>
      </c>
      <c r="G15" s="423"/>
      <c r="H15" s="2" t="s">
        <v>181</v>
      </c>
      <c r="I15" s="22"/>
      <c r="J15" s="22"/>
      <c r="K15" s="134"/>
      <c r="L15" s="224"/>
      <c r="M15" s="224"/>
      <c r="N15" s="224"/>
      <c r="O15" s="103">
        <v>4531</v>
      </c>
      <c r="P15" s="103">
        <f>Q15</f>
        <v>799078</v>
      </c>
      <c r="Q15" s="103">
        <v>799078</v>
      </c>
      <c r="R15" s="103">
        <f>P15/AD15</f>
        <v>34742.521739130432</v>
      </c>
      <c r="S15" s="103">
        <f>P15/O15</f>
        <v>176.35797837122047</v>
      </c>
      <c r="T15" s="103">
        <f>Q15/O15</f>
        <v>176.35797837122047</v>
      </c>
      <c r="U15" s="103">
        <f>Q15/AK15</f>
        <v>416.95086825847386</v>
      </c>
      <c r="V15" s="103">
        <f>Q15/AD15</f>
        <v>34742.521739130432</v>
      </c>
      <c r="W15" s="103">
        <f>O15/AD15</f>
        <v>197</v>
      </c>
      <c r="X15" s="104"/>
      <c r="Y15" s="444">
        <f t="shared" si="96"/>
        <v>50.761421319796952</v>
      </c>
      <c r="Z15" s="104" t="s">
        <v>162</v>
      </c>
      <c r="AA15" s="106"/>
      <c r="AB15" s="106"/>
      <c r="AC15" s="2" t="s">
        <v>9</v>
      </c>
      <c r="AD15" s="426">
        <f t="shared" si="97"/>
        <v>23</v>
      </c>
      <c r="AE15" s="426">
        <f t="shared" si="98"/>
        <v>23</v>
      </c>
      <c r="AF15" s="2">
        <v>23</v>
      </c>
      <c r="AG15" s="472"/>
      <c r="AH15" s="217"/>
      <c r="AI15" s="217"/>
      <c r="AJ15" s="26">
        <v>1916.48</v>
      </c>
      <c r="AK15" s="225">
        <v>1916.48</v>
      </c>
      <c r="AL15" s="492">
        <f t="shared" si="99"/>
        <v>83.325217391304349</v>
      </c>
      <c r="AM15" s="4">
        <f t="shared" si="100"/>
        <v>83.325217391304349</v>
      </c>
      <c r="AN15" s="26">
        <v>6.14</v>
      </c>
      <c r="AO15" s="26">
        <v>6.14</v>
      </c>
      <c r="AP15" s="26">
        <v>511.38</v>
      </c>
      <c r="AQ15" s="26"/>
      <c r="AR15" s="26"/>
      <c r="AS15" s="26"/>
      <c r="AT15" s="26"/>
      <c r="AU15" s="26"/>
      <c r="AV15" s="4"/>
      <c r="AW15" s="37"/>
      <c r="AX15" s="39">
        <f>AW15/O15</f>
        <v>0</v>
      </c>
      <c r="AY15" s="26">
        <v>2.5</v>
      </c>
      <c r="AZ15" s="25" t="s">
        <v>386</v>
      </c>
      <c r="BA15" s="468" t="s">
        <v>95</v>
      </c>
      <c r="BB15" s="437">
        <v>3772000</v>
      </c>
      <c r="BC15" s="437">
        <f>BB15/AJ15</f>
        <v>1968.1916847553848</v>
      </c>
      <c r="BD15" s="334">
        <f>BB15/AK15</f>
        <v>1968.1916847553848</v>
      </c>
      <c r="BE15" s="334">
        <f>BB15/AD15</f>
        <v>164000</v>
      </c>
      <c r="BF15" s="22"/>
      <c r="BG15" s="22"/>
      <c r="BH15" s="89">
        <v>40816</v>
      </c>
      <c r="BI15" s="89"/>
      <c r="BJ15" s="548">
        <v>40632</v>
      </c>
      <c r="BK15" s="548">
        <v>40730</v>
      </c>
      <c r="BL15" s="549"/>
      <c r="BM15" s="547">
        <f t="shared" si="101"/>
        <v>3.2666666666666666</v>
      </c>
      <c r="BN15" s="490"/>
      <c r="BO15" s="469"/>
      <c r="BP15" s="470"/>
      <c r="BQ15" s="481"/>
      <c r="BR15" s="481"/>
      <c r="BS15" s="55"/>
      <c r="BT15" s="55"/>
      <c r="BU15" s="150">
        <v>41309</v>
      </c>
      <c r="BV15" s="150">
        <f t="shared" si="102"/>
        <v>42404</v>
      </c>
      <c r="BW15" s="150"/>
      <c r="BX15" s="150" t="str">
        <f>IF(Tableau6[[#This Row],[Montant des loyers perçus avant 1e échéance]]&lt;BW15,"oui","non")</f>
        <v>non</v>
      </c>
      <c r="BY15" s="373">
        <f>DATEDIF(EL15,BV15,"M")</f>
        <v>30</v>
      </c>
      <c r="BZ15" s="373">
        <f>IF((BY15*EO15)&lt;0,"0",BY15*EO15)</f>
        <v>363480</v>
      </c>
      <c r="CA15" s="373">
        <f>IF(BW15-BZ15&lt;0,0,Tableau6[[#This Row],[Montant échéance annuelle]]-Tableau6[[#This Row],[Montant des loyers perçus avant 1e échéance]])</f>
        <v>0</v>
      </c>
      <c r="CB15" s="64"/>
      <c r="CC15" s="64"/>
      <c r="CD15" s="64"/>
      <c r="CE15" s="273" t="str">
        <f t="shared" si="103"/>
        <v>0</v>
      </c>
      <c r="CF15" s="64"/>
      <c r="CG15" s="64"/>
      <c r="CH15" s="273" t="str">
        <f t="shared" si="104"/>
        <v>0</v>
      </c>
      <c r="CI15" s="64"/>
      <c r="CJ15" s="64"/>
      <c r="CK15" s="273" t="str">
        <f t="shared" si="105"/>
        <v>0</v>
      </c>
      <c r="CL15" s="64"/>
      <c r="CM15" s="64"/>
      <c r="CN15" s="273" t="str">
        <f t="shared" si="106"/>
        <v>0</v>
      </c>
      <c r="CO15" s="66"/>
      <c r="CP15" s="311"/>
      <c r="CQ15" s="273" t="str">
        <f t="shared" si="107"/>
        <v>0</v>
      </c>
      <c r="CR15" s="239"/>
      <c r="CS15" s="117"/>
      <c r="CT15" s="64"/>
      <c r="CU15" s="117"/>
      <c r="CV15" s="273" t="str">
        <f t="shared" si="108"/>
        <v>0</v>
      </c>
      <c r="CW15" s="64"/>
      <c r="CX15" s="182">
        <v>40898</v>
      </c>
      <c r="CY15" s="175">
        <v>2011</v>
      </c>
      <c r="CZ15" s="232">
        <f t="shared" si="109"/>
        <v>5.6</v>
      </c>
      <c r="DA15" s="273" t="str">
        <f t="shared" si="110"/>
        <v>0</v>
      </c>
      <c r="DB15" s="66">
        <v>16</v>
      </c>
      <c r="DC15" s="66">
        <f t="shared" si="111"/>
        <v>18</v>
      </c>
      <c r="DD15" s="159"/>
      <c r="DE15" s="158"/>
      <c r="DF15" s="381" t="str">
        <f t="shared" si="112"/>
        <v>0</v>
      </c>
      <c r="DG15" s="392"/>
      <c r="DH15" s="336"/>
      <c r="DI15" s="337" t="str">
        <f t="shared" si="113"/>
        <v>0</v>
      </c>
      <c r="DJ15" s="133"/>
      <c r="DK15" s="159"/>
      <c r="DL15" s="381" t="str">
        <f t="shared" si="114"/>
        <v>0</v>
      </c>
      <c r="DM15" s="159"/>
      <c r="DN15" s="159"/>
      <c r="DO15" s="381" t="str">
        <f t="shared" si="115"/>
        <v>0</v>
      </c>
      <c r="DP15" s="159"/>
      <c r="DQ15" s="159"/>
      <c r="DR15" s="381" t="str">
        <f t="shared" si="116"/>
        <v>0</v>
      </c>
      <c r="DS15" s="159"/>
      <c r="DT15" s="159"/>
      <c r="DU15" s="381" t="str">
        <f t="shared" si="117"/>
        <v>0</v>
      </c>
      <c r="DV15" s="159"/>
      <c r="DW15" s="159"/>
      <c r="DX15" s="381" t="str">
        <f t="shared" si="118"/>
        <v>0</v>
      </c>
      <c r="DY15" s="159"/>
      <c r="DZ15" s="159"/>
      <c r="EA15" s="159"/>
      <c r="EB15" s="327">
        <f t="shared" si="119"/>
        <v>41385</v>
      </c>
      <c r="EC15" s="185">
        <v>41473</v>
      </c>
      <c r="ED15" s="402">
        <f t="shared" si="120"/>
        <v>2.9333333333333331</v>
      </c>
      <c r="EE15" s="510"/>
      <c r="EF15" s="326"/>
      <c r="EG15" s="56">
        <v>41470</v>
      </c>
      <c r="EH15" s="64" t="s">
        <v>101</v>
      </c>
      <c r="EI15" s="67">
        <v>41486</v>
      </c>
      <c r="EJ15" s="326"/>
      <c r="EK15" s="455">
        <f t="shared" si="138"/>
        <v>41415</v>
      </c>
      <c r="EL15" s="185">
        <v>41486</v>
      </c>
      <c r="EM15" s="241">
        <v>2013</v>
      </c>
      <c r="EN15" s="396">
        <f>(DATEDIF(EK15,EL15,"d"))/30</f>
        <v>2.3666666666666667</v>
      </c>
      <c r="EO15" s="391">
        <v>12116</v>
      </c>
      <c r="EP15" s="117">
        <f t="shared" si="121"/>
        <v>28674.533333333333</v>
      </c>
      <c r="EQ15" s="67"/>
      <c r="ER15" s="67">
        <v>41364</v>
      </c>
      <c r="ES15" s="737">
        <f>(Tableau6[[#This Row],[Date inauguration recalée]]-ER15)/30</f>
        <v>4.0666666666666664</v>
      </c>
      <c r="ET15" s="296"/>
      <c r="EU15" s="387">
        <f>HF15</f>
        <v>0</v>
      </c>
      <c r="EV15" s="300"/>
      <c r="EW15" s="300"/>
      <c r="EX15" s="300"/>
      <c r="EY15" s="416">
        <f t="shared" si="122"/>
        <v>0</v>
      </c>
      <c r="EZ15" s="297"/>
      <c r="FA15" s="308"/>
      <c r="FB15" s="297"/>
      <c r="FC15" s="297"/>
      <c r="FD15" s="89">
        <f t="shared" si="123"/>
        <v>731</v>
      </c>
      <c r="FE15" s="64"/>
      <c r="FF15" s="64"/>
      <c r="FG15" s="64"/>
      <c r="FH15" s="64"/>
      <c r="FI15" s="64"/>
      <c r="FJ15" s="57" t="s">
        <v>101</v>
      </c>
      <c r="FK15" s="64">
        <f t="shared" si="124"/>
        <v>41838</v>
      </c>
      <c r="FL15" s="64"/>
      <c r="FM15" s="375">
        <v>0</v>
      </c>
      <c r="FN15" s="64" t="s">
        <v>101</v>
      </c>
      <c r="FO15" s="64"/>
      <c r="FP15" s="64"/>
      <c r="FQ15" s="64"/>
      <c r="FR15" s="86" t="s">
        <v>210</v>
      </c>
      <c r="FS15" s="86"/>
      <c r="FT15" s="86" t="s">
        <v>101</v>
      </c>
      <c r="FU15" s="56">
        <v>42664</v>
      </c>
      <c r="FV15" s="56"/>
      <c r="FW15" s="95"/>
      <c r="FX15" s="95"/>
      <c r="FY15" s="95" t="s">
        <v>101</v>
      </c>
      <c r="FZ15" s="95" t="s">
        <v>101</v>
      </c>
      <c r="GA15" s="450"/>
      <c r="GB15" s="471">
        <f>GD15+GG15+GJ15+HF15+Tableau6[[#This Row],[PRÊT CREDIT D''IMPOT (PM)]]</f>
        <v>4024614</v>
      </c>
      <c r="GC15" s="644">
        <f>GB15</f>
        <v>4024614</v>
      </c>
      <c r="GD15" s="507">
        <f t="shared" si="137"/>
        <v>239587</v>
      </c>
      <c r="GE15" s="20">
        <f t="shared" si="125"/>
        <v>2100.0031307396894</v>
      </c>
      <c r="GF15" s="20">
        <f t="shared" si="126"/>
        <v>174983.21739130435</v>
      </c>
      <c r="GG15" s="507">
        <v>1191366</v>
      </c>
      <c r="GH15" s="351"/>
      <c r="GI15" s="11">
        <f>GG15/AD15</f>
        <v>51798.521739130432</v>
      </c>
      <c r="GJ15" s="507">
        <f t="shared" si="127"/>
        <v>2593661</v>
      </c>
      <c r="GK15" s="5">
        <f>+GL15+GM15</f>
        <v>2593661</v>
      </c>
      <c r="GL15" s="6">
        <v>592565</v>
      </c>
      <c r="GM15" s="6">
        <v>2001096</v>
      </c>
      <c r="GN15" s="345">
        <f t="shared" si="128"/>
        <v>112767.86956521739</v>
      </c>
      <c r="GO15" s="5">
        <v>0</v>
      </c>
      <c r="GP15" s="8">
        <v>239587</v>
      </c>
      <c r="GQ15" s="34"/>
      <c r="GR15" s="18">
        <f t="shared" si="129"/>
        <v>5.9530429502059078E-2</v>
      </c>
      <c r="GS15" s="45"/>
      <c r="GT15" s="45"/>
      <c r="GU15" s="8">
        <v>0</v>
      </c>
      <c r="GV15" s="20">
        <f t="shared" si="130"/>
        <v>10416.826086956522</v>
      </c>
      <c r="GW15" s="20">
        <f t="shared" si="131"/>
        <v>62215.34782608696</v>
      </c>
      <c r="GX15" s="567">
        <v>0</v>
      </c>
      <c r="GY15" s="567">
        <v>0</v>
      </c>
      <c r="GZ15" s="567" t="e">
        <f>(#REF!+#REF!+GY15)/AD15</f>
        <v>#REF!</v>
      </c>
      <c r="HA15" s="567">
        <v>0</v>
      </c>
      <c r="HB15" s="567">
        <f t="shared" si="132"/>
        <v>62215.34782608696</v>
      </c>
      <c r="HC15" s="568">
        <f>(GG15+GP15+GY15+HA15)/(GX15+GB15-HD15)</f>
        <v>0.3555503707933233</v>
      </c>
      <c r="HD15" s="567"/>
      <c r="HE15" s="567"/>
      <c r="HF15" s="507">
        <v>0</v>
      </c>
      <c r="HG15" s="633"/>
      <c r="HH15" s="634">
        <f t="shared" si="133"/>
        <v>0</v>
      </c>
      <c r="HI15" s="635">
        <f t="shared" si="134"/>
        <v>4024614</v>
      </c>
      <c r="HJ15" s="633" t="e">
        <f ca="1">IF(EE15&lt;DATEDIF(TODAY(),$HJ$1,"M"),HI15,(HI15/EE15*DATEDIF(TODAY(),$HJ$1,"M")))</f>
        <v>#VALUE!</v>
      </c>
      <c r="HK15" s="633"/>
      <c r="HL15" s="633"/>
      <c r="HM15" s="633">
        <f t="shared" si="135"/>
        <v>239587</v>
      </c>
      <c r="HN15" s="636">
        <f t="shared" si="136"/>
        <v>0</v>
      </c>
      <c r="HO15" s="636"/>
      <c r="HP15" s="563">
        <v>891462.21</v>
      </c>
      <c r="HQ15" s="47">
        <v>867000</v>
      </c>
      <c r="HR15" s="563">
        <f>349189.03+13127.6</f>
        <v>362316.63</v>
      </c>
      <c r="HS15" s="563">
        <f>SUM(Tableau6[[#This Row],[GO]:[CARRELAGE]])</f>
        <v>1719289.49</v>
      </c>
      <c r="HT15" s="461">
        <f>553988.42+57000</f>
        <v>610988.42000000004</v>
      </c>
      <c r="HU15" s="461">
        <v>215846.06999999998</v>
      </c>
      <c r="HV15" s="461"/>
      <c r="HW15" s="461">
        <v>483870</v>
      </c>
      <c r="HX15" s="461"/>
      <c r="HY15" s="461"/>
      <c r="HZ15" s="461"/>
      <c r="IA15" s="461"/>
      <c r="IB15" s="461"/>
      <c r="IC15" s="461"/>
      <c r="ID15" s="461"/>
      <c r="IE15" s="461"/>
      <c r="IF15" s="461">
        <v>408585</v>
      </c>
      <c r="IG15" s="563"/>
      <c r="IH15" s="563"/>
      <c r="II15" s="563">
        <f>HP15+HR15+Tableau6[[#This Row],[TRAVAUX BATIS]]+Tableau6[[#This Row],[HONORAIRES]]+IH15</f>
        <v>2973068.33</v>
      </c>
      <c r="IJ15" s="654">
        <f>Tableau6[[#This Row],[TOTAL PRP HT]]-Tableau6[[#This Row],[PRP TTC HORS FRAFU]]/1.021</f>
        <v>-968767.12543584732</v>
      </c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</row>
    <row r="16" spans="1:256" ht="20.149999999999999" customHeight="1">
      <c r="A16" s="602" t="s">
        <v>650</v>
      </c>
      <c r="B16" s="2" t="s">
        <v>14</v>
      </c>
      <c r="C16" s="2" t="s">
        <v>86</v>
      </c>
      <c r="D16" s="2">
        <v>2015</v>
      </c>
      <c r="E16" s="2" t="s">
        <v>366</v>
      </c>
      <c r="F16" s="2" t="s">
        <v>16</v>
      </c>
      <c r="G16" s="2" t="s">
        <v>329</v>
      </c>
      <c r="H16" s="2" t="s">
        <v>133</v>
      </c>
      <c r="I16" s="22"/>
      <c r="J16" s="22"/>
      <c r="K16" s="134"/>
      <c r="L16" s="78"/>
      <c r="M16" s="51" t="s">
        <v>112</v>
      </c>
      <c r="N16" s="52"/>
      <c r="O16" s="109">
        <v>3038</v>
      </c>
      <c r="P16" s="109">
        <f>Q16</f>
        <v>690000</v>
      </c>
      <c r="Q16" s="109">
        <v>690000</v>
      </c>
      <c r="R16" s="103">
        <f>P16/AD16</f>
        <v>12545.454545454546</v>
      </c>
      <c r="S16" s="109">
        <f>P16/O16</f>
        <v>227.12310730743911</v>
      </c>
      <c r="T16" s="109">
        <f>Q16/O16</f>
        <v>227.12310730743911</v>
      </c>
      <c r="U16" s="109">
        <f>Q16/AK16</f>
        <v>213.33828030794919</v>
      </c>
      <c r="V16" s="109">
        <f>Q16/AD16</f>
        <v>12545.454545454546</v>
      </c>
      <c r="W16" s="103">
        <f>O16/AD16</f>
        <v>55.236363636363635</v>
      </c>
      <c r="X16" s="112"/>
      <c r="Y16" s="445">
        <f t="shared" si="96"/>
        <v>181.04015799868336</v>
      </c>
      <c r="Z16" s="112" t="s">
        <v>142</v>
      </c>
      <c r="AA16" s="106"/>
      <c r="AB16" s="107"/>
      <c r="AC16" s="10" t="s">
        <v>10</v>
      </c>
      <c r="AD16" s="426">
        <f t="shared" si="97"/>
        <v>55</v>
      </c>
      <c r="AE16" s="426">
        <f t="shared" si="98"/>
        <v>55</v>
      </c>
      <c r="AF16" s="3"/>
      <c r="AG16" s="2">
        <f>55*1</f>
        <v>55</v>
      </c>
      <c r="AH16" s="32"/>
      <c r="AI16" s="32"/>
      <c r="AJ16" s="614">
        <v>3155.3</v>
      </c>
      <c r="AK16" s="225">
        <v>3234.2999999999997</v>
      </c>
      <c r="AL16" s="492">
        <f t="shared" si="99"/>
        <v>57.369090909090914</v>
      </c>
      <c r="AM16" s="4">
        <f t="shared" si="100"/>
        <v>58.805454545454538</v>
      </c>
      <c r="AN16" s="26">
        <v>5.93</v>
      </c>
      <c r="AO16" s="26">
        <v>5.78</v>
      </c>
      <c r="AP16" s="26">
        <v>340.06</v>
      </c>
      <c r="AQ16" s="28"/>
      <c r="AR16" s="39">
        <v>1</v>
      </c>
      <c r="AS16" s="28"/>
      <c r="AT16" s="28"/>
      <c r="AU16" s="28"/>
      <c r="AV16" s="4"/>
      <c r="AW16" s="37">
        <v>0</v>
      </c>
      <c r="AX16" s="39">
        <f>AW16/O16</f>
        <v>0</v>
      </c>
      <c r="AY16" s="26">
        <v>3</v>
      </c>
      <c r="AZ16" s="25" t="s">
        <v>386</v>
      </c>
      <c r="BA16" s="2" t="s">
        <v>95</v>
      </c>
      <c r="BB16" s="28">
        <v>6373285</v>
      </c>
      <c r="BC16" s="437">
        <f>BB16/AJ16</f>
        <v>2019.8665737013912</v>
      </c>
      <c r="BD16" s="438">
        <f>BB16/AK16</f>
        <v>1970.5299446557217</v>
      </c>
      <c r="BE16" s="334">
        <f>BB16/AD16</f>
        <v>115877.90909090909</v>
      </c>
      <c r="BF16" s="220" t="s">
        <v>222</v>
      </c>
      <c r="BG16" s="220"/>
      <c r="BH16" s="22"/>
      <c r="BI16" s="22"/>
      <c r="BJ16" s="548">
        <v>42093</v>
      </c>
      <c r="BK16" s="548">
        <v>42320</v>
      </c>
      <c r="BL16" s="549"/>
      <c r="BM16" s="547">
        <f t="shared" si="101"/>
        <v>7.5666666666666664</v>
      </c>
      <c r="BN16" s="490"/>
      <c r="BO16" s="76">
        <v>42697</v>
      </c>
      <c r="BP16" s="99">
        <v>42719</v>
      </c>
      <c r="BQ16" s="536">
        <f t="shared" ref="BQ16:BQ26" si="139">(DATEDIF(BO16,BP16,"d"))/30</f>
        <v>0.73333333333333328</v>
      </c>
      <c r="BR16" s="529">
        <v>58354</v>
      </c>
      <c r="BS16" s="77">
        <v>42805</v>
      </c>
      <c r="BT16" s="77">
        <v>42727</v>
      </c>
      <c r="BU16" s="151">
        <v>42826</v>
      </c>
      <c r="BV16" s="150">
        <f t="shared" si="102"/>
        <v>43922</v>
      </c>
      <c r="BW16" s="373">
        <f>88358+17044</f>
        <v>105402</v>
      </c>
      <c r="BX16" s="150" t="str">
        <f>IF(Tableau6[[#This Row],[Montant des loyers perçus avant 1e échéance]]&lt;BW16,"oui","non")</f>
        <v>non</v>
      </c>
      <c r="BY16" s="475">
        <f>(BV16-EL16)/30</f>
        <v>9.4666666666666668</v>
      </c>
      <c r="BZ16" s="373">
        <f>IF((BY16*EO16)&lt;0,"0",BY16*EO16)</f>
        <v>183855.28888888887</v>
      </c>
      <c r="CA16" s="373">
        <f>IF(BW16-BZ16&lt;0,0,Tableau6[[#This Row],[Montant échéance annuelle]]-Tableau6[[#This Row],[Montant des loyers perçus avant 1e échéance]])</f>
        <v>0</v>
      </c>
      <c r="CB16" s="64"/>
      <c r="CC16" s="64"/>
      <c r="CD16" s="64"/>
      <c r="CE16" s="273" t="str">
        <f t="shared" si="103"/>
        <v>0</v>
      </c>
      <c r="CF16" s="64">
        <v>42041</v>
      </c>
      <c r="CG16" s="64">
        <v>41982</v>
      </c>
      <c r="CH16" s="273">
        <f t="shared" si="104"/>
        <v>-59</v>
      </c>
      <c r="CI16" s="64"/>
      <c r="CJ16" s="64"/>
      <c r="CK16" s="273" t="str">
        <f t="shared" si="105"/>
        <v>0</v>
      </c>
      <c r="CL16" s="64"/>
      <c r="CM16" s="64"/>
      <c r="CN16" s="273" t="str">
        <f t="shared" si="106"/>
        <v>0</v>
      </c>
      <c r="CO16" s="64"/>
      <c r="CP16" s="64"/>
      <c r="CQ16" s="273" t="str">
        <f t="shared" si="107"/>
        <v>0</v>
      </c>
      <c r="CR16" s="237"/>
      <c r="CS16" s="64"/>
      <c r="CT16" s="64"/>
      <c r="CU16" s="64"/>
      <c r="CV16" s="273" t="str">
        <f t="shared" si="108"/>
        <v>0</v>
      </c>
      <c r="CW16" s="64">
        <v>42741</v>
      </c>
      <c r="CX16" s="229">
        <v>42767</v>
      </c>
      <c r="CY16" s="177">
        <v>2017</v>
      </c>
      <c r="CZ16" s="233">
        <f t="shared" si="109"/>
        <v>14.9</v>
      </c>
      <c r="DA16" s="273">
        <f t="shared" si="110"/>
        <v>26</v>
      </c>
      <c r="DB16" s="133">
        <v>22</v>
      </c>
      <c r="DC16" s="59">
        <f t="shared" si="111"/>
        <v>24</v>
      </c>
      <c r="DD16" s="64">
        <v>42824</v>
      </c>
      <c r="DE16" s="64">
        <v>42807</v>
      </c>
      <c r="DF16" s="273">
        <f t="shared" si="112"/>
        <v>-17</v>
      </c>
      <c r="DG16" s="595">
        <v>42946</v>
      </c>
      <c r="DH16" s="309">
        <v>42895</v>
      </c>
      <c r="DI16" s="276">
        <f t="shared" si="113"/>
        <v>-51</v>
      </c>
      <c r="DJ16" s="64"/>
      <c r="DK16" s="64">
        <v>42996</v>
      </c>
      <c r="DL16" s="273" t="str">
        <f t="shared" si="114"/>
        <v>0</v>
      </c>
      <c r="DM16" s="64">
        <v>43038</v>
      </c>
      <c r="DN16" s="64">
        <v>43340</v>
      </c>
      <c r="DO16" s="273">
        <f t="shared" si="115"/>
        <v>302</v>
      </c>
      <c r="DP16" s="64">
        <v>43038</v>
      </c>
      <c r="DQ16" s="64">
        <v>43327</v>
      </c>
      <c r="DR16" s="273">
        <f t="shared" si="116"/>
        <v>289</v>
      </c>
      <c r="DS16" s="64">
        <v>43159</v>
      </c>
      <c r="DT16" s="64">
        <v>43350</v>
      </c>
      <c r="DU16" s="273">
        <f t="shared" si="117"/>
        <v>191</v>
      </c>
      <c r="DV16" s="95">
        <v>43465</v>
      </c>
      <c r="DW16" s="95">
        <v>43621</v>
      </c>
      <c r="DX16" s="499">
        <f t="shared" si="118"/>
        <v>156</v>
      </c>
      <c r="DY16" s="95"/>
      <c r="DZ16" s="95"/>
      <c r="EA16" s="95"/>
      <c r="EB16" s="327">
        <f t="shared" si="119"/>
        <v>43435</v>
      </c>
      <c r="EC16" s="183">
        <v>43524</v>
      </c>
      <c r="ED16" s="435">
        <f t="shared" si="120"/>
        <v>2.9666666666666668</v>
      </c>
      <c r="EE16" s="512">
        <f ca="1">IF(((EC16-TODAY())/30)&lt;0,0,(EC16-TODAY())/30)</f>
        <v>0</v>
      </c>
      <c r="EF16" s="240">
        <f>DATE(YEAR(DH16)+2,MONTH(DH16),DAY(DH16))</f>
        <v>43625</v>
      </c>
      <c r="EG16" s="125">
        <v>43578</v>
      </c>
      <c r="EH16" s="160">
        <v>43392</v>
      </c>
      <c r="EI16" s="800">
        <v>43621</v>
      </c>
      <c r="EJ16" s="769">
        <v>43626</v>
      </c>
      <c r="EK16" s="517">
        <f t="shared" si="138"/>
        <v>43466</v>
      </c>
      <c r="EL16" s="518">
        <v>43638</v>
      </c>
      <c r="EM16" s="582">
        <v>2019</v>
      </c>
      <c r="EN16" s="520">
        <f>(DATEDIF(EK16,EL16,"d"))/30</f>
        <v>5.7333333333333334</v>
      </c>
      <c r="EO16" s="521">
        <f>233056/12</f>
        <v>19421.333333333332</v>
      </c>
      <c r="EP16" s="524">
        <f t="shared" si="121"/>
        <v>111348.97777777778</v>
      </c>
      <c r="EQ16" s="523"/>
      <c r="ER16" s="523">
        <v>43457</v>
      </c>
      <c r="ES16" s="741">
        <f>(Tableau6[[#This Row],[Date inauguration recalée]]-ER16)/30</f>
        <v>6.0333333333333332</v>
      </c>
      <c r="ET16" s="300">
        <v>0</v>
      </c>
      <c r="EU16" s="300">
        <v>0</v>
      </c>
      <c r="EV16" s="300">
        <v>0</v>
      </c>
      <c r="EW16" s="300"/>
      <c r="EX16" s="300">
        <v>0</v>
      </c>
      <c r="EY16" s="416">
        <f t="shared" si="122"/>
        <v>0</v>
      </c>
      <c r="EZ16" s="297" t="s">
        <v>16</v>
      </c>
      <c r="FA16" s="308"/>
      <c r="FB16" s="652" t="s">
        <v>681</v>
      </c>
      <c r="FC16" s="356"/>
      <c r="FD16" s="89">
        <f t="shared" si="123"/>
        <v>43625</v>
      </c>
      <c r="FE16" s="64" t="s">
        <v>101</v>
      </c>
      <c r="FF16" s="63"/>
      <c r="FG16" s="63"/>
      <c r="FH16" s="63"/>
      <c r="FI16" s="64">
        <v>43663</v>
      </c>
      <c r="FJ16" s="22" t="s">
        <v>857</v>
      </c>
      <c r="FK16" s="159">
        <f t="shared" si="124"/>
        <v>43889</v>
      </c>
      <c r="FL16" s="159"/>
      <c r="FM16" s="146"/>
      <c r="FN16" s="57"/>
      <c r="FO16" s="57"/>
      <c r="FP16" s="57"/>
      <c r="FQ16" s="57"/>
      <c r="FR16" s="22"/>
      <c r="FS16" s="22"/>
      <c r="FT16" s="22"/>
      <c r="FU16" s="22"/>
      <c r="FV16" s="89"/>
      <c r="FW16" s="160">
        <v>43773</v>
      </c>
      <c r="FX16" s="22"/>
      <c r="FY16" s="22"/>
      <c r="FZ16" s="22"/>
      <c r="GA16" s="451"/>
      <c r="GB16" s="471">
        <f>GD16+GG16+GJ16+HF16+Tableau6[[#This Row],[PRÊT CREDIT D''IMPOT (PM)]]</f>
        <v>6893824</v>
      </c>
      <c r="GC16" s="644">
        <f>GB16</f>
        <v>6893824</v>
      </c>
      <c r="GD16" s="507">
        <f t="shared" si="137"/>
        <v>1100000</v>
      </c>
      <c r="GE16" s="20">
        <f t="shared" si="125"/>
        <v>2131.4732708777792</v>
      </c>
      <c r="GF16" s="20">
        <f t="shared" si="126"/>
        <v>125342.25454545455</v>
      </c>
      <c r="GG16" s="507">
        <v>1928374</v>
      </c>
      <c r="GH16" s="351"/>
      <c r="GI16" s="11">
        <f>GG16/AD16</f>
        <v>35061.345454545452</v>
      </c>
      <c r="GJ16" s="507">
        <f t="shared" si="127"/>
        <v>3865450</v>
      </c>
      <c r="GK16" s="5">
        <f>GM16+GL16</f>
        <v>3865450</v>
      </c>
      <c r="GL16" s="6">
        <v>735184</v>
      </c>
      <c r="GM16" s="6">
        <v>3130266</v>
      </c>
      <c r="GN16" s="345">
        <f t="shared" si="128"/>
        <v>70280.909090909088</v>
      </c>
      <c r="GO16" s="5"/>
      <c r="GP16" s="5">
        <v>1100000</v>
      </c>
      <c r="GQ16" s="35">
        <v>0</v>
      </c>
      <c r="GR16" s="18">
        <f t="shared" si="129"/>
        <v>0.15956311040142598</v>
      </c>
      <c r="GS16" s="45"/>
      <c r="GT16" s="45"/>
      <c r="GU16" s="5">
        <v>0</v>
      </c>
      <c r="GV16" s="20">
        <f t="shared" si="130"/>
        <v>20000</v>
      </c>
      <c r="GW16" s="41">
        <f t="shared" si="131"/>
        <v>55061.345454545452</v>
      </c>
      <c r="GX16" s="567">
        <v>0</v>
      </c>
      <c r="GY16" s="567">
        <v>0</v>
      </c>
      <c r="GZ16" s="567">
        <f>(GG16+GP16+GY16)/AD16</f>
        <v>55061.345454545452</v>
      </c>
      <c r="HA16" s="567">
        <v>0</v>
      </c>
      <c r="HB16" s="567">
        <f t="shared" si="132"/>
        <v>55061.345454545452</v>
      </c>
      <c r="HC16" s="568">
        <f>(GG16+GP16+GY16+HA16)/(GX16+GB16-HD16)</f>
        <v>0.43928797718073453</v>
      </c>
      <c r="HD16" s="567">
        <v>0</v>
      </c>
      <c r="HE16" s="567"/>
      <c r="HF16" s="507">
        <f>EU16</f>
        <v>0</v>
      </c>
      <c r="HG16" s="637">
        <v>5868941.3073500004</v>
      </c>
      <c r="HH16" s="634">
        <f t="shared" si="133"/>
        <v>0.85133320887652486</v>
      </c>
      <c r="HI16" s="635">
        <f t="shared" si="134"/>
        <v>1024882.6926499996</v>
      </c>
      <c r="HJ16" s="633" t="e">
        <f ca="1">IF(EE16&lt;DATEDIF(TODAY(),$HJ$1,"M"),HI16,(HI16/EE16*DATEDIF(TODAY(),$HJ$1,"M")))-100824</f>
        <v>#VALUE!</v>
      </c>
      <c r="HK16" s="634" t="e">
        <f ca="1">(HJ16+HG16)/GB16</f>
        <v>#VALUE!</v>
      </c>
      <c r="HL16" s="633">
        <f>'[1]GLOBAL OPERATION'!$AG$77</f>
        <v>451296.94000000006</v>
      </c>
      <c r="HM16" s="633">
        <f t="shared" si="135"/>
        <v>648703.05999999994</v>
      </c>
      <c r="HN16" s="634">
        <f t="shared" si="136"/>
        <v>0.41026994545454554</v>
      </c>
      <c r="HO16" s="642" t="s">
        <v>750</v>
      </c>
      <c r="HP16" s="563"/>
      <c r="HQ16" s="47"/>
      <c r="HR16" s="563"/>
      <c r="HS16" s="563">
        <f>SUM(Tableau6[[#This Row],[GO]:[CARRELAGE]])</f>
        <v>0</v>
      </c>
      <c r="HT16" s="461"/>
      <c r="HU16" s="461"/>
      <c r="HV16" s="461"/>
      <c r="HW16" s="461"/>
      <c r="HX16" s="461"/>
      <c r="HY16" s="461"/>
      <c r="HZ16" s="461"/>
      <c r="IA16" s="461"/>
      <c r="IB16" s="461"/>
      <c r="IC16" s="461"/>
      <c r="ID16" s="461"/>
      <c r="IE16" s="461"/>
      <c r="IF16" s="461"/>
      <c r="IG16" s="563"/>
      <c r="IH16" s="563"/>
      <c r="II16" s="563">
        <f>HP16+HR16+Tableau6[[#This Row],[TRAVAUX BATIS]]+Tableau6[[#This Row],[HONORAIRES]]+IH16</f>
        <v>0</v>
      </c>
      <c r="IJ16" s="654">
        <f>Tableau6[[#This Row],[TOTAL PRP HT]]-Tableau6[[#This Row],[PRP TTC HORS FRAFU]]/1.021</f>
        <v>-6752031.3418217441</v>
      </c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</row>
    <row r="17" spans="1:256" ht="20.149999999999999" customHeight="1">
      <c r="A17" s="594" t="s">
        <v>443</v>
      </c>
      <c r="B17" s="2" t="s">
        <v>125</v>
      </c>
      <c r="C17" s="2" t="s">
        <v>88</v>
      </c>
      <c r="D17" s="2">
        <v>2018</v>
      </c>
      <c r="E17" s="2" t="s">
        <v>405</v>
      </c>
      <c r="F17" s="2" t="s">
        <v>40</v>
      </c>
      <c r="G17" s="2" t="s">
        <v>450</v>
      </c>
      <c r="H17" s="778" t="s">
        <v>136</v>
      </c>
      <c r="I17" s="22"/>
      <c r="J17" s="22" t="s">
        <v>427</v>
      </c>
      <c r="K17" s="134" t="s">
        <v>540</v>
      </c>
      <c r="L17" s="78" t="s">
        <v>402</v>
      </c>
      <c r="M17" s="51"/>
      <c r="N17" s="52"/>
      <c r="O17" s="103">
        <v>7382</v>
      </c>
      <c r="P17" s="103">
        <v>1016540</v>
      </c>
      <c r="Q17" s="103"/>
      <c r="R17" s="103">
        <f>P17/AD17</f>
        <v>26065.128205128207</v>
      </c>
      <c r="S17" s="103">
        <f>P17/O17</f>
        <v>137.7052289352479</v>
      </c>
      <c r="T17" s="109">
        <f>Q17/O17</f>
        <v>0</v>
      </c>
      <c r="U17" s="109">
        <f>Q17/AK17</f>
        <v>0</v>
      </c>
      <c r="V17" s="109">
        <f>Q17/AD17</f>
        <v>0</v>
      </c>
      <c r="W17" s="103">
        <f>O17/AD17</f>
        <v>189.28205128205127</v>
      </c>
      <c r="X17" s="104"/>
      <c r="Y17" s="444">
        <f t="shared" si="96"/>
        <v>52.831211053914927</v>
      </c>
      <c r="Z17" s="104"/>
      <c r="AA17" s="106"/>
      <c r="AB17" s="107"/>
      <c r="AC17" s="2" t="s">
        <v>9</v>
      </c>
      <c r="AD17" s="426">
        <f t="shared" si="97"/>
        <v>39</v>
      </c>
      <c r="AE17" s="426">
        <f t="shared" si="98"/>
        <v>39</v>
      </c>
      <c r="AF17" s="2">
        <v>39</v>
      </c>
      <c r="AG17" s="3"/>
      <c r="AH17" s="32"/>
      <c r="AI17" s="32"/>
      <c r="AJ17" s="614">
        <v>2854.5000000000005</v>
      </c>
      <c r="AK17" s="225">
        <v>2854.5000000000005</v>
      </c>
      <c r="AL17" s="492">
        <f t="shared" si="99"/>
        <v>73.192307692307708</v>
      </c>
      <c r="AM17" s="4">
        <f t="shared" si="100"/>
        <v>73.192307692307708</v>
      </c>
      <c r="AN17" s="26">
        <v>6.8</v>
      </c>
      <c r="AO17" s="26">
        <v>6.8</v>
      </c>
      <c r="AP17" s="26">
        <v>497.46</v>
      </c>
      <c r="AQ17" s="39">
        <v>0</v>
      </c>
      <c r="AR17" s="39">
        <f>8/AD17</f>
        <v>0.20512820512820512</v>
      </c>
      <c r="AS17" s="39">
        <f>18/AD17</f>
        <v>0.46153846153846156</v>
      </c>
      <c r="AT17" s="39">
        <f>12/AD17</f>
        <v>0.30769230769230771</v>
      </c>
      <c r="AU17" s="39">
        <f>1/AD17</f>
        <v>2.564102564102564E-2</v>
      </c>
      <c r="AV17" s="4"/>
      <c r="AW17" s="37"/>
      <c r="AX17" s="39"/>
      <c r="AY17" s="26"/>
      <c r="AZ17" s="22" t="s">
        <v>386</v>
      </c>
      <c r="BA17" s="2" t="s">
        <v>95</v>
      </c>
      <c r="BB17" s="22"/>
      <c r="BC17" s="22"/>
      <c r="BD17" s="22"/>
      <c r="BE17" s="22"/>
      <c r="BF17" s="123"/>
      <c r="BG17" s="123"/>
      <c r="BH17" s="56">
        <v>43308</v>
      </c>
      <c r="BI17" s="325">
        <v>43713</v>
      </c>
      <c r="BJ17" s="548">
        <v>43189</v>
      </c>
      <c r="BK17" s="548">
        <v>43371</v>
      </c>
      <c r="BL17" s="549"/>
      <c r="BM17" s="547">
        <f t="shared" si="101"/>
        <v>6.0666666666666664</v>
      </c>
      <c r="BN17" s="490" t="s">
        <v>229</v>
      </c>
      <c r="BO17" s="786"/>
      <c r="BP17" s="761"/>
      <c r="BQ17" s="536">
        <f t="shared" si="139"/>
        <v>0</v>
      </c>
      <c r="BR17" s="530"/>
      <c r="BS17" s="77">
        <f>DATE(YEAR(BP17),MONTH(BP17)+3,DAY(BP17))</f>
        <v>91</v>
      </c>
      <c r="BT17" s="77"/>
      <c r="BU17" s="151"/>
      <c r="BV17" s="150">
        <f t="shared" si="102"/>
        <v>1096</v>
      </c>
      <c r="BW17" s="373"/>
      <c r="BX17" s="150" t="str">
        <f>IF(Tableau6[[#This Row],[Montant des loyers perçus avant 1e échéance]]&lt;BW17,"oui","non")</f>
        <v>non</v>
      </c>
      <c r="BY17" s="475">
        <f>(BV17-EL17)/30</f>
        <v>-1452.5</v>
      </c>
      <c r="BZ17" s="373" t="str">
        <f>IF((BY17*EO17)&lt;0,"0",BY17*EO17)</f>
        <v>0</v>
      </c>
      <c r="CA17" s="373">
        <f>IF(BW17-BZ17&lt;0,0,Tableau6[[#This Row],[Montant échéance annuelle]]-Tableau6[[#This Row],[Montant des loyers perçus avant 1e échéance]])</f>
        <v>0</v>
      </c>
      <c r="CB17" s="159">
        <v>43012</v>
      </c>
      <c r="CC17" s="64">
        <v>43027</v>
      </c>
      <c r="CD17" s="64">
        <v>43020</v>
      </c>
      <c r="CE17" s="273">
        <f t="shared" si="103"/>
        <v>-7</v>
      </c>
      <c r="CF17" s="64">
        <v>43139</v>
      </c>
      <c r="CG17" s="64">
        <v>43139</v>
      </c>
      <c r="CH17" s="273">
        <f t="shared" si="104"/>
        <v>0</v>
      </c>
      <c r="CI17" s="159">
        <v>43160</v>
      </c>
      <c r="CJ17" s="159">
        <v>43189</v>
      </c>
      <c r="CK17" s="273">
        <f t="shared" si="105"/>
        <v>29</v>
      </c>
      <c r="CL17" s="159">
        <v>43221</v>
      </c>
      <c r="CM17" s="159">
        <v>43287</v>
      </c>
      <c r="CN17" s="273">
        <f t="shared" si="106"/>
        <v>66</v>
      </c>
      <c r="CO17" s="159">
        <v>43282</v>
      </c>
      <c r="CP17" s="159">
        <v>43409</v>
      </c>
      <c r="CQ17" s="273">
        <f t="shared" si="107"/>
        <v>127</v>
      </c>
      <c r="CR17" s="237"/>
      <c r="CS17" s="292"/>
      <c r="CT17" s="277"/>
      <c r="CU17" s="282"/>
      <c r="CV17" s="279" t="str">
        <f t="shared" si="108"/>
        <v>0</v>
      </c>
      <c r="CW17" s="277"/>
      <c r="CX17" s="382">
        <v>44124</v>
      </c>
      <c r="CY17" s="178"/>
      <c r="CZ17" s="231">
        <f t="shared" si="109"/>
        <v>25.1</v>
      </c>
      <c r="DA17" s="279" t="str">
        <f t="shared" si="110"/>
        <v>0</v>
      </c>
      <c r="DB17" s="383">
        <v>16</v>
      </c>
      <c r="DC17" s="127">
        <f t="shared" si="111"/>
        <v>17</v>
      </c>
      <c r="DD17" s="277">
        <v>43743</v>
      </c>
      <c r="DE17" s="282">
        <f ca="1">IF(DD17&lt;TODAY(),TODAY(),DD17)</f>
        <v>43998</v>
      </c>
      <c r="DF17" s="279">
        <f t="shared" ca="1" si="112"/>
        <v>255</v>
      </c>
      <c r="DG17" s="766">
        <f>DATE(YEAR(DD17),MONTH(DD17)+2,DAY(DD17))</f>
        <v>43804</v>
      </c>
      <c r="DH17" s="295">
        <f ca="1">IF(DG17&lt;TODAY(),TODAY(),DG17)</f>
        <v>43998</v>
      </c>
      <c r="DI17" s="280">
        <f t="shared" ca="1" si="113"/>
        <v>194</v>
      </c>
      <c r="DJ17" s="281"/>
      <c r="DK17" s="282">
        <f ca="1">IF(DJ17&lt;TODAY(),TODAY(),DJ17)</f>
        <v>43998</v>
      </c>
      <c r="DL17" s="279" t="str">
        <f t="shared" ca="1" si="114"/>
        <v>0</v>
      </c>
      <c r="DM17" s="282"/>
      <c r="DN17" s="282">
        <f ca="1">IF(DM17&lt;TODAY(),TODAY(),DM17)</f>
        <v>43998</v>
      </c>
      <c r="DO17" s="279" t="str">
        <f t="shared" ca="1" si="115"/>
        <v>0</v>
      </c>
      <c r="DP17" s="283"/>
      <c r="DQ17" s="283"/>
      <c r="DR17" s="279" t="str">
        <f t="shared" si="116"/>
        <v>0</v>
      </c>
      <c r="DS17" s="282"/>
      <c r="DT17" s="282">
        <f ca="1">IF(DS17&lt;TODAY(),TODAY(),DS17)</f>
        <v>43998</v>
      </c>
      <c r="DU17" s="279" t="str">
        <f t="shared" ca="1" si="117"/>
        <v>0</v>
      </c>
      <c r="DV17" s="282"/>
      <c r="DW17" s="282">
        <f ca="1">IF(DV17&lt;TODAY(),TODAY(),DV17)</f>
        <v>43998</v>
      </c>
      <c r="DX17" s="279" t="str">
        <f t="shared" ca="1" si="118"/>
        <v>0</v>
      </c>
      <c r="DY17" s="283"/>
      <c r="DZ17" s="283"/>
      <c r="EA17" s="283"/>
      <c r="EB17" s="410">
        <f t="shared" si="119"/>
        <v>44612</v>
      </c>
      <c r="EC17" s="409">
        <f>DATE(YEAR(EB17),MONTH(EB17)+1,DAY(EB17))</f>
        <v>44640</v>
      </c>
      <c r="ED17" s="406">
        <f t="shared" si="120"/>
        <v>0.93333333333333335</v>
      </c>
      <c r="EE17" s="513">
        <f ca="1">IF(((EC17-TODAY())/30)&lt;0,0,(EC17-TODAY())/30)</f>
        <v>21.4</v>
      </c>
      <c r="EF17" s="408">
        <f ca="1">DATE(YEAR(DH17)+2,MONTH(DH17),DAY(DH17))</f>
        <v>44728</v>
      </c>
      <c r="EG17" s="448"/>
      <c r="EH17" s="448"/>
      <c r="EI17" s="448"/>
      <c r="EJ17" s="242"/>
      <c r="EK17" s="456">
        <f t="shared" si="138"/>
        <v>44640</v>
      </c>
      <c r="EL17" s="409">
        <f>DATE(YEAR(EC17),MONTH(EC17)+1,DAY(EC17))</f>
        <v>44671</v>
      </c>
      <c r="EM17" s="314"/>
      <c r="EN17" s="404">
        <f>(DATEDIF(EK17,EL17,"d"))/30</f>
        <v>1.0333333333333334</v>
      </c>
      <c r="EO17" s="394">
        <v>19427</v>
      </c>
      <c r="EP17" s="131">
        <f t="shared" si="121"/>
        <v>20074.566666666669</v>
      </c>
      <c r="EQ17" s="60"/>
      <c r="ER17" s="60"/>
      <c r="ES17" s="742"/>
      <c r="ET17" s="300">
        <v>0</v>
      </c>
      <c r="EU17" s="300">
        <v>0</v>
      </c>
      <c r="EV17" s="300"/>
      <c r="EW17" s="300"/>
      <c r="EX17" s="300"/>
      <c r="EY17" s="416">
        <f t="shared" si="122"/>
        <v>0</v>
      </c>
      <c r="EZ17" s="297"/>
      <c r="FA17" s="308"/>
      <c r="FB17" s="297" t="s">
        <v>559</v>
      </c>
      <c r="FC17" s="297" t="s">
        <v>791</v>
      </c>
      <c r="FD17" s="89">
        <f t="shared" ca="1" si="123"/>
        <v>44728</v>
      </c>
      <c r="FE17" s="63"/>
      <c r="FF17" s="63"/>
      <c r="FG17" s="63"/>
      <c r="FH17" s="63"/>
      <c r="FI17" s="63"/>
      <c r="FJ17" s="22"/>
      <c r="FK17" s="146">
        <f t="shared" si="124"/>
        <v>45005</v>
      </c>
      <c r="FL17" s="146"/>
      <c r="FM17" s="146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451"/>
      <c r="GB17" s="471">
        <f>GD17+GG17+GJ17+HF17+Tableau6[[#This Row],[PRÊT CREDIT D''IMPOT (PM)]]</f>
        <v>7927561</v>
      </c>
      <c r="GC17" s="645">
        <f>GB17</f>
        <v>7927561</v>
      </c>
      <c r="GD17" s="507">
        <f t="shared" si="137"/>
        <v>1008481</v>
      </c>
      <c r="GE17" s="20">
        <f t="shared" si="125"/>
        <v>2777.2152741285686</v>
      </c>
      <c r="GF17" s="20">
        <f t="shared" si="126"/>
        <v>203270.79487179487</v>
      </c>
      <c r="GG17" s="503">
        <v>2513646</v>
      </c>
      <c r="GH17" s="351"/>
      <c r="GI17" s="11">
        <f>GG17/AD17</f>
        <v>64452.461538461539</v>
      </c>
      <c r="GJ17" s="503">
        <f t="shared" si="127"/>
        <v>4005434</v>
      </c>
      <c r="GK17" s="5">
        <f>GL17+GM17</f>
        <v>3751934</v>
      </c>
      <c r="GL17" s="828">
        <v>1251934</v>
      </c>
      <c r="GM17" s="828">
        <v>2500000</v>
      </c>
      <c r="GN17" s="345">
        <f t="shared" si="128"/>
        <v>96203.435897435891</v>
      </c>
      <c r="GO17" s="806"/>
      <c r="GP17" s="5">
        <v>741000</v>
      </c>
      <c r="GQ17" s="35"/>
      <c r="GR17" s="18">
        <f t="shared" si="129"/>
        <v>9.347137158578786E-2</v>
      </c>
      <c r="GS17" s="35">
        <v>253500</v>
      </c>
      <c r="GT17" s="35"/>
      <c r="GU17" s="5">
        <f>65000+202481</f>
        <v>267481</v>
      </c>
      <c r="GV17" s="20">
        <f t="shared" si="130"/>
        <v>19000</v>
      </c>
      <c r="GW17" s="20">
        <f t="shared" si="131"/>
        <v>83452.461538461532</v>
      </c>
      <c r="GX17" s="567"/>
      <c r="GY17" s="567"/>
      <c r="GZ17" s="567">
        <f>(GG17+GP17+GY17)/AD17</f>
        <v>83452.461538461532</v>
      </c>
      <c r="HA17" s="567"/>
      <c r="HB17" s="567">
        <f t="shared" si="132"/>
        <v>83452.461538461532</v>
      </c>
      <c r="HC17" s="568">
        <f>(GG17+GP17+GY17+HA17)/(GX17+GB17-HD17)</f>
        <v>0.41054821274790571</v>
      </c>
      <c r="HD17" s="567"/>
      <c r="HE17" s="567"/>
      <c r="HF17" s="503">
        <v>400000</v>
      </c>
      <c r="HG17" s="637">
        <v>350991.23399999994</v>
      </c>
      <c r="HH17" s="634">
        <f t="shared" si="133"/>
        <v>4.4274807093884226E-2</v>
      </c>
      <c r="HI17" s="633">
        <f t="shared" si="134"/>
        <v>7576569.7659999998</v>
      </c>
      <c r="HJ17" s="633" t="e">
        <f ca="1">IF(EE17&lt;DATEDIF(TODAY(),$HJ$1,"M"),HI17,(HI17/EE17*DATEDIF(TODAY(),$HJ$1,"M")))*0+2360000*5%+1016540</f>
        <v>#VALUE!</v>
      </c>
      <c r="HK17" s="634" t="e">
        <f ca="1">(HJ17+HG17)/GB17</f>
        <v>#VALUE!</v>
      </c>
      <c r="HL17" s="633">
        <f>'[1]GLOBAL OPERATION'!$AG$60</f>
        <v>101100</v>
      </c>
      <c r="HM17" s="633">
        <f t="shared" si="135"/>
        <v>907381</v>
      </c>
      <c r="HN17" s="634">
        <f t="shared" si="136"/>
        <v>0.10024978160223147</v>
      </c>
      <c r="HO17" s="640" t="s">
        <v>751</v>
      </c>
      <c r="HP17" s="563"/>
      <c r="HQ17" s="47"/>
      <c r="HR17" s="563"/>
      <c r="HS17" s="563">
        <f>SUM(Tableau6[[#This Row],[GO]:[CARRELAGE]])</f>
        <v>0</v>
      </c>
      <c r="HT17" s="461"/>
      <c r="HU17" s="461"/>
      <c r="HV17" s="461"/>
      <c r="HW17" s="461"/>
      <c r="HX17" s="461"/>
      <c r="HY17" s="461"/>
      <c r="HZ17" s="461"/>
      <c r="IA17" s="461"/>
      <c r="IB17" s="461"/>
      <c r="IC17" s="461"/>
      <c r="ID17" s="461"/>
      <c r="IE17" s="461"/>
      <c r="IF17" s="461"/>
      <c r="IG17" s="563">
        <v>703576</v>
      </c>
      <c r="IH17" s="563">
        <v>178000</v>
      </c>
      <c r="II17" s="563">
        <f>HP17+HR17+Tableau6[[#This Row],[TRAVAUX BATIS]]+Tableau6[[#This Row],[HONORAIRES]]+IH17</f>
        <v>881576</v>
      </c>
      <c r="IJ17" s="654">
        <f>Tableau6[[#This Row],[TOTAL PRP HT]]-Tableau6[[#This Row],[PRP TTC HORS FRAFU]]/1.021</f>
        <v>-6882930.3663075427</v>
      </c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</row>
    <row r="18" spans="1:256" ht="20.149999999999999" customHeight="1">
      <c r="A18" s="42" t="s">
        <v>288</v>
      </c>
      <c r="B18" s="2" t="s">
        <v>14</v>
      </c>
      <c r="C18" s="2" t="s">
        <v>86</v>
      </c>
      <c r="D18" s="2">
        <v>2013</v>
      </c>
      <c r="E18" s="2" t="s">
        <v>36</v>
      </c>
      <c r="F18" s="2" t="s">
        <v>40</v>
      </c>
      <c r="G18" s="2" t="s">
        <v>586</v>
      </c>
      <c r="H18" s="22" t="s">
        <v>181</v>
      </c>
      <c r="I18" s="22"/>
      <c r="J18" s="22"/>
      <c r="K18" s="134" t="s">
        <v>441</v>
      </c>
      <c r="L18" s="78" t="s">
        <v>44</v>
      </c>
      <c r="M18" s="51" t="s">
        <v>49</v>
      </c>
      <c r="N18" s="52">
        <v>41627</v>
      </c>
      <c r="O18" s="103">
        <v>11354</v>
      </c>
      <c r="P18" s="103">
        <v>444858</v>
      </c>
      <c r="Q18" s="103">
        <v>247250</v>
      </c>
      <c r="R18" s="103">
        <f>P18/AD18</f>
        <v>13084.058823529413</v>
      </c>
      <c r="S18" s="103">
        <f>P18/O18</f>
        <v>39.180729258411134</v>
      </c>
      <c r="T18" s="103">
        <f>Q18/O18</f>
        <v>21.776466443544127</v>
      </c>
      <c r="U18" s="103">
        <f>Q18/AK18</f>
        <v>93.321959817772139</v>
      </c>
      <c r="V18" s="103">
        <f>Q18/AD18</f>
        <v>7272.0588235294117</v>
      </c>
      <c r="W18" s="103">
        <f>O18/AD18</f>
        <v>333.94117647058823</v>
      </c>
      <c r="X18" s="104"/>
      <c r="Y18" s="444">
        <f t="shared" si="96"/>
        <v>29.945393693852388</v>
      </c>
      <c r="Z18" s="104" t="s">
        <v>151</v>
      </c>
      <c r="AA18" s="106">
        <v>300</v>
      </c>
      <c r="AB18" s="107"/>
      <c r="AC18" s="2" t="s">
        <v>10</v>
      </c>
      <c r="AD18" s="426">
        <f t="shared" si="97"/>
        <v>34</v>
      </c>
      <c r="AE18" s="426">
        <f t="shared" si="98"/>
        <v>34</v>
      </c>
      <c r="AF18" s="3"/>
      <c r="AG18" s="2">
        <v>34</v>
      </c>
      <c r="AH18" s="32"/>
      <c r="AI18" s="32"/>
      <c r="AJ18" s="614">
        <v>2599.0999999999995</v>
      </c>
      <c r="AK18" s="225">
        <v>2649.4299999999994</v>
      </c>
      <c r="AL18" s="492">
        <f t="shared" si="99"/>
        <v>76.444117647058803</v>
      </c>
      <c r="AM18" s="4">
        <f t="shared" si="100"/>
        <v>77.924411764705866</v>
      </c>
      <c r="AN18" s="26">
        <v>5.3</v>
      </c>
      <c r="AO18" s="26">
        <v>5.2</v>
      </c>
      <c r="AP18" s="26">
        <v>405.3</v>
      </c>
      <c r="AQ18" s="28"/>
      <c r="AR18" s="28"/>
      <c r="AS18" s="28"/>
      <c r="AT18" s="28"/>
      <c r="AU18" s="28"/>
      <c r="AV18" s="4">
        <v>1035</v>
      </c>
      <c r="AW18" s="37" t="s">
        <v>229</v>
      </c>
      <c r="AX18" s="39" t="e">
        <f>AW18/O18</f>
        <v>#VALUE!</v>
      </c>
      <c r="AY18" s="28">
        <v>2</v>
      </c>
      <c r="AZ18" s="22" t="s">
        <v>385</v>
      </c>
      <c r="BA18" s="2" t="s">
        <v>95</v>
      </c>
      <c r="BB18" s="22"/>
      <c r="BC18" s="22"/>
      <c r="BD18" s="22"/>
      <c r="BE18" s="22"/>
      <c r="BF18" s="56">
        <v>41173</v>
      </c>
      <c r="BG18" s="56"/>
      <c r="BH18" s="56">
        <v>41348</v>
      </c>
      <c r="BI18" s="56"/>
      <c r="BJ18" s="548">
        <v>41363</v>
      </c>
      <c r="BK18" s="548">
        <v>41484</v>
      </c>
      <c r="BL18" s="549"/>
      <c r="BM18" s="547">
        <f t="shared" si="101"/>
        <v>4.0333333333333332</v>
      </c>
      <c r="BN18" s="490"/>
      <c r="BO18" s="76">
        <v>41549</v>
      </c>
      <c r="BP18" s="99">
        <v>41576</v>
      </c>
      <c r="BQ18" s="537">
        <f t="shared" si="139"/>
        <v>0.9</v>
      </c>
      <c r="BR18" s="100"/>
      <c r="BS18" s="77">
        <f>DATE(YEAR(BP18),MONTH(BP18)+3,DAY(BP18))</f>
        <v>41668</v>
      </c>
      <c r="BT18" s="77"/>
      <c r="BU18" s="151">
        <v>41671</v>
      </c>
      <c r="BV18" s="150">
        <f t="shared" si="102"/>
        <v>42767</v>
      </c>
      <c r="BW18" s="373">
        <f>72953+17154</f>
        <v>90107</v>
      </c>
      <c r="BX18" s="150" t="str">
        <f>IF(Tableau6[[#This Row],[Montant des loyers perçus avant 1e échéance]]&lt;BW18,"oui","non")</f>
        <v>non</v>
      </c>
      <c r="BY18" s="475">
        <f>(BV18-EL18)/30</f>
        <v>-10.199999999999999</v>
      </c>
      <c r="BZ18" s="373" t="str">
        <f>IF((BY18*EO18)&lt;0,"0",BY18*EO18)</f>
        <v>0</v>
      </c>
      <c r="CA18" s="373">
        <f>IF(BW18-BZ18&lt;0,0,Tableau6[[#This Row],[Montant échéance annuelle]]-Tableau6[[#This Row],[Montant des loyers perçus avant 1e échéance]])</f>
        <v>90107</v>
      </c>
      <c r="CB18" s="64"/>
      <c r="CC18" s="57"/>
      <c r="CD18" s="57"/>
      <c r="CE18" s="273" t="str">
        <f t="shared" si="103"/>
        <v>0</v>
      </c>
      <c r="CF18" s="64"/>
      <c r="CG18" s="64"/>
      <c r="CH18" s="273" t="str">
        <f t="shared" si="104"/>
        <v>0</v>
      </c>
      <c r="CI18" s="66"/>
      <c r="CJ18" s="64"/>
      <c r="CK18" s="273" t="str">
        <f t="shared" si="105"/>
        <v>0</v>
      </c>
      <c r="CL18" s="66"/>
      <c r="CM18" s="64"/>
      <c r="CN18" s="273" t="str">
        <f t="shared" si="106"/>
        <v>0</v>
      </c>
      <c r="CO18" s="66"/>
      <c r="CP18" s="311"/>
      <c r="CQ18" s="273" t="str">
        <f t="shared" si="107"/>
        <v>0</v>
      </c>
      <c r="CR18" s="239"/>
      <c r="CS18" s="117"/>
      <c r="CT18" s="64"/>
      <c r="CU18" s="117"/>
      <c r="CV18" s="273" t="str">
        <f t="shared" si="108"/>
        <v>0</v>
      </c>
      <c r="CW18" s="64"/>
      <c r="CX18" s="181">
        <v>41729</v>
      </c>
      <c r="CY18" s="175">
        <v>2014</v>
      </c>
      <c r="CZ18" s="232">
        <f t="shared" si="109"/>
        <v>8.1666666666666661</v>
      </c>
      <c r="DA18" s="273" t="str">
        <f t="shared" si="110"/>
        <v>0</v>
      </c>
      <c r="DB18" s="126">
        <v>18</v>
      </c>
      <c r="DC18" s="59">
        <f t="shared" si="111"/>
        <v>43</v>
      </c>
      <c r="DD18" s="64"/>
      <c r="DE18" s="117"/>
      <c r="DF18" s="273" t="str">
        <f t="shared" si="112"/>
        <v>0</v>
      </c>
      <c r="DG18" s="595"/>
      <c r="DH18" s="309"/>
      <c r="DI18" s="276" t="str">
        <f t="shared" si="113"/>
        <v>0</v>
      </c>
      <c r="DJ18" s="66"/>
      <c r="DK18" s="159"/>
      <c r="DL18" s="273" t="str">
        <f t="shared" si="114"/>
        <v>0</v>
      </c>
      <c r="DM18" s="117"/>
      <c r="DN18" s="64"/>
      <c r="DO18" s="273" t="str">
        <f t="shared" si="115"/>
        <v>0</v>
      </c>
      <c r="DP18" s="57"/>
      <c r="DQ18" s="57"/>
      <c r="DR18" s="273" t="str">
        <f t="shared" si="116"/>
        <v>0</v>
      </c>
      <c r="DS18" s="57"/>
      <c r="DT18" s="57"/>
      <c r="DU18" s="273" t="str">
        <f t="shared" si="117"/>
        <v>0</v>
      </c>
      <c r="DV18" s="57"/>
      <c r="DW18" s="57"/>
      <c r="DX18" s="273" t="str">
        <f t="shared" si="118"/>
        <v>0</v>
      </c>
      <c r="DY18" s="57"/>
      <c r="DZ18" s="57"/>
      <c r="EA18" s="57"/>
      <c r="EB18" s="313">
        <f t="shared" si="119"/>
        <v>42278</v>
      </c>
      <c r="EC18" s="183">
        <v>43068</v>
      </c>
      <c r="ED18" s="401">
        <f t="shared" si="120"/>
        <v>26.333333333333332</v>
      </c>
      <c r="EE18" s="511"/>
      <c r="EF18" s="821"/>
      <c r="EG18" s="58">
        <v>43131</v>
      </c>
      <c r="EH18" s="58">
        <v>42342</v>
      </c>
      <c r="EI18" s="58">
        <v>43054</v>
      </c>
      <c r="EJ18" s="240"/>
      <c r="EK18" s="455">
        <f t="shared" si="138"/>
        <v>42309</v>
      </c>
      <c r="EL18" s="328">
        <v>43073</v>
      </c>
      <c r="EM18" s="177">
        <v>2017</v>
      </c>
      <c r="EN18" s="397">
        <f>(DATEDIF(EK18,EL18,"d"))/30</f>
        <v>25.466666666666665</v>
      </c>
      <c r="EO18" s="388">
        <f>170360/12</f>
        <v>14196.666666666666</v>
      </c>
      <c r="EP18" s="158">
        <f t="shared" si="121"/>
        <v>361541.77777777775</v>
      </c>
      <c r="EQ18" s="159">
        <v>42982</v>
      </c>
      <c r="ER18" s="159"/>
      <c r="ES18" s="133"/>
      <c r="ET18" s="296">
        <v>51376</v>
      </c>
      <c r="EU18" s="296">
        <v>0</v>
      </c>
      <c r="EV18" s="300">
        <f>30000*1.021</f>
        <v>30629.999999999996</v>
      </c>
      <c r="EW18" s="300"/>
      <c r="EX18" s="300">
        <f>124948*1.021</f>
        <v>127571.90799999998</v>
      </c>
      <c r="EY18" s="416">
        <f t="shared" si="122"/>
        <v>2.1677246353851463E-2</v>
      </c>
      <c r="EZ18" s="297"/>
      <c r="FA18" s="308" t="s">
        <v>549</v>
      </c>
      <c r="FB18" s="297"/>
      <c r="FC18" s="297"/>
      <c r="FD18" s="89">
        <f t="shared" si="123"/>
        <v>731</v>
      </c>
      <c r="FE18" s="372" t="s">
        <v>677</v>
      </c>
      <c r="FF18" s="159">
        <v>43164</v>
      </c>
      <c r="FG18" s="62"/>
      <c r="FH18" s="62"/>
      <c r="FI18" s="159">
        <v>43236</v>
      </c>
      <c r="FJ18" s="160">
        <v>43767</v>
      </c>
      <c r="FK18" s="159">
        <f t="shared" si="124"/>
        <v>43433</v>
      </c>
      <c r="FL18" s="159"/>
      <c r="FM18" s="376">
        <v>56500</v>
      </c>
      <c r="FN18" s="159">
        <v>43153</v>
      </c>
      <c r="FO18" s="64">
        <v>43171</v>
      </c>
      <c r="FP18" s="64"/>
      <c r="FQ18" s="63"/>
      <c r="FR18" s="63"/>
      <c r="FS18" s="160">
        <v>43213</v>
      </c>
      <c r="FT18" s="22"/>
      <c r="FU18" s="22" t="s">
        <v>839</v>
      </c>
      <c r="FV18" s="22"/>
      <c r="FW18" s="160">
        <v>43242</v>
      </c>
      <c r="FX18" s="57" t="s">
        <v>101</v>
      </c>
      <c r="FY18" s="119">
        <v>43697</v>
      </c>
      <c r="FZ18" s="22" t="s">
        <v>101</v>
      </c>
      <c r="GA18" s="332">
        <v>5039187</v>
      </c>
      <c r="GB18" s="471">
        <f>GD18+GG18+GJ18+HF18+Tableau6[[#This Row],[PRÊT CREDIT D''IMPOT (PM)]]</f>
        <v>5885060.5800000001</v>
      </c>
      <c r="GC18" s="644">
        <f>GB18</f>
        <v>5885060.5800000001</v>
      </c>
      <c r="GD18" s="507">
        <f t="shared" si="137"/>
        <v>680000</v>
      </c>
      <c r="GE18" s="20">
        <f t="shared" si="125"/>
        <v>2221.2553568125982</v>
      </c>
      <c r="GF18" s="20">
        <f t="shared" si="126"/>
        <v>173090.01705882352</v>
      </c>
      <c r="GG18" s="507">
        <v>1600171.58</v>
      </c>
      <c r="GH18" s="351"/>
      <c r="GI18" s="11">
        <f>GG18/AD18</f>
        <v>47063.87</v>
      </c>
      <c r="GJ18" s="507">
        <f t="shared" si="127"/>
        <v>3604889</v>
      </c>
      <c r="GK18" s="5">
        <f>+GL18+GM18</f>
        <v>3023907</v>
      </c>
      <c r="GL18" s="6">
        <v>650910</v>
      </c>
      <c r="GM18" s="6">
        <v>2372997</v>
      </c>
      <c r="GN18" s="345">
        <f t="shared" si="128"/>
        <v>88938.441176470587</v>
      </c>
      <c r="GO18" s="5">
        <v>580982</v>
      </c>
      <c r="GP18" s="5">
        <v>680000</v>
      </c>
      <c r="GQ18" s="35"/>
      <c r="GR18" s="18">
        <f t="shared" si="129"/>
        <v>0.11554681396329823</v>
      </c>
      <c r="GS18" s="35"/>
      <c r="GT18" s="35"/>
      <c r="GU18" s="5">
        <v>0</v>
      </c>
      <c r="GV18" s="20">
        <f t="shared" si="130"/>
        <v>20000</v>
      </c>
      <c r="GW18" s="20">
        <f t="shared" si="131"/>
        <v>67063.87</v>
      </c>
      <c r="GX18" s="567">
        <v>1298644.9078014998</v>
      </c>
      <c r="GY18" s="567">
        <v>680000</v>
      </c>
      <c r="GZ18" s="567" t="e">
        <f>(#REF!+#REF!+GY18)/AD18</f>
        <v>#REF!</v>
      </c>
      <c r="HA18" s="567">
        <v>0</v>
      </c>
      <c r="HB18" s="567">
        <f t="shared" si="132"/>
        <v>87063.87</v>
      </c>
      <c r="HC18" s="568">
        <f>(GG18+GP18+GY18+HA18)/(GX18+GB18-HD18)</f>
        <v>0.42707533654989638</v>
      </c>
      <c r="HD18" s="567">
        <v>252442.25</v>
      </c>
      <c r="HE18" s="567"/>
      <c r="HF18" s="507">
        <v>0</v>
      </c>
      <c r="HG18" s="633"/>
      <c r="HH18" s="634">
        <f t="shared" si="133"/>
        <v>0</v>
      </c>
      <c r="HI18" s="635">
        <f t="shared" si="134"/>
        <v>5885060.5800000001</v>
      </c>
      <c r="HJ18" s="633" t="e">
        <f ca="1">IF(EE18&lt;DATEDIF(TODAY(),$HJ$1,"M"),HI18,(HI18/EE18*DATEDIF(TODAY(),$HJ$1,"M")))</f>
        <v>#VALUE!</v>
      </c>
      <c r="HK18" s="633"/>
      <c r="HL18" s="633"/>
      <c r="HM18" s="633">
        <f t="shared" si="135"/>
        <v>680000</v>
      </c>
      <c r="HN18" s="636">
        <f t="shared" si="136"/>
        <v>0</v>
      </c>
      <c r="HO18" s="636"/>
      <c r="HP18" s="563"/>
      <c r="HQ18" s="47"/>
      <c r="HR18" s="563"/>
      <c r="HS18" s="563">
        <f>SUM(Tableau6[[#This Row],[GO]:[CARRELAGE]])</f>
        <v>0</v>
      </c>
      <c r="HT18" s="461"/>
      <c r="HU18" s="461"/>
      <c r="HV18" s="461"/>
      <c r="HW18" s="461"/>
      <c r="HX18" s="461"/>
      <c r="HY18" s="461"/>
      <c r="HZ18" s="461"/>
      <c r="IA18" s="461"/>
      <c r="IB18" s="461"/>
      <c r="IC18" s="461"/>
      <c r="ID18" s="461"/>
      <c r="IE18" s="461"/>
      <c r="IF18" s="461"/>
      <c r="IG18" s="563"/>
      <c r="IH18" s="563"/>
      <c r="II18" s="563">
        <f>HP18+HR18+Tableau6[[#This Row],[TRAVAUX BATIS]]+Tableau6[[#This Row],[HONORAIRES]]+IH18</f>
        <v>0</v>
      </c>
      <c r="IJ18" s="654">
        <f>Tableau6[[#This Row],[TOTAL PRP HT]]-Tableau6[[#This Row],[PRP TTC HORS FRAFU]]/1.021</f>
        <v>-5764016.2389813913</v>
      </c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</row>
    <row r="19" spans="1:256" ht="20.149999999999999" customHeight="1">
      <c r="A19" s="772" t="s">
        <v>323</v>
      </c>
      <c r="B19" s="2" t="s">
        <v>14</v>
      </c>
      <c r="C19" s="2" t="s">
        <v>86</v>
      </c>
      <c r="D19" s="2">
        <v>2020</v>
      </c>
      <c r="E19" s="2"/>
      <c r="F19" s="2" t="s">
        <v>301</v>
      </c>
      <c r="G19" s="2" t="s">
        <v>860</v>
      </c>
      <c r="H19" s="2" t="s">
        <v>794</v>
      </c>
      <c r="I19" s="22"/>
      <c r="J19" s="22" t="s">
        <v>347</v>
      </c>
      <c r="K19" s="134" t="s">
        <v>345</v>
      </c>
      <c r="L19" s="78" t="s">
        <v>43</v>
      </c>
      <c r="M19" s="808" t="s">
        <v>343</v>
      </c>
      <c r="N19" s="809" t="s">
        <v>344</v>
      </c>
      <c r="O19" s="117"/>
      <c r="P19" s="117"/>
      <c r="Q19" s="117"/>
      <c r="R19" s="117"/>
      <c r="S19" s="117"/>
      <c r="T19" s="330"/>
      <c r="U19" s="330"/>
      <c r="V19" s="330"/>
      <c r="W19" s="117"/>
      <c r="X19" s="104"/>
      <c r="Y19" s="447" t="e">
        <f t="shared" si="96"/>
        <v>#DIV/0!</v>
      </c>
      <c r="Z19" s="104"/>
      <c r="AA19" s="106"/>
      <c r="AB19" s="107"/>
      <c r="AC19" s="2" t="s">
        <v>300</v>
      </c>
      <c r="AD19" s="426">
        <f t="shared" si="97"/>
        <v>30</v>
      </c>
      <c r="AE19" s="426">
        <f t="shared" si="98"/>
        <v>0</v>
      </c>
      <c r="AF19" s="3"/>
      <c r="AG19" s="3"/>
      <c r="AH19" s="32"/>
      <c r="AI19" s="94">
        <v>30</v>
      </c>
      <c r="AJ19" s="614"/>
      <c r="AK19" s="225"/>
      <c r="AL19" s="492">
        <f t="shared" si="99"/>
        <v>0</v>
      </c>
      <c r="AM19" s="4">
        <f t="shared" si="100"/>
        <v>0</v>
      </c>
      <c r="AN19" s="26"/>
      <c r="AO19" s="26"/>
      <c r="AP19" s="26"/>
      <c r="AQ19" s="39"/>
      <c r="AR19" s="39"/>
      <c r="AS19" s="39"/>
      <c r="AT19" s="39"/>
      <c r="AU19" s="39"/>
      <c r="AV19" s="4"/>
      <c r="AW19" s="37"/>
      <c r="AX19" s="39"/>
      <c r="AY19" s="26"/>
      <c r="AZ19" s="22"/>
      <c r="BA19" s="2"/>
      <c r="BB19" s="118"/>
      <c r="BC19" s="22"/>
      <c r="BD19" s="22"/>
      <c r="BE19" s="22"/>
      <c r="BF19" s="22"/>
      <c r="BG19" s="22"/>
      <c r="BH19" s="56">
        <v>43816</v>
      </c>
      <c r="BI19" s="22"/>
      <c r="BJ19" s="548"/>
      <c r="BK19" s="548"/>
      <c r="BL19" s="549"/>
      <c r="BM19" s="547">
        <f t="shared" si="101"/>
        <v>0</v>
      </c>
      <c r="BN19" s="490" t="s">
        <v>229</v>
      </c>
      <c r="BO19" s="76"/>
      <c r="BP19" s="99"/>
      <c r="BQ19" s="536">
        <f t="shared" si="139"/>
        <v>0</v>
      </c>
      <c r="BR19" s="529"/>
      <c r="BS19" s="77"/>
      <c r="BT19" s="77"/>
      <c r="BU19" s="151"/>
      <c r="BV19" s="150">
        <f t="shared" si="102"/>
        <v>1096</v>
      </c>
      <c r="BW19" s="373"/>
      <c r="BX19" s="150" t="str">
        <f>IF(Tableau6[[#This Row],[Montant des loyers perçus avant 1e échéance]]&lt;BW19,"oui","non")</f>
        <v>non</v>
      </c>
      <c r="BY19" s="474"/>
      <c r="BZ19" s="474"/>
      <c r="CA19" s="474"/>
      <c r="CB19" s="64">
        <v>43704</v>
      </c>
      <c r="CC19" s="64">
        <v>43696</v>
      </c>
      <c r="CD19" s="64">
        <v>43704</v>
      </c>
      <c r="CE19" s="273">
        <f t="shared" si="103"/>
        <v>8</v>
      </c>
      <c r="CF19" s="288">
        <v>43951</v>
      </c>
      <c r="CG19" s="288"/>
      <c r="CH19" s="290" t="str">
        <f t="shared" si="104"/>
        <v>0</v>
      </c>
      <c r="CI19" s="64">
        <v>43906</v>
      </c>
      <c r="CJ19" s="64">
        <v>43936</v>
      </c>
      <c r="CK19" s="273">
        <f t="shared" si="105"/>
        <v>30</v>
      </c>
      <c r="CL19" s="64">
        <v>43906</v>
      </c>
      <c r="CM19" s="64">
        <v>43936</v>
      </c>
      <c r="CN19" s="273">
        <f t="shared" si="106"/>
        <v>30</v>
      </c>
      <c r="CO19" s="288">
        <v>43968</v>
      </c>
      <c r="CP19" s="288">
        <f ca="1">IF(CO19&lt;TODAY(),TODAY(),CO19)</f>
        <v>43998</v>
      </c>
      <c r="CQ19" s="290">
        <f t="shared" ca="1" si="107"/>
        <v>30</v>
      </c>
      <c r="CR19" s="237"/>
      <c r="CS19" s="286"/>
      <c r="CT19" s="277"/>
      <c r="CU19" s="278"/>
      <c r="CV19" s="279" t="str">
        <f t="shared" si="108"/>
        <v>0</v>
      </c>
      <c r="CW19" s="277">
        <v>44228</v>
      </c>
      <c r="CX19" s="382">
        <v>44270</v>
      </c>
      <c r="CY19" s="178"/>
      <c r="CZ19" s="231">
        <f t="shared" si="109"/>
        <v>1475.6666666666667</v>
      </c>
      <c r="DA19" s="279">
        <f t="shared" si="110"/>
        <v>42</v>
      </c>
      <c r="DB19" s="383">
        <v>12</v>
      </c>
      <c r="DC19" s="127">
        <f t="shared" si="111"/>
        <v>13</v>
      </c>
      <c r="DD19" s="277"/>
      <c r="DE19" s="282">
        <f t="shared" ref="DE19:DE25" ca="1" si="140">IF(DD19&lt;TODAY(),TODAY(),DD19)</f>
        <v>43998</v>
      </c>
      <c r="DF19" s="279" t="str">
        <f t="shared" ca="1" si="112"/>
        <v>0</v>
      </c>
      <c r="DG19" s="766"/>
      <c r="DH19" s="295">
        <f t="shared" ref="DH19:DH25" ca="1" si="141">IF(DG19&lt;TODAY(),TODAY(),DG19)</f>
        <v>43998</v>
      </c>
      <c r="DI19" s="280" t="str">
        <f t="shared" ca="1" si="113"/>
        <v>0</v>
      </c>
      <c r="DJ19" s="281"/>
      <c r="DK19" s="282">
        <f t="shared" ref="DK19:DK25" ca="1" si="142">IF(DJ19&lt;TODAY(),TODAY(),DJ19)</f>
        <v>43998</v>
      </c>
      <c r="DL19" s="279" t="str">
        <f t="shared" ca="1" si="114"/>
        <v>0</v>
      </c>
      <c r="DM19" s="282"/>
      <c r="DN19" s="282">
        <f t="shared" ref="DN19:DN25" ca="1" si="143">IF(DM19&lt;TODAY(),TODAY(),DM19)</f>
        <v>43998</v>
      </c>
      <c r="DO19" s="279" t="str">
        <f t="shared" ca="1" si="115"/>
        <v>0</v>
      </c>
      <c r="DP19" s="283"/>
      <c r="DQ19" s="283"/>
      <c r="DR19" s="279" t="str">
        <f t="shared" si="116"/>
        <v>0</v>
      </c>
      <c r="DS19" s="282"/>
      <c r="DT19" s="282">
        <f t="shared" ref="DT19:DT25" ca="1" si="144">IF(DS19&lt;TODAY(),TODAY(),DS19)</f>
        <v>43998</v>
      </c>
      <c r="DU19" s="279" t="str">
        <f t="shared" ca="1" si="117"/>
        <v>0</v>
      </c>
      <c r="DV19" s="282"/>
      <c r="DW19" s="282">
        <f t="shared" ref="DW19:DW25" ca="1" si="145">IF(DV19&lt;TODAY(),TODAY(),DV19)</f>
        <v>43998</v>
      </c>
      <c r="DX19" s="279" t="str">
        <f t="shared" ca="1" si="118"/>
        <v>0</v>
      </c>
      <c r="DY19" s="283"/>
      <c r="DZ19" s="283"/>
      <c r="EA19" s="283"/>
      <c r="EB19" s="410">
        <f t="shared" si="119"/>
        <v>44635</v>
      </c>
      <c r="EC19" s="409">
        <f>DATE(YEAR(EB19),MONTH(EB19)+1,DAY(EB19))</f>
        <v>44666</v>
      </c>
      <c r="ED19" s="406">
        <f t="shared" si="120"/>
        <v>1.0333333333333334</v>
      </c>
      <c r="EE19" s="513">
        <f t="shared" ref="EE19:EE25" ca="1" si="146">IF(((EC19-TODAY())/30)&lt;0,0,(EC19-TODAY())/30)</f>
        <v>22.266666666666666</v>
      </c>
      <c r="EF19" s="509">
        <f t="shared" ref="EF19:EF25" ca="1" si="147">DATE(YEAR(DH19)+2,MONTH(DH19),DAY(DH19))</f>
        <v>44728</v>
      </c>
      <c r="EG19" s="448"/>
      <c r="EH19" s="448"/>
      <c r="EI19" s="448">
        <f>DATE(YEAR(EC19),MONTH(EC19)+4,DAY(EC19)+2)</f>
        <v>44790</v>
      </c>
      <c r="EJ19" s="242"/>
      <c r="EK19" s="456">
        <f t="shared" si="138"/>
        <v>44666</v>
      </c>
      <c r="EL19" s="409">
        <f t="shared" ref="EL19:EL25" si="148">DATE(YEAR(EC19),MONTH(EC19)+1,DAY(EC19))</f>
        <v>44696</v>
      </c>
      <c r="EM19" s="516"/>
      <c r="EN19" s="404">
        <f>(EL19-EK19)/30</f>
        <v>1</v>
      </c>
      <c r="EO19" s="394"/>
      <c r="EP19" s="131">
        <f t="shared" si="121"/>
        <v>0</v>
      </c>
      <c r="EQ19" s="60"/>
      <c r="ER19" s="60"/>
      <c r="ES19" s="742"/>
      <c r="ET19" s="300"/>
      <c r="EU19" s="300">
        <v>0</v>
      </c>
      <c r="EV19" s="300"/>
      <c r="EW19" s="300"/>
      <c r="EX19" s="300"/>
      <c r="EY19" s="416">
        <f t="shared" si="122"/>
        <v>0</v>
      </c>
      <c r="EZ19" s="297"/>
      <c r="FA19" s="308"/>
      <c r="FB19" s="297"/>
      <c r="FC19" s="297"/>
      <c r="FD19" s="89">
        <f t="shared" ca="1" si="123"/>
        <v>44728</v>
      </c>
      <c r="FE19" s="63"/>
      <c r="FF19" s="63"/>
      <c r="FG19" s="63"/>
      <c r="FH19" s="63"/>
      <c r="FI19" s="63"/>
      <c r="FJ19" s="22"/>
      <c r="FK19" s="146">
        <f t="shared" si="124"/>
        <v>45031</v>
      </c>
      <c r="FL19" s="146"/>
      <c r="FM19" s="146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451"/>
      <c r="GB19" s="471">
        <f>GD19+GG19+GJ19+HF19+Tableau6[[#This Row],[PRÊT CREDIT D''IMPOT (PM)]]</f>
        <v>1508999</v>
      </c>
      <c r="GC19" s="645"/>
      <c r="GD19" s="507">
        <f t="shared" si="137"/>
        <v>272170</v>
      </c>
      <c r="GE19" s="212" t="e">
        <f t="shared" si="125"/>
        <v>#DIV/0!</v>
      </c>
      <c r="GF19" s="212">
        <f t="shared" si="126"/>
        <v>50299.966666666667</v>
      </c>
      <c r="GG19" s="503">
        <v>343327</v>
      </c>
      <c r="GH19" s="442"/>
      <c r="GI19" s="213" t="e">
        <f>#REF!/AD19</f>
        <v>#REF!</v>
      </c>
      <c r="GJ19" s="503">
        <f t="shared" si="127"/>
        <v>893502</v>
      </c>
      <c r="GK19" s="5">
        <v>893502</v>
      </c>
      <c r="GL19" s="213"/>
      <c r="GM19" s="213"/>
      <c r="GN19" s="345">
        <f t="shared" si="128"/>
        <v>29783.4</v>
      </c>
      <c r="GO19" s="806"/>
      <c r="GP19" s="5">
        <v>270000</v>
      </c>
      <c r="GQ19" s="35"/>
      <c r="GR19" s="18">
        <f t="shared" si="129"/>
        <v>0.17892655992482434</v>
      </c>
      <c r="GS19" s="45"/>
      <c r="GT19" s="35"/>
      <c r="GU19" s="5">
        <v>2170</v>
      </c>
      <c r="GV19" s="20">
        <f t="shared" si="130"/>
        <v>9000</v>
      </c>
      <c r="GW19" s="20">
        <f t="shared" si="131"/>
        <v>20444.233333333334</v>
      </c>
      <c r="GX19" s="567"/>
      <c r="GY19" s="567"/>
      <c r="GZ19" s="567" t="e">
        <f>(#REF!+#REF!+GY19)/AD19</f>
        <v>#REF!</v>
      </c>
      <c r="HA19" s="567"/>
      <c r="HB19" s="567">
        <f t="shared" si="132"/>
        <v>20444.233333333334</v>
      </c>
      <c r="HC19" s="568" t="e">
        <f>(#REF!+#REF!+GY19+HA19)/(GX19+#REF!-HD19)</f>
        <v>#REF!</v>
      </c>
      <c r="HD19" s="567"/>
      <c r="HE19" s="567"/>
      <c r="HF19" s="503"/>
      <c r="HG19" s="633"/>
      <c r="HH19" s="634">
        <f t="shared" si="133"/>
        <v>0</v>
      </c>
      <c r="HI19" s="633">
        <f t="shared" si="134"/>
        <v>1508999</v>
      </c>
      <c r="HJ19" s="633" t="e">
        <f ca="1">IF(EE19&lt;DATEDIF(TODAY(),$HJ$1,"M"),HI19,(HI19/EE19*DATEDIF(TODAY(),$HJ$1,"M")))</f>
        <v>#VALUE!</v>
      </c>
      <c r="HK19" s="634" t="e">
        <f ca="1">(HG19+HJ19)/GB19</f>
        <v>#VALUE!</v>
      </c>
      <c r="HL19" s="633"/>
      <c r="HM19" s="633">
        <f t="shared" si="135"/>
        <v>272170</v>
      </c>
      <c r="HN19" s="633">
        <f t="shared" si="136"/>
        <v>0</v>
      </c>
      <c r="HO19" s="633"/>
      <c r="HP19" s="563"/>
      <c r="HQ19" s="214"/>
      <c r="HR19" s="563"/>
      <c r="HS19" s="563">
        <f>SUM(Tableau6[[#This Row],[GO]:[CARRELAGE]])</f>
        <v>0</v>
      </c>
      <c r="HT19" s="461"/>
      <c r="HU19" s="461"/>
      <c r="HV19" s="461"/>
      <c r="HW19" s="461"/>
      <c r="HX19" s="461"/>
      <c r="HY19" s="461"/>
      <c r="HZ19" s="461"/>
      <c r="IA19" s="461"/>
      <c r="IB19" s="461"/>
      <c r="IC19" s="461"/>
      <c r="ID19" s="461"/>
      <c r="IE19" s="461"/>
      <c r="IF19" s="461"/>
      <c r="IG19" s="563"/>
      <c r="IH19" s="563"/>
      <c r="II19" s="563">
        <f>HP19+HR19+Tableau6[[#This Row],[TRAVAUX BATIS]]+Tableau6[[#This Row],[HONORAIRES]]+IH19</f>
        <v>0</v>
      </c>
      <c r="IJ19" s="654">
        <f>Tableau6[[#This Row],[TOTAL PRP HT]]-Tableau6[[#This Row],[PRP TTC HORS FRAFU]]/1.021</f>
        <v>-1477961.8021547503</v>
      </c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</row>
    <row r="20" spans="1:256" ht="20.149999999999999" customHeight="1">
      <c r="A20" s="772" t="s">
        <v>324</v>
      </c>
      <c r="B20" s="2" t="s">
        <v>14</v>
      </c>
      <c r="C20" s="2" t="s">
        <v>86</v>
      </c>
      <c r="D20" s="2">
        <v>2020</v>
      </c>
      <c r="E20" s="2"/>
      <c r="F20" s="2" t="s">
        <v>301</v>
      </c>
      <c r="G20" s="2" t="s">
        <v>860</v>
      </c>
      <c r="H20" s="2" t="s">
        <v>794</v>
      </c>
      <c r="I20" s="22"/>
      <c r="J20" s="22" t="s">
        <v>346</v>
      </c>
      <c r="K20" s="134" t="s">
        <v>345</v>
      </c>
      <c r="L20" s="78" t="s">
        <v>43</v>
      </c>
      <c r="M20" s="808" t="s">
        <v>343</v>
      </c>
      <c r="N20" s="809" t="s">
        <v>344</v>
      </c>
      <c r="O20" s="117"/>
      <c r="P20" s="117"/>
      <c r="Q20" s="117"/>
      <c r="R20" s="117"/>
      <c r="S20" s="117"/>
      <c r="T20" s="330"/>
      <c r="U20" s="330"/>
      <c r="V20" s="330"/>
      <c r="W20" s="117"/>
      <c r="X20" s="104"/>
      <c r="Y20" s="447" t="e">
        <f t="shared" si="96"/>
        <v>#DIV/0!</v>
      </c>
      <c r="Z20" s="104"/>
      <c r="AA20" s="106"/>
      <c r="AB20" s="107"/>
      <c r="AC20" s="2" t="s">
        <v>300</v>
      </c>
      <c r="AD20" s="426">
        <f t="shared" si="97"/>
        <v>32</v>
      </c>
      <c r="AE20" s="426">
        <f t="shared" si="98"/>
        <v>0</v>
      </c>
      <c r="AF20" s="3"/>
      <c r="AG20" s="3"/>
      <c r="AH20" s="32"/>
      <c r="AI20" s="94">
        <v>32</v>
      </c>
      <c r="AJ20" s="614"/>
      <c r="AK20" s="225"/>
      <c r="AL20" s="492">
        <f t="shared" si="99"/>
        <v>0</v>
      </c>
      <c r="AM20" s="4">
        <f t="shared" si="100"/>
        <v>0</v>
      </c>
      <c r="AN20" s="26"/>
      <c r="AO20" s="26"/>
      <c r="AP20" s="26"/>
      <c r="AQ20" s="39"/>
      <c r="AR20" s="39"/>
      <c r="AS20" s="39"/>
      <c r="AT20" s="39"/>
      <c r="AU20" s="39"/>
      <c r="AV20" s="4"/>
      <c r="AW20" s="37"/>
      <c r="AX20" s="39"/>
      <c r="AY20" s="26"/>
      <c r="AZ20" s="22"/>
      <c r="BA20" s="2"/>
      <c r="BB20" s="118"/>
      <c r="BC20" s="22"/>
      <c r="BD20" s="22"/>
      <c r="BE20" s="22"/>
      <c r="BF20" s="22"/>
      <c r="BG20" s="22"/>
      <c r="BH20" s="56">
        <v>43816</v>
      </c>
      <c r="BI20" s="22"/>
      <c r="BJ20" s="548"/>
      <c r="BK20" s="548"/>
      <c r="BL20" s="549"/>
      <c r="BM20" s="547">
        <f t="shared" si="101"/>
        <v>0</v>
      </c>
      <c r="BN20" s="490" t="s">
        <v>229</v>
      </c>
      <c r="BO20" s="76"/>
      <c r="BP20" s="99"/>
      <c r="BQ20" s="536">
        <f t="shared" si="139"/>
        <v>0</v>
      </c>
      <c r="BR20" s="529"/>
      <c r="BS20" s="77"/>
      <c r="BT20" s="77"/>
      <c r="BU20" s="151"/>
      <c r="BV20" s="150">
        <f t="shared" si="102"/>
        <v>1096</v>
      </c>
      <c r="BW20" s="373"/>
      <c r="BX20" s="150" t="str">
        <f>IF(Tableau6[[#This Row],[Montant des loyers perçus avant 1e échéance]]&lt;BW20,"oui","non")</f>
        <v>non</v>
      </c>
      <c r="BY20" s="474"/>
      <c r="BZ20" s="474"/>
      <c r="CA20" s="474"/>
      <c r="CB20" s="64">
        <v>43706</v>
      </c>
      <c r="CC20" s="64">
        <v>43696</v>
      </c>
      <c r="CD20" s="64">
        <v>43706</v>
      </c>
      <c r="CE20" s="273">
        <f t="shared" si="103"/>
        <v>10</v>
      </c>
      <c r="CF20" s="288">
        <v>43951</v>
      </c>
      <c r="CG20" s="288"/>
      <c r="CH20" s="273" t="str">
        <f t="shared" si="104"/>
        <v>0</v>
      </c>
      <c r="CI20" s="64">
        <v>43871</v>
      </c>
      <c r="CJ20" s="64">
        <v>43885</v>
      </c>
      <c r="CK20" s="273">
        <f t="shared" si="105"/>
        <v>14</v>
      </c>
      <c r="CL20" s="64">
        <v>43871</v>
      </c>
      <c r="CM20" s="64">
        <v>43885</v>
      </c>
      <c r="CN20" s="273">
        <f t="shared" si="106"/>
        <v>14</v>
      </c>
      <c r="CO20" s="288">
        <v>43950</v>
      </c>
      <c r="CP20" s="288">
        <f ca="1">IF(CO20&lt;TODAY(),TODAY(),CO20)</f>
        <v>43998</v>
      </c>
      <c r="CQ20" s="290">
        <f t="shared" ca="1" si="107"/>
        <v>48</v>
      </c>
      <c r="CR20" s="237"/>
      <c r="CS20" s="286"/>
      <c r="CT20" s="277"/>
      <c r="CU20" s="278"/>
      <c r="CV20" s="279" t="str">
        <f t="shared" si="108"/>
        <v>0</v>
      </c>
      <c r="CW20" s="277">
        <v>44228</v>
      </c>
      <c r="CX20" s="382">
        <v>44270</v>
      </c>
      <c r="CY20" s="178"/>
      <c r="CZ20" s="231">
        <f t="shared" si="109"/>
        <v>1475.6666666666667</v>
      </c>
      <c r="DA20" s="279">
        <f t="shared" si="110"/>
        <v>42</v>
      </c>
      <c r="DB20" s="383">
        <v>12</v>
      </c>
      <c r="DC20" s="127">
        <f t="shared" si="111"/>
        <v>13</v>
      </c>
      <c r="DD20" s="277"/>
      <c r="DE20" s="282">
        <f t="shared" ca="1" si="140"/>
        <v>43998</v>
      </c>
      <c r="DF20" s="279" t="str">
        <f t="shared" ca="1" si="112"/>
        <v>0</v>
      </c>
      <c r="DG20" s="766"/>
      <c r="DH20" s="295">
        <f t="shared" ca="1" si="141"/>
        <v>43998</v>
      </c>
      <c r="DI20" s="280" t="str">
        <f t="shared" ca="1" si="113"/>
        <v>0</v>
      </c>
      <c r="DJ20" s="281"/>
      <c r="DK20" s="282">
        <f t="shared" ca="1" si="142"/>
        <v>43998</v>
      </c>
      <c r="DL20" s="279" t="str">
        <f t="shared" ca="1" si="114"/>
        <v>0</v>
      </c>
      <c r="DM20" s="282"/>
      <c r="DN20" s="282">
        <f t="shared" ca="1" si="143"/>
        <v>43998</v>
      </c>
      <c r="DO20" s="279" t="str">
        <f t="shared" ca="1" si="115"/>
        <v>0</v>
      </c>
      <c r="DP20" s="283"/>
      <c r="DQ20" s="283"/>
      <c r="DR20" s="279" t="str">
        <f t="shared" si="116"/>
        <v>0</v>
      </c>
      <c r="DS20" s="282"/>
      <c r="DT20" s="282">
        <f t="shared" ca="1" si="144"/>
        <v>43998</v>
      </c>
      <c r="DU20" s="279" t="str">
        <f t="shared" ca="1" si="117"/>
        <v>0</v>
      </c>
      <c r="DV20" s="282"/>
      <c r="DW20" s="282">
        <f t="shared" ca="1" si="145"/>
        <v>43998</v>
      </c>
      <c r="DX20" s="279" t="str">
        <f t="shared" ca="1" si="118"/>
        <v>0</v>
      </c>
      <c r="DY20" s="283"/>
      <c r="DZ20" s="283"/>
      <c r="EA20" s="283"/>
      <c r="EB20" s="410">
        <f t="shared" si="119"/>
        <v>44635</v>
      </c>
      <c r="EC20" s="409">
        <f>DATE(YEAR(EB20),MONTH(EB20)+1,DAY(EB20))</f>
        <v>44666</v>
      </c>
      <c r="ED20" s="406">
        <f t="shared" si="120"/>
        <v>1.0333333333333334</v>
      </c>
      <c r="EE20" s="513">
        <f t="shared" ca="1" si="146"/>
        <v>22.266666666666666</v>
      </c>
      <c r="EF20" s="509">
        <f t="shared" ca="1" si="147"/>
        <v>44728</v>
      </c>
      <c r="EG20" s="448"/>
      <c r="EH20" s="448"/>
      <c r="EI20" s="448">
        <f>DATE(YEAR(EC20),MONTH(EC20)+4,DAY(EC20)+2)</f>
        <v>44790</v>
      </c>
      <c r="EJ20" s="242"/>
      <c r="EK20" s="456">
        <f t="shared" si="138"/>
        <v>44666</v>
      </c>
      <c r="EL20" s="409">
        <f t="shared" si="148"/>
        <v>44696</v>
      </c>
      <c r="EM20" s="516"/>
      <c r="EN20" s="404">
        <f>(EL20-EK20)/30</f>
        <v>1</v>
      </c>
      <c r="EO20" s="394"/>
      <c r="EP20" s="131">
        <f t="shared" si="121"/>
        <v>0</v>
      </c>
      <c r="EQ20" s="60"/>
      <c r="ER20" s="60"/>
      <c r="ES20" s="742"/>
      <c r="ET20" s="300"/>
      <c r="EU20" s="300">
        <v>0</v>
      </c>
      <c r="EV20" s="300"/>
      <c r="EW20" s="300"/>
      <c r="EX20" s="300"/>
      <c r="EY20" s="416">
        <f t="shared" si="122"/>
        <v>0</v>
      </c>
      <c r="EZ20" s="297"/>
      <c r="FA20" s="308"/>
      <c r="FB20" s="297"/>
      <c r="FC20" s="297"/>
      <c r="FD20" s="89">
        <f t="shared" ca="1" si="123"/>
        <v>44728</v>
      </c>
      <c r="FE20" s="63"/>
      <c r="FF20" s="63"/>
      <c r="FG20" s="63"/>
      <c r="FH20" s="63"/>
      <c r="FI20" s="63"/>
      <c r="FJ20" s="22"/>
      <c r="FK20" s="146">
        <f t="shared" si="124"/>
        <v>45031</v>
      </c>
      <c r="FL20" s="146"/>
      <c r="FM20" s="146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451"/>
      <c r="GB20" s="471">
        <f>GD20+GG20+GJ20+HF20+Tableau6[[#This Row],[PRÊT CREDIT D''IMPOT (PM)]]</f>
        <v>1610000</v>
      </c>
      <c r="GC20" s="645"/>
      <c r="GD20" s="507">
        <f t="shared" si="137"/>
        <v>290170</v>
      </c>
      <c r="GE20" s="212" t="e">
        <f t="shared" si="125"/>
        <v>#DIV/0!</v>
      </c>
      <c r="GF20" s="212">
        <f t="shared" si="126"/>
        <v>50312.5</v>
      </c>
      <c r="GG20" s="503">
        <v>380844</v>
      </c>
      <c r="GH20" s="442"/>
      <c r="GI20" s="213" t="e">
        <f>#REF!/AD20</f>
        <v>#REF!</v>
      </c>
      <c r="GJ20" s="503">
        <f t="shared" si="127"/>
        <v>938986</v>
      </c>
      <c r="GK20" s="5">
        <v>938986</v>
      </c>
      <c r="GL20" s="213"/>
      <c r="GM20" s="213"/>
      <c r="GN20" s="345">
        <f t="shared" si="128"/>
        <v>29343.3125</v>
      </c>
      <c r="GO20" s="806"/>
      <c r="GP20" s="5">
        <v>288000</v>
      </c>
      <c r="GQ20" s="35"/>
      <c r="GR20" s="18">
        <f t="shared" si="129"/>
        <v>0.17888198757763976</v>
      </c>
      <c r="GS20" s="45"/>
      <c r="GT20" s="35"/>
      <c r="GU20" s="5">
        <v>2170</v>
      </c>
      <c r="GV20" s="20">
        <f t="shared" si="130"/>
        <v>9000</v>
      </c>
      <c r="GW20" s="20">
        <f t="shared" si="131"/>
        <v>20901.375</v>
      </c>
      <c r="GX20" s="567"/>
      <c r="GY20" s="567"/>
      <c r="GZ20" s="567" t="e">
        <f>(#REF!+#REF!+GY20)/AD20</f>
        <v>#REF!</v>
      </c>
      <c r="HA20" s="567"/>
      <c r="HB20" s="567">
        <f t="shared" si="132"/>
        <v>20901.375</v>
      </c>
      <c r="HC20" s="568" t="e">
        <f>(#REF!+#REF!+GY20+HA20)/(GX20+#REF!-HD20)</f>
        <v>#REF!</v>
      </c>
      <c r="HD20" s="567"/>
      <c r="HE20" s="567"/>
      <c r="HF20" s="503"/>
      <c r="HG20" s="633"/>
      <c r="HH20" s="634">
        <f t="shared" si="133"/>
        <v>0</v>
      </c>
      <c r="HI20" s="633">
        <f t="shared" si="134"/>
        <v>1610000</v>
      </c>
      <c r="HJ20" s="633" t="e">
        <f ca="1">IF(EE20&lt;DATEDIF(TODAY(),$HJ$1,"M"),HI20,(HI20/EE20*DATEDIF(TODAY(),$HJ$1,"M")))</f>
        <v>#VALUE!</v>
      </c>
      <c r="HK20" s="634" t="e">
        <f ca="1">(HG20+HJ20)/GB20</f>
        <v>#VALUE!</v>
      </c>
      <c r="HL20" s="633"/>
      <c r="HM20" s="633">
        <f t="shared" si="135"/>
        <v>290170</v>
      </c>
      <c r="HN20" s="633">
        <f t="shared" si="136"/>
        <v>0</v>
      </c>
      <c r="HO20" s="633"/>
      <c r="HP20" s="563"/>
      <c r="HQ20" s="214"/>
      <c r="HR20" s="563"/>
      <c r="HS20" s="563">
        <f>SUM(Tableau6[[#This Row],[GO]:[CARRELAGE]])</f>
        <v>0</v>
      </c>
      <c r="HT20" s="461"/>
      <c r="HU20" s="461"/>
      <c r="HV20" s="461"/>
      <c r="HW20" s="461"/>
      <c r="HX20" s="461"/>
      <c r="HY20" s="461"/>
      <c r="HZ20" s="461"/>
      <c r="IA20" s="461"/>
      <c r="IB20" s="461"/>
      <c r="IC20" s="461"/>
      <c r="ID20" s="461"/>
      <c r="IE20" s="461"/>
      <c r="IF20" s="461"/>
      <c r="IG20" s="563"/>
      <c r="IH20" s="563"/>
      <c r="II20" s="563">
        <f>HP20+HR20+Tableau6[[#This Row],[TRAVAUX BATIS]]+Tableau6[[#This Row],[HONORAIRES]]+IH20</f>
        <v>0</v>
      </c>
      <c r="IJ20" s="654">
        <f>Tableau6[[#This Row],[TOTAL PRP HT]]-Tableau6[[#This Row],[PRP TTC HORS FRAFU]]/1.021</f>
        <v>-1576885.406464251</v>
      </c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</row>
    <row r="21" spans="1:256" ht="20.149999999999999" customHeight="1">
      <c r="A21" s="594" t="s">
        <v>274</v>
      </c>
      <c r="B21" s="2" t="s">
        <v>21</v>
      </c>
      <c r="C21" s="2" t="s">
        <v>86</v>
      </c>
      <c r="D21" s="2">
        <v>2017</v>
      </c>
      <c r="E21" s="2" t="s">
        <v>282</v>
      </c>
      <c r="F21" s="2" t="s">
        <v>686</v>
      </c>
      <c r="G21" s="2" t="s">
        <v>860</v>
      </c>
      <c r="H21" s="2" t="s">
        <v>136</v>
      </c>
      <c r="I21" s="22"/>
      <c r="J21" s="22" t="s">
        <v>275</v>
      </c>
      <c r="K21" s="134" t="s">
        <v>580</v>
      </c>
      <c r="L21" s="78"/>
      <c r="M21" s="51"/>
      <c r="N21" s="52"/>
      <c r="O21" s="103">
        <v>1953</v>
      </c>
      <c r="P21" s="103">
        <v>452000</v>
      </c>
      <c r="Q21" s="103"/>
      <c r="R21" s="103">
        <f t="shared" ref="R21:R31" si="149">P21/AD21</f>
        <v>17384.615384615383</v>
      </c>
      <c r="S21" s="103">
        <f t="shared" ref="S21:S31" si="150">P21/O21</f>
        <v>231.43881208397337</v>
      </c>
      <c r="T21" s="109">
        <f t="shared" ref="T21:T31" si="151">Q21/O21</f>
        <v>0</v>
      </c>
      <c r="U21" s="109">
        <f t="shared" ref="U21:U31" si="152">Q21/AK21</f>
        <v>0</v>
      </c>
      <c r="V21" s="109">
        <f t="shared" ref="V21:V31" si="153">Q21/AD21</f>
        <v>0</v>
      </c>
      <c r="W21" s="103">
        <f t="shared" ref="W21:W31" si="154">O21/AD21</f>
        <v>75.115384615384613</v>
      </c>
      <c r="X21" s="104"/>
      <c r="Y21" s="444">
        <f t="shared" si="96"/>
        <v>133.12852022529441</v>
      </c>
      <c r="Z21" s="104" t="s">
        <v>142</v>
      </c>
      <c r="AA21" s="106">
        <v>590</v>
      </c>
      <c r="AB21" s="107"/>
      <c r="AC21" s="2" t="s">
        <v>10</v>
      </c>
      <c r="AD21" s="426">
        <f t="shared" si="97"/>
        <v>26</v>
      </c>
      <c r="AE21" s="426">
        <f t="shared" si="98"/>
        <v>26</v>
      </c>
      <c r="AF21" s="3"/>
      <c r="AG21" s="2">
        <v>26</v>
      </c>
      <c r="AH21" s="32"/>
      <c r="AI21" s="32"/>
      <c r="AJ21" s="614">
        <v>1610.5700000000002</v>
      </c>
      <c r="AK21" s="225">
        <v>1719.7449999999999</v>
      </c>
      <c r="AL21" s="492">
        <f t="shared" si="99"/>
        <v>61.945000000000007</v>
      </c>
      <c r="AM21" s="4">
        <f t="shared" si="100"/>
        <v>66.144038461538457</v>
      </c>
      <c r="AN21" s="26">
        <v>5.95</v>
      </c>
      <c r="AO21" s="26">
        <v>5.57</v>
      </c>
      <c r="AP21" s="26">
        <v>368.65</v>
      </c>
      <c r="AQ21" s="39"/>
      <c r="AR21" s="39">
        <f>26/AD21</f>
        <v>1</v>
      </c>
      <c r="AS21" s="39"/>
      <c r="AT21" s="39"/>
      <c r="AU21" s="39"/>
      <c r="AV21" s="4"/>
      <c r="AW21" s="26" t="s">
        <v>129</v>
      </c>
      <c r="AX21" s="26"/>
      <c r="AY21" s="26">
        <v>4</v>
      </c>
      <c r="AZ21" s="25" t="s">
        <v>386</v>
      </c>
      <c r="BA21" s="2" t="s">
        <v>94</v>
      </c>
      <c r="BB21" s="22"/>
      <c r="BC21" s="22"/>
      <c r="BD21" s="22"/>
      <c r="BE21" s="22"/>
      <c r="BF21" s="122">
        <v>42691</v>
      </c>
      <c r="BG21" s="122"/>
      <c r="BH21" s="89">
        <v>42793</v>
      </c>
      <c r="BI21" s="325" t="s">
        <v>774</v>
      </c>
      <c r="BJ21" s="548">
        <v>42824</v>
      </c>
      <c r="BK21" s="548">
        <v>42970</v>
      </c>
      <c r="BL21" s="549">
        <v>42999</v>
      </c>
      <c r="BM21" s="547">
        <f t="shared" si="101"/>
        <v>4.8666666666666663</v>
      </c>
      <c r="BN21" s="490" t="s">
        <v>229</v>
      </c>
      <c r="BO21" s="786"/>
      <c r="BP21" s="761"/>
      <c r="BQ21" s="536">
        <f t="shared" si="139"/>
        <v>0</v>
      </c>
      <c r="BR21" s="530"/>
      <c r="BS21" s="385">
        <f>DATE(YEAR(BP21),MONTH(BP21)+3,DAY(BP21))</f>
        <v>91</v>
      </c>
      <c r="BT21" s="77"/>
      <c r="BU21" s="151"/>
      <c r="BV21" s="150">
        <f t="shared" si="102"/>
        <v>1096</v>
      </c>
      <c r="BW21" s="373"/>
      <c r="BX21" s="150" t="str">
        <f>IF(Tableau6[[#This Row],[Montant des loyers perçus avant 1e échéance]]&lt;BW21,"oui","non")</f>
        <v>non</v>
      </c>
      <c r="BY21" s="475">
        <f t="shared" ref="BY21:BY31" si="155">(BV21-EL21)/30</f>
        <v>-1455.5333333333333</v>
      </c>
      <c r="BZ21" s="373" t="str">
        <f t="shared" ref="BZ21:BZ26" si="156">IF((BY21*EO21)&lt;0,"0",BY21*EO21)</f>
        <v>0</v>
      </c>
      <c r="CA21" s="373">
        <f>IF(BW21-BZ21&lt;0,0,Tableau6[[#This Row],[Montant échéance annuelle]]-Tableau6[[#This Row],[Montant des loyers perçus avant 1e échéance]])</f>
        <v>0</v>
      </c>
      <c r="CB21" s="159"/>
      <c r="CC21" s="64"/>
      <c r="CD21" s="64"/>
      <c r="CE21" s="290" t="str">
        <f t="shared" si="103"/>
        <v>0</v>
      </c>
      <c r="CF21" s="159"/>
      <c r="CG21" s="159"/>
      <c r="CH21" s="273" t="str">
        <f t="shared" si="104"/>
        <v>0</v>
      </c>
      <c r="CI21" s="159"/>
      <c r="CJ21" s="159"/>
      <c r="CK21" s="273" t="str">
        <f t="shared" si="105"/>
        <v>0</v>
      </c>
      <c r="CL21" s="64"/>
      <c r="CM21" s="159"/>
      <c r="CN21" s="273" t="str">
        <f t="shared" si="106"/>
        <v>0</v>
      </c>
      <c r="CO21" s="64"/>
      <c r="CP21" s="64"/>
      <c r="CQ21" s="273" t="str">
        <f t="shared" si="107"/>
        <v>0</v>
      </c>
      <c r="CR21" s="237"/>
      <c r="CS21" s="286"/>
      <c r="CT21" s="284"/>
      <c r="CU21" s="282"/>
      <c r="CV21" s="279"/>
      <c r="CW21" s="284"/>
      <c r="CX21" s="382">
        <v>44124</v>
      </c>
      <c r="CY21" s="178"/>
      <c r="CZ21" s="231">
        <f t="shared" si="109"/>
        <v>38.466666666666669</v>
      </c>
      <c r="DA21" s="279" t="str">
        <f t="shared" si="110"/>
        <v>0</v>
      </c>
      <c r="DB21" s="383">
        <v>16</v>
      </c>
      <c r="DC21" s="127">
        <f t="shared" si="111"/>
        <v>20</v>
      </c>
      <c r="DD21" s="277">
        <v>43739</v>
      </c>
      <c r="DE21" s="282">
        <f t="shared" ca="1" si="140"/>
        <v>43998</v>
      </c>
      <c r="DF21" s="279">
        <f t="shared" ca="1" si="112"/>
        <v>259</v>
      </c>
      <c r="DG21" s="766">
        <f>DATE(YEAR(DD21),MONTH(DD21)+2,DAY(DD21))</f>
        <v>43800</v>
      </c>
      <c r="DH21" s="295">
        <f t="shared" ca="1" si="141"/>
        <v>43998</v>
      </c>
      <c r="DI21" s="280">
        <f t="shared" ca="1" si="113"/>
        <v>198</v>
      </c>
      <c r="DJ21" s="282"/>
      <c r="DK21" s="282">
        <f t="shared" ca="1" si="142"/>
        <v>43998</v>
      </c>
      <c r="DL21" s="279" t="str">
        <f t="shared" ca="1" si="114"/>
        <v>0</v>
      </c>
      <c r="DM21" s="282"/>
      <c r="DN21" s="282">
        <f t="shared" ca="1" si="143"/>
        <v>43998</v>
      </c>
      <c r="DO21" s="279" t="str">
        <f t="shared" ca="1" si="115"/>
        <v>0</v>
      </c>
      <c r="DP21" s="283"/>
      <c r="DQ21" s="283"/>
      <c r="DR21" s="279" t="str">
        <f t="shared" si="116"/>
        <v>0</v>
      </c>
      <c r="DS21" s="282"/>
      <c r="DT21" s="282">
        <f t="shared" ca="1" si="144"/>
        <v>43998</v>
      </c>
      <c r="DU21" s="279" t="str">
        <f t="shared" ca="1" si="117"/>
        <v>0</v>
      </c>
      <c r="DV21" s="282"/>
      <c r="DW21" s="282">
        <f t="shared" ca="1" si="145"/>
        <v>43998</v>
      </c>
      <c r="DX21" s="279" t="str">
        <f t="shared" ca="1" si="118"/>
        <v>0</v>
      </c>
      <c r="DY21" s="282"/>
      <c r="DZ21" s="282"/>
      <c r="EA21" s="282"/>
      <c r="EB21" s="410">
        <f t="shared" si="119"/>
        <v>44612</v>
      </c>
      <c r="EC21" s="409">
        <f>DATE(YEAR(EB21),MONTH(EB21)+4,DAY(EB21))</f>
        <v>44732</v>
      </c>
      <c r="ED21" s="406">
        <f t="shared" si="120"/>
        <v>4</v>
      </c>
      <c r="EE21" s="513">
        <f t="shared" ca="1" si="146"/>
        <v>24.466666666666665</v>
      </c>
      <c r="EF21" s="408">
        <f t="shared" ca="1" si="147"/>
        <v>44728</v>
      </c>
      <c r="EG21" s="448"/>
      <c r="EH21" s="448"/>
      <c r="EI21" s="448"/>
      <c r="EJ21" s="242"/>
      <c r="EK21" s="456">
        <f t="shared" si="138"/>
        <v>44640</v>
      </c>
      <c r="EL21" s="409">
        <f t="shared" si="148"/>
        <v>44762</v>
      </c>
      <c r="EM21" s="314"/>
      <c r="EN21" s="404">
        <f>(DATEDIF(EK21,EL21,"d"))/30</f>
        <v>4.0666666666666664</v>
      </c>
      <c r="EO21" s="394">
        <v>9653.98</v>
      </c>
      <c r="EP21" s="131">
        <f t="shared" si="121"/>
        <v>39259.518666666663</v>
      </c>
      <c r="EQ21" s="60"/>
      <c r="ER21" s="60"/>
      <c r="ES21" s="742"/>
      <c r="ET21" s="300">
        <v>0</v>
      </c>
      <c r="EU21" s="300">
        <v>0</v>
      </c>
      <c r="EV21" s="300"/>
      <c r="EW21" s="300"/>
      <c r="EX21" s="300"/>
      <c r="EY21" s="416">
        <f t="shared" si="122"/>
        <v>0</v>
      </c>
      <c r="EZ21" s="297"/>
      <c r="FA21" s="308"/>
      <c r="FB21" s="308"/>
      <c r="FC21" s="297" t="s">
        <v>786</v>
      </c>
      <c r="FD21" s="89">
        <f t="shared" ca="1" si="123"/>
        <v>44728</v>
      </c>
      <c r="FE21" s="63"/>
      <c r="FF21" s="63"/>
      <c r="FG21" s="63"/>
      <c r="FH21" s="63"/>
      <c r="FI21" s="63"/>
      <c r="FJ21" s="22"/>
      <c r="FK21" s="146">
        <f t="shared" si="124"/>
        <v>45097</v>
      </c>
      <c r="FL21" s="146"/>
      <c r="FM21" s="146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451"/>
      <c r="GB21" s="471">
        <f>GD21+GG21+GJ21+HF21+Tableau6[[#This Row],[PRÊT CREDIT D''IMPOT (PM)]]</f>
        <v>4194548.7192525212</v>
      </c>
      <c r="GC21" s="645">
        <f t="shared" ref="GC21:GC31" si="157">GB21</f>
        <v>4194548.7192525212</v>
      </c>
      <c r="GD21" s="507">
        <f t="shared" si="137"/>
        <v>520000</v>
      </c>
      <c r="GE21" s="20">
        <f t="shared" si="125"/>
        <v>2439.0527195907075</v>
      </c>
      <c r="GF21" s="20">
        <f t="shared" si="126"/>
        <v>161328.79689432774</v>
      </c>
      <c r="GG21" s="503">
        <v>1352602</v>
      </c>
      <c r="GH21" s="351"/>
      <c r="GI21" s="11">
        <f t="shared" ref="GI21:GI31" si="158">GG21/AD21</f>
        <v>52023.153846153844</v>
      </c>
      <c r="GJ21" s="503">
        <f t="shared" si="127"/>
        <v>1801946.7192525216</v>
      </c>
      <c r="GK21" s="5">
        <f>GL21+GM21</f>
        <v>1801946.7192525216</v>
      </c>
      <c r="GL21" s="828">
        <v>462151.758421515</v>
      </c>
      <c r="GM21" s="828">
        <v>1339794.9608310065</v>
      </c>
      <c r="GN21" s="345">
        <f t="shared" si="128"/>
        <v>69305.643048173908</v>
      </c>
      <c r="GO21" s="829"/>
      <c r="GP21" s="5">
        <v>520000</v>
      </c>
      <c r="GQ21" s="35"/>
      <c r="GR21" s="18">
        <f t="shared" si="129"/>
        <v>0.12397042800176732</v>
      </c>
      <c r="GS21" s="45"/>
      <c r="GT21" s="45"/>
      <c r="GU21" s="5"/>
      <c r="GV21" s="20">
        <f t="shared" si="130"/>
        <v>20000</v>
      </c>
      <c r="GW21" s="20">
        <f t="shared" si="131"/>
        <v>72023.153846153844</v>
      </c>
      <c r="GX21" s="567"/>
      <c r="GY21" s="567"/>
      <c r="GZ21" s="567">
        <f t="shared" ref="GZ21:GZ26" si="159">(GG21+GP21+GY21)/AD21</f>
        <v>72023.153846153844</v>
      </c>
      <c r="HA21" s="567"/>
      <c r="HB21" s="567">
        <f t="shared" si="132"/>
        <v>72023.153846153844</v>
      </c>
      <c r="HC21" s="568">
        <f t="shared" ref="HC21:HC28" si="160">(GG21+GP21+GY21+HA21)/(GX21+GB21-HD21)</f>
        <v>0.44643706041724129</v>
      </c>
      <c r="HD21" s="567"/>
      <c r="HE21" s="567"/>
      <c r="HF21" s="503">
        <v>520000</v>
      </c>
      <c r="HG21" s="637">
        <f>(405730.42+17464)*1.021</f>
        <v>432081.50281999994</v>
      </c>
      <c r="HH21" s="634">
        <f t="shared" si="133"/>
        <v>0.10301024776200428</v>
      </c>
      <c r="HI21" s="633">
        <f t="shared" si="134"/>
        <v>3762467.2164325211</v>
      </c>
      <c r="HJ21" s="633" t="e">
        <f ca="1">IF(EE21&lt;DATEDIF(TODAY(),$HJ$1,"M"),HI21,(HI21/EE21*DATEDIF(TODAY(),$HJ$1,"M")))*0+296000+100000</f>
        <v>#VALUE!</v>
      </c>
      <c r="HK21" s="634" t="e">
        <f ca="1">(HJ21+HG21)/GB21</f>
        <v>#VALUE!</v>
      </c>
      <c r="HL21" s="633">
        <f>'[1]GLOBAL OPERATION'!$AG$64</f>
        <v>1400282.29</v>
      </c>
      <c r="HM21" s="633">
        <f t="shared" si="135"/>
        <v>-880282.29</v>
      </c>
      <c r="HN21" s="634">
        <f t="shared" si="136"/>
        <v>2.6928505576923079</v>
      </c>
      <c r="HO21" s="640" t="s">
        <v>753</v>
      </c>
      <c r="HP21" s="563">
        <v>519990.33999999997</v>
      </c>
      <c r="HQ21" s="47">
        <v>452000</v>
      </c>
      <c r="HR21" s="563"/>
      <c r="HS21" s="563">
        <f>SUM(Tableau6[[#This Row],[GO]:[CARRELAGE]])</f>
        <v>0</v>
      </c>
      <c r="HT21" s="461"/>
      <c r="HU21" s="461"/>
      <c r="HV21" s="461"/>
      <c r="HW21" s="461"/>
      <c r="HX21" s="461"/>
      <c r="HY21" s="461"/>
      <c r="HZ21" s="461"/>
      <c r="IA21" s="461"/>
      <c r="IB21" s="461"/>
      <c r="IC21" s="461"/>
      <c r="ID21" s="461"/>
      <c r="IE21" s="461"/>
      <c r="IF21" s="461"/>
      <c r="IG21" s="563">
        <v>483703</v>
      </c>
      <c r="IH21" s="563">
        <v>152000</v>
      </c>
      <c r="II21" s="563">
        <f>HP21+HR21+Tableau6[[#This Row],[TRAVAUX BATIS]]+Tableau6[[#This Row],[HONORAIRES]]+IH21</f>
        <v>1155693.3399999999</v>
      </c>
      <c r="IJ21" s="654">
        <f>Tableau6[[#This Row],[TOTAL PRP HT]]-Tableau6[[#This Row],[PRP TTC HORS FRAFU]]/1.021</f>
        <v>-2952581.6053991397</v>
      </c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</row>
    <row r="22" spans="1:256" ht="20.149999999999999" customHeight="1">
      <c r="A22" s="602" t="s">
        <v>707</v>
      </c>
      <c r="B22" s="10" t="s">
        <v>25</v>
      </c>
      <c r="C22" s="10" t="s">
        <v>88</v>
      </c>
      <c r="D22" s="2">
        <v>2020</v>
      </c>
      <c r="E22" s="10" t="s">
        <v>726</v>
      </c>
      <c r="F22" s="2" t="s">
        <v>16</v>
      </c>
      <c r="G22" s="2" t="s">
        <v>586</v>
      </c>
      <c r="H22" s="10" t="s">
        <v>859</v>
      </c>
      <c r="I22" s="22"/>
      <c r="J22" s="23" t="s">
        <v>708</v>
      </c>
      <c r="K22" s="102" t="s">
        <v>704</v>
      </c>
      <c r="L22" s="78"/>
      <c r="M22" s="51"/>
      <c r="N22" s="52"/>
      <c r="O22" s="108">
        <f>(2033+1261)/41*AD22</f>
        <v>1285.4634146341464</v>
      </c>
      <c r="P22" s="108"/>
      <c r="Q22" s="108"/>
      <c r="R22" s="103">
        <f t="shared" si="149"/>
        <v>0</v>
      </c>
      <c r="S22" s="103">
        <f t="shared" si="150"/>
        <v>0</v>
      </c>
      <c r="T22" s="109">
        <f t="shared" si="151"/>
        <v>0</v>
      </c>
      <c r="U22" s="109">
        <f t="shared" si="152"/>
        <v>0</v>
      </c>
      <c r="V22" s="109">
        <f t="shared" si="153"/>
        <v>0</v>
      </c>
      <c r="W22" s="103">
        <f t="shared" si="154"/>
        <v>80.341463414634148</v>
      </c>
      <c r="X22" s="110"/>
      <c r="Y22" s="447">
        <f t="shared" si="96"/>
        <v>124.46873102610807</v>
      </c>
      <c r="Z22" s="110"/>
      <c r="AA22" s="106"/>
      <c r="AB22" s="107"/>
      <c r="AC22" s="10" t="s">
        <v>9</v>
      </c>
      <c r="AD22" s="426">
        <f t="shared" si="97"/>
        <v>16</v>
      </c>
      <c r="AE22" s="426">
        <f t="shared" si="98"/>
        <v>16</v>
      </c>
      <c r="AF22" s="10">
        <v>16</v>
      </c>
      <c r="AG22" s="3"/>
      <c r="AH22" s="32"/>
      <c r="AI22" s="32"/>
      <c r="AJ22" s="26">
        <v>1260.5</v>
      </c>
      <c r="AK22" s="225">
        <v>1467.94</v>
      </c>
      <c r="AL22" s="492">
        <f t="shared" si="99"/>
        <v>78.78125</v>
      </c>
      <c r="AM22" s="4">
        <f t="shared" si="100"/>
        <v>91.746250000000003</v>
      </c>
      <c r="AN22" s="26">
        <v>6.57</v>
      </c>
      <c r="AO22" s="26">
        <v>6.57</v>
      </c>
      <c r="AP22" s="26"/>
      <c r="AQ22" s="39"/>
      <c r="AR22" s="39"/>
      <c r="AS22" s="39"/>
      <c r="AT22" s="28"/>
      <c r="AU22" s="26"/>
      <c r="AV22" s="53"/>
      <c r="AW22" s="352"/>
      <c r="AX22" s="352"/>
      <c r="AY22" s="26"/>
      <c r="AZ22" s="25" t="s">
        <v>386</v>
      </c>
      <c r="BA22" s="2" t="s">
        <v>94</v>
      </c>
      <c r="BB22" s="118"/>
      <c r="BC22" s="22"/>
      <c r="BD22" s="22"/>
      <c r="BE22" s="22"/>
      <c r="BF22" s="22"/>
      <c r="BG22" s="22"/>
      <c r="BH22" s="22"/>
      <c r="BI22" s="22"/>
      <c r="BJ22" s="548"/>
      <c r="BK22" s="548"/>
      <c r="BL22" s="549"/>
      <c r="BM22" s="547">
        <f t="shared" si="101"/>
        <v>0</v>
      </c>
      <c r="BN22" s="490" t="s">
        <v>229</v>
      </c>
      <c r="BO22" s="76"/>
      <c r="BP22" s="99"/>
      <c r="BQ22" s="536">
        <f t="shared" si="139"/>
        <v>0</v>
      </c>
      <c r="BR22" s="529"/>
      <c r="BS22" s="77"/>
      <c r="BT22" s="77"/>
      <c r="BU22" s="151"/>
      <c r="BV22" s="150">
        <f t="shared" si="102"/>
        <v>1096</v>
      </c>
      <c r="BW22" s="373"/>
      <c r="BX22" s="150" t="str">
        <f>IF(Tableau6[[#This Row],[Montant des loyers perçus avant 1e échéance]]&lt;BW22,"oui","non")</f>
        <v>non</v>
      </c>
      <c r="BY22" s="475">
        <f t="shared" si="155"/>
        <v>-1459.6333333333334</v>
      </c>
      <c r="BZ22" s="373">
        <f t="shared" si="156"/>
        <v>0</v>
      </c>
      <c r="CA22" s="373">
        <f>IF(BW22-BZ22&lt;0,0,Tableau6[[#This Row],[Montant échéance annuelle]]-Tableau6[[#This Row],[Montant des loyers perçus avant 1e échéance]])</f>
        <v>0</v>
      </c>
      <c r="CB22" s="159">
        <v>43656</v>
      </c>
      <c r="CC22" s="159">
        <v>43670</v>
      </c>
      <c r="CD22" s="159">
        <v>43670</v>
      </c>
      <c r="CE22" s="381">
        <f t="shared" si="103"/>
        <v>0</v>
      </c>
      <c r="CF22" s="64">
        <v>43753</v>
      </c>
      <c r="CG22" s="64">
        <v>43798</v>
      </c>
      <c r="CH22" s="273">
        <f t="shared" si="104"/>
        <v>45</v>
      </c>
      <c r="CI22" s="288">
        <v>43784</v>
      </c>
      <c r="CJ22" s="288"/>
      <c r="CK22" s="290" t="str">
        <f t="shared" si="105"/>
        <v>0</v>
      </c>
      <c r="CL22" s="288">
        <v>43862</v>
      </c>
      <c r="CM22" s="288"/>
      <c r="CN22" s="290" t="str">
        <f t="shared" si="106"/>
        <v>0</v>
      </c>
      <c r="CO22" s="288">
        <v>43936</v>
      </c>
      <c r="CP22" s="288"/>
      <c r="CQ22" s="290" t="str">
        <f t="shared" si="107"/>
        <v>0</v>
      </c>
      <c r="CR22" s="22"/>
      <c r="CS22" s="288"/>
      <c r="CT22" s="277">
        <v>44013</v>
      </c>
      <c r="CU22" s="278"/>
      <c r="CV22" s="279" t="str">
        <f t="shared" ref="CV22:CV53" si="161">IF(AND(CT22&gt;0,CU22&gt;0),CU22-CT22,"0")</f>
        <v>0</v>
      </c>
      <c r="CW22" s="277">
        <v>44105</v>
      </c>
      <c r="CX22" s="382">
        <v>44367</v>
      </c>
      <c r="CY22" s="429"/>
      <c r="CZ22" s="231">
        <f t="shared" si="109"/>
        <v>1478.9</v>
      </c>
      <c r="DA22" s="279">
        <f t="shared" si="110"/>
        <v>262</v>
      </c>
      <c r="DB22" s="383">
        <v>16</v>
      </c>
      <c r="DC22" s="127">
        <f t="shared" si="111"/>
        <v>16</v>
      </c>
      <c r="DD22" s="277"/>
      <c r="DE22" s="282">
        <f t="shared" ca="1" si="140"/>
        <v>43998</v>
      </c>
      <c r="DF22" s="279" t="str">
        <f t="shared" ca="1" si="112"/>
        <v>0</v>
      </c>
      <c r="DG22" s="766"/>
      <c r="DH22" s="295">
        <f t="shared" ca="1" si="141"/>
        <v>43998</v>
      </c>
      <c r="DI22" s="280" t="str">
        <f t="shared" ca="1" si="113"/>
        <v>0</v>
      </c>
      <c r="DJ22" s="281"/>
      <c r="DK22" s="282">
        <f t="shared" ca="1" si="142"/>
        <v>43998</v>
      </c>
      <c r="DL22" s="279" t="str">
        <f t="shared" ca="1" si="114"/>
        <v>0</v>
      </c>
      <c r="DM22" s="282"/>
      <c r="DN22" s="282">
        <f t="shared" ca="1" si="143"/>
        <v>43998</v>
      </c>
      <c r="DO22" s="279" t="str">
        <f t="shared" ca="1" si="115"/>
        <v>0</v>
      </c>
      <c r="DP22" s="283"/>
      <c r="DQ22" s="283"/>
      <c r="DR22" s="279" t="str">
        <f t="shared" si="116"/>
        <v>0</v>
      </c>
      <c r="DS22" s="282"/>
      <c r="DT22" s="282">
        <f t="shared" ca="1" si="144"/>
        <v>43998</v>
      </c>
      <c r="DU22" s="279" t="str">
        <f t="shared" ca="1" si="117"/>
        <v>0</v>
      </c>
      <c r="DV22" s="282"/>
      <c r="DW22" s="282">
        <f t="shared" ca="1" si="145"/>
        <v>43998</v>
      </c>
      <c r="DX22" s="279" t="str">
        <f t="shared" ca="1" si="118"/>
        <v>0</v>
      </c>
      <c r="DY22" s="283"/>
      <c r="DZ22" s="283"/>
      <c r="EA22" s="283"/>
      <c r="EB22" s="410">
        <f t="shared" si="119"/>
        <v>44854</v>
      </c>
      <c r="EC22" s="409">
        <f>DATE(YEAR(EB22),MONTH(EB22),DAY(EB22))</f>
        <v>44854</v>
      </c>
      <c r="ED22" s="406">
        <f t="shared" si="120"/>
        <v>0</v>
      </c>
      <c r="EE22" s="513">
        <f t="shared" ca="1" si="146"/>
        <v>28.533333333333335</v>
      </c>
      <c r="EF22" s="408">
        <f t="shared" ca="1" si="147"/>
        <v>44728</v>
      </c>
      <c r="EG22" s="282"/>
      <c r="EH22" s="448"/>
      <c r="EI22" s="448">
        <f>DATE(YEAR(EC22),MONTH(EC22)+4,DAY(EC22)+2)</f>
        <v>44979</v>
      </c>
      <c r="EJ22" s="242"/>
      <c r="EK22" s="456">
        <f t="shared" si="138"/>
        <v>44885</v>
      </c>
      <c r="EL22" s="409">
        <f t="shared" si="148"/>
        <v>44885</v>
      </c>
      <c r="EM22" s="314"/>
      <c r="EN22" s="404">
        <f>(EL22-EK22)/30</f>
        <v>0</v>
      </c>
      <c r="EO22" s="394"/>
      <c r="EP22" s="131">
        <f t="shared" si="121"/>
        <v>0</v>
      </c>
      <c r="EQ22" s="91"/>
      <c r="ER22" s="91"/>
      <c r="ES22" s="743"/>
      <c r="ET22" s="300"/>
      <c r="EU22" s="300"/>
      <c r="EV22" s="300"/>
      <c r="EW22" s="300"/>
      <c r="EX22" s="300"/>
      <c r="EY22" s="416">
        <f t="shared" si="122"/>
        <v>0</v>
      </c>
      <c r="EZ22" s="297"/>
      <c r="FA22" s="308"/>
      <c r="FB22" s="297"/>
      <c r="FC22" s="297" t="s">
        <v>798</v>
      </c>
      <c r="FD22" s="89">
        <f t="shared" ca="1" si="123"/>
        <v>44728</v>
      </c>
      <c r="FE22" s="63"/>
      <c r="FF22" s="63"/>
      <c r="FG22" s="63"/>
      <c r="FH22" s="63"/>
      <c r="FI22" s="63"/>
      <c r="FJ22" s="22"/>
      <c r="FK22" s="146">
        <f t="shared" si="124"/>
        <v>45219</v>
      </c>
      <c r="FL22" s="146"/>
      <c r="FM22" s="146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451"/>
      <c r="GB22" s="471">
        <f>GD22+GG22+GJ22+HF22+Tableau6[[#This Row],[PRÊT CREDIT D''IMPOT (PM)]]</f>
        <v>3240283.4299999997</v>
      </c>
      <c r="GC22" s="645">
        <f t="shared" si="157"/>
        <v>3240283.4299999997</v>
      </c>
      <c r="GD22" s="507">
        <f t="shared" si="137"/>
        <v>600000</v>
      </c>
      <c r="GE22" s="20">
        <f t="shared" si="125"/>
        <v>2207.3677602626808</v>
      </c>
      <c r="GF22" s="20">
        <f t="shared" si="126"/>
        <v>202517.71437499998</v>
      </c>
      <c r="GG22" s="503">
        <v>961146.48</v>
      </c>
      <c r="GH22" s="351"/>
      <c r="GI22" s="11">
        <f t="shared" si="158"/>
        <v>60071.654999999999</v>
      </c>
      <c r="GJ22" s="503">
        <f t="shared" si="127"/>
        <v>1679136.95</v>
      </c>
      <c r="GK22" s="5">
        <f>GL22+GM22</f>
        <v>1679136.95</v>
      </c>
      <c r="GL22" s="6">
        <v>259568.19</v>
      </c>
      <c r="GM22" s="6">
        <v>1419568.76</v>
      </c>
      <c r="GN22" s="345">
        <f t="shared" si="128"/>
        <v>104946.059375</v>
      </c>
      <c r="GO22" s="5"/>
      <c r="GP22" s="5">
        <v>600000</v>
      </c>
      <c r="GQ22" s="35"/>
      <c r="GR22" s="18">
        <f t="shared" si="129"/>
        <v>0.18516898689939604</v>
      </c>
      <c r="GS22" s="35"/>
      <c r="GT22" s="35"/>
      <c r="GU22" s="5"/>
      <c r="GV22" s="20">
        <f t="shared" si="130"/>
        <v>37500</v>
      </c>
      <c r="GW22" s="20">
        <f t="shared" si="131"/>
        <v>97571.654999999999</v>
      </c>
      <c r="GX22" s="567"/>
      <c r="GY22" s="567"/>
      <c r="GZ22" s="567">
        <f t="shared" si="159"/>
        <v>97571.654999999999</v>
      </c>
      <c r="HA22" s="567"/>
      <c r="HB22" s="567">
        <f t="shared" si="132"/>
        <v>97571.654999999999</v>
      </c>
      <c r="HC22" s="568">
        <f t="shared" si="160"/>
        <v>0.48179318683859707</v>
      </c>
      <c r="HD22" s="567"/>
      <c r="HE22" s="567"/>
      <c r="HF22" s="503"/>
      <c r="HG22" s="633"/>
      <c r="HH22" s="634">
        <f t="shared" si="133"/>
        <v>0</v>
      </c>
      <c r="HI22" s="633">
        <f t="shared" si="134"/>
        <v>3240283.4299999997</v>
      </c>
      <c r="HJ22" s="633" t="e">
        <f ca="1">IF(EE22&lt;DATEDIF(TODAY(),$HJ$1,"M"),HI22,(HI22/EE22*DATEDIF(TODAY(),$HJ$1,"M")))*0+70000</f>
        <v>#VALUE!</v>
      </c>
      <c r="HK22" s="634" t="e">
        <f ca="1">(HG22+HJ22)/GB22</f>
        <v>#VALUE!</v>
      </c>
      <c r="HL22" s="633"/>
      <c r="HM22" s="633">
        <f t="shared" si="135"/>
        <v>600000</v>
      </c>
      <c r="HN22" s="633">
        <f t="shared" si="136"/>
        <v>0</v>
      </c>
      <c r="HO22" s="633"/>
      <c r="HP22" s="563">
        <v>240089.40278434311</v>
      </c>
      <c r="HQ22" s="47">
        <v>153868</v>
      </c>
      <c r="HR22" s="563">
        <v>279800</v>
      </c>
      <c r="HS22" s="563">
        <f>SUM(Tableau6[[#This Row],[GO]:[CARRELAGE]])</f>
        <v>0</v>
      </c>
      <c r="HT22" s="461"/>
      <c r="HU22" s="461"/>
      <c r="HV22" s="461"/>
      <c r="HW22" s="461"/>
      <c r="HX22" s="461"/>
      <c r="HY22" s="461"/>
      <c r="HZ22" s="461"/>
      <c r="IA22" s="461"/>
      <c r="IB22" s="461"/>
      <c r="IC22" s="461"/>
      <c r="ID22" s="461"/>
      <c r="IE22" s="461"/>
      <c r="IF22" s="461"/>
      <c r="IG22" s="563">
        <v>372946</v>
      </c>
      <c r="IH22" s="563">
        <v>104518</v>
      </c>
      <c r="II22" s="563">
        <f>HP22+HR22+Tableau6[[#This Row],[TRAVAUX BATIS]]+Tableau6[[#This Row],[HONORAIRES]]+IH22</f>
        <v>997353.40278434311</v>
      </c>
      <c r="IJ22" s="654">
        <f>Tableau6[[#This Row],[TOTAL PRP HT]]-Tableau6[[#This Row],[PRP TTC HORS FRAFU]]/1.021</f>
        <v>-2176283.649125549</v>
      </c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</row>
    <row r="23" spans="1:256" ht="20.149999999999999" customHeight="1">
      <c r="A23" s="602" t="s">
        <v>706</v>
      </c>
      <c r="B23" s="10" t="s">
        <v>25</v>
      </c>
      <c r="C23" s="10" t="s">
        <v>88</v>
      </c>
      <c r="D23" s="2">
        <v>2020</v>
      </c>
      <c r="E23" s="10" t="s">
        <v>726</v>
      </c>
      <c r="F23" s="423"/>
      <c r="G23" s="423"/>
      <c r="H23" s="604"/>
      <c r="I23" s="22"/>
      <c r="J23" s="23" t="s">
        <v>705</v>
      </c>
      <c r="K23" s="102" t="s">
        <v>704</v>
      </c>
      <c r="L23" s="78"/>
      <c r="M23" s="51"/>
      <c r="N23" s="52"/>
      <c r="O23" s="108">
        <f>(2033+1261)/41*AD23</f>
        <v>2008.5365853658536</v>
      </c>
      <c r="P23" s="108"/>
      <c r="Q23" s="108"/>
      <c r="R23" s="103">
        <f t="shared" si="149"/>
        <v>0</v>
      </c>
      <c r="S23" s="103">
        <f t="shared" si="150"/>
        <v>0</v>
      </c>
      <c r="T23" s="109">
        <f t="shared" si="151"/>
        <v>0</v>
      </c>
      <c r="U23" s="109">
        <f t="shared" si="152"/>
        <v>0</v>
      </c>
      <c r="V23" s="109">
        <f t="shared" si="153"/>
        <v>0</v>
      </c>
      <c r="W23" s="103">
        <f t="shared" si="154"/>
        <v>80.341463414634148</v>
      </c>
      <c r="X23" s="110"/>
      <c r="Y23" s="447">
        <f t="shared" si="96"/>
        <v>124.46873102610807</v>
      </c>
      <c r="Z23" s="110"/>
      <c r="AA23" s="106"/>
      <c r="AB23" s="107"/>
      <c r="AC23" s="10" t="s">
        <v>10</v>
      </c>
      <c r="AD23" s="426">
        <f t="shared" si="97"/>
        <v>25</v>
      </c>
      <c r="AE23" s="426">
        <f t="shared" si="98"/>
        <v>25</v>
      </c>
      <c r="AF23" s="3"/>
      <c r="AG23" s="10">
        <v>25</v>
      </c>
      <c r="AH23" s="32"/>
      <c r="AI23" s="57"/>
      <c r="AJ23" s="26">
        <v>1309.3900000000001</v>
      </c>
      <c r="AK23" s="225">
        <v>1647.37</v>
      </c>
      <c r="AL23" s="492">
        <f t="shared" si="99"/>
        <v>52.375600000000006</v>
      </c>
      <c r="AM23" s="4">
        <f t="shared" si="100"/>
        <v>65.894799999999989</v>
      </c>
      <c r="AN23" s="26">
        <v>5.78</v>
      </c>
      <c r="AO23" s="26">
        <v>5.45</v>
      </c>
      <c r="AP23" s="26"/>
      <c r="AQ23" s="39"/>
      <c r="AR23" s="39"/>
      <c r="AS23" s="39"/>
      <c r="AT23" s="28"/>
      <c r="AU23" s="26"/>
      <c r="AV23" s="53"/>
      <c r="AW23" s="352"/>
      <c r="AX23" s="352"/>
      <c r="AY23" s="26"/>
      <c r="AZ23" s="25" t="s">
        <v>386</v>
      </c>
      <c r="BA23" s="2" t="s">
        <v>94</v>
      </c>
      <c r="BB23" s="118"/>
      <c r="BC23" s="22"/>
      <c r="BD23" s="22"/>
      <c r="BE23" s="22"/>
      <c r="BF23" s="22"/>
      <c r="BG23" s="22"/>
      <c r="BH23" s="22"/>
      <c r="BI23" s="22"/>
      <c r="BJ23" s="548"/>
      <c r="BK23" s="548"/>
      <c r="BL23" s="549"/>
      <c r="BM23" s="547">
        <f t="shared" si="101"/>
        <v>0</v>
      </c>
      <c r="BN23" s="490" t="s">
        <v>229</v>
      </c>
      <c r="BO23" s="76"/>
      <c r="BP23" s="99"/>
      <c r="BQ23" s="536">
        <f t="shared" si="139"/>
        <v>0</v>
      </c>
      <c r="BR23" s="529"/>
      <c r="BS23" s="77"/>
      <c r="BT23" s="77"/>
      <c r="BU23" s="151"/>
      <c r="BV23" s="150">
        <f t="shared" si="102"/>
        <v>1096</v>
      </c>
      <c r="BW23" s="373"/>
      <c r="BX23" s="150" t="str">
        <f>IF(Tableau6[[#This Row],[Montant des loyers perçus avant 1e échéance]]&lt;BW23,"oui","non")</f>
        <v>non</v>
      </c>
      <c r="BY23" s="475">
        <f t="shared" si="155"/>
        <v>-1459.6333333333334</v>
      </c>
      <c r="BZ23" s="373">
        <f t="shared" si="156"/>
        <v>0</v>
      </c>
      <c r="CA23" s="373">
        <f>IF(BW23-BZ23&lt;0,0,Tableau6[[#This Row],[Montant échéance annuelle]]-Tableau6[[#This Row],[Montant des loyers perçus avant 1e échéance]])</f>
        <v>0</v>
      </c>
      <c r="CB23" s="64"/>
      <c r="CC23" s="64"/>
      <c r="CD23" s="64"/>
      <c r="CE23" s="273" t="str">
        <f t="shared" si="103"/>
        <v>0</v>
      </c>
      <c r="CF23" s="64"/>
      <c r="CG23" s="64"/>
      <c r="CH23" s="273" t="str">
        <f t="shared" si="104"/>
        <v>0</v>
      </c>
      <c r="CI23" s="64"/>
      <c r="CJ23" s="64"/>
      <c r="CK23" s="273" t="str">
        <f t="shared" si="105"/>
        <v>0</v>
      </c>
      <c r="CL23" s="66"/>
      <c r="CM23" s="64"/>
      <c r="CN23" s="273" t="str">
        <f t="shared" si="106"/>
        <v>0</v>
      </c>
      <c r="CO23" s="64"/>
      <c r="CP23" s="64"/>
      <c r="CQ23" s="273" t="str">
        <f t="shared" si="107"/>
        <v>0</v>
      </c>
      <c r="CR23" s="57"/>
      <c r="CS23" s="64"/>
      <c r="CT23" s="226"/>
      <c r="CU23" s="117"/>
      <c r="CV23" s="279" t="str">
        <f t="shared" si="161"/>
        <v>0</v>
      </c>
      <c r="CW23" s="226"/>
      <c r="CX23" s="382">
        <v>44367</v>
      </c>
      <c r="CY23" s="429"/>
      <c r="CZ23" s="231">
        <f t="shared" si="109"/>
        <v>1478.9</v>
      </c>
      <c r="DA23" s="273" t="str">
        <f t="shared" si="110"/>
        <v>0</v>
      </c>
      <c r="DB23" s="383">
        <v>16</v>
      </c>
      <c r="DC23" s="127">
        <f t="shared" si="111"/>
        <v>16</v>
      </c>
      <c r="DD23" s="226"/>
      <c r="DE23" s="282">
        <f t="shared" ca="1" si="140"/>
        <v>43998</v>
      </c>
      <c r="DF23" s="279" t="str">
        <f t="shared" ca="1" si="112"/>
        <v>0</v>
      </c>
      <c r="DG23" s="766"/>
      <c r="DH23" s="295">
        <f t="shared" ca="1" si="141"/>
        <v>43998</v>
      </c>
      <c r="DI23" s="280" t="str">
        <f t="shared" ca="1" si="113"/>
        <v>0</v>
      </c>
      <c r="DJ23" s="281"/>
      <c r="DK23" s="282">
        <f t="shared" ca="1" si="142"/>
        <v>43998</v>
      </c>
      <c r="DL23" s="279" t="str">
        <f t="shared" ca="1" si="114"/>
        <v>0</v>
      </c>
      <c r="DM23" s="282"/>
      <c r="DN23" s="282">
        <f t="shared" ca="1" si="143"/>
        <v>43998</v>
      </c>
      <c r="DO23" s="279" t="str">
        <f t="shared" ca="1" si="115"/>
        <v>0</v>
      </c>
      <c r="DP23" s="283"/>
      <c r="DQ23" s="283"/>
      <c r="DR23" s="279" t="str">
        <f t="shared" si="116"/>
        <v>0</v>
      </c>
      <c r="DS23" s="282"/>
      <c r="DT23" s="282">
        <f t="shared" ca="1" si="144"/>
        <v>43998</v>
      </c>
      <c r="DU23" s="279" t="str">
        <f t="shared" ca="1" si="117"/>
        <v>0</v>
      </c>
      <c r="DV23" s="282"/>
      <c r="DW23" s="282">
        <f t="shared" ca="1" si="145"/>
        <v>43998</v>
      </c>
      <c r="DX23" s="279" t="str">
        <f t="shared" ca="1" si="118"/>
        <v>0</v>
      </c>
      <c r="DY23" s="283"/>
      <c r="DZ23" s="283"/>
      <c r="EA23" s="283"/>
      <c r="EB23" s="410">
        <f t="shared" si="119"/>
        <v>44854</v>
      </c>
      <c r="EC23" s="409">
        <f>DATE(YEAR(EB23),MONTH(EB23),DAY(EB23))</f>
        <v>44854</v>
      </c>
      <c r="ED23" s="406">
        <f t="shared" si="120"/>
        <v>0</v>
      </c>
      <c r="EE23" s="513">
        <f t="shared" ca="1" si="146"/>
        <v>28.533333333333335</v>
      </c>
      <c r="EF23" s="408">
        <f t="shared" ca="1" si="147"/>
        <v>44728</v>
      </c>
      <c r="EG23" s="282"/>
      <c r="EH23" s="448"/>
      <c r="EI23" s="448">
        <f>DATE(YEAR(EC23),MONTH(EC23)+4,DAY(EC23)+2)</f>
        <v>44979</v>
      </c>
      <c r="EJ23" s="312"/>
      <c r="EK23" s="456">
        <f t="shared" si="138"/>
        <v>44885</v>
      </c>
      <c r="EL23" s="409">
        <f t="shared" si="148"/>
        <v>44885</v>
      </c>
      <c r="EM23" s="314"/>
      <c r="EN23" s="404">
        <f>(EL23-EK23)/30</f>
        <v>0</v>
      </c>
      <c r="EO23" s="394"/>
      <c r="EP23" s="131">
        <f t="shared" si="121"/>
        <v>0</v>
      </c>
      <c r="EQ23" s="91"/>
      <c r="ER23" s="91"/>
      <c r="ES23" s="743"/>
      <c r="ET23" s="300"/>
      <c r="EU23" s="300"/>
      <c r="EV23" s="300"/>
      <c r="EW23" s="300"/>
      <c r="EX23" s="300"/>
      <c r="EY23" s="416">
        <f t="shared" si="122"/>
        <v>0</v>
      </c>
      <c r="EZ23" s="297"/>
      <c r="FA23" s="308"/>
      <c r="FB23" s="297"/>
      <c r="FC23" s="297"/>
      <c r="FD23" s="89">
        <f t="shared" ca="1" si="123"/>
        <v>44728</v>
      </c>
      <c r="FE23" s="63"/>
      <c r="FF23" s="63"/>
      <c r="FG23" s="63"/>
      <c r="FH23" s="63"/>
      <c r="FI23" s="63"/>
      <c r="FJ23" s="22"/>
      <c r="FK23" s="146">
        <f t="shared" si="124"/>
        <v>45219</v>
      </c>
      <c r="FL23" s="146"/>
      <c r="FM23" s="146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451"/>
      <c r="GB23" s="471">
        <f>GD23+GG23+GJ23+HF23+Tableau6[[#This Row],[PRÊT CREDIT D''IMPOT (PM)]]</f>
        <v>3532936.76</v>
      </c>
      <c r="GC23" s="645">
        <f t="shared" si="157"/>
        <v>3532936.76</v>
      </c>
      <c r="GD23" s="507">
        <f t="shared" si="137"/>
        <v>907000</v>
      </c>
      <c r="GE23" s="20">
        <f t="shared" si="125"/>
        <v>2144.5921438413957</v>
      </c>
      <c r="GF23" s="20">
        <f t="shared" si="126"/>
        <v>141317.47039999999</v>
      </c>
      <c r="GG23" s="503">
        <v>972082.3</v>
      </c>
      <c r="GH23" s="351"/>
      <c r="GI23" s="11">
        <f t="shared" si="158"/>
        <v>38883.292000000001</v>
      </c>
      <c r="GJ23" s="503">
        <f t="shared" si="127"/>
        <v>1653854.46</v>
      </c>
      <c r="GK23" s="5">
        <f>GL23+GM23</f>
        <v>1653854.46</v>
      </c>
      <c r="GL23" s="6">
        <v>210712.94</v>
      </c>
      <c r="GM23" s="6">
        <v>1443141.52</v>
      </c>
      <c r="GN23" s="345">
        <f t="shared" si="128"/>
        <v>66154.178400000004</v>
      </c>
      <c r="GO23" s="5"/>
      <c r="GP23" s="5">
        <v>907000</v>
      </c>
      <c r="GQ23" s="35"/>
      <c r="GR23" s="18">
        <f t="shared" si="129"/>
        <v>0.25672692765663885</v>
      </c>
      <c r="GS23" s="35"/>
      <c r="GT23" s="35"/>
      <c r="GU23" s="5"/>
      <c r="GV23" s="20">
        <f t="shared" si="130"/>
        <v>36280</v>
      </c>
      <c r="GW23" s="20">
        <f t="shared" si="131"/>
        <v>75163.292000000001</v>
      </c>
      <c r="GX23" s="567"/>
      <c r="GY23" s="567"/>
      <c r="GZ23" s="567">
        <f t="shared" si="159"/>
        <v>75163.292000000001</v>
      </c>
      <c r="HA23" s="567"/>
      <c r="HB23" s="567">
        <f t="shared" si="132"/>
        <v>75163.292000000001</v>
      </c>
      <c r="HC23" s="568">
        <f t="shared" si="160"/>
        <v>0.53187544177835788</v>
      </c>
      <c r="HD23" s="567"/>
      <c r="HE23" s="567"/>
      <c r="HF23" s="503"/>
      <c r="HG23" s="633"/>
      <c r="HH23" s="634">
        <f t="shared" si="133"/>
        <v>0</v>
      </c>
      <c r="HI23" s="633">
        <f t="shared" si="134"/>
        <v>3532936.76</v>
      </c>
      <c r="HJ23" s="633" t="e">
        <f ca="1">IF(EE23&lt;DATEDIF(TODAY(),$HJ$1,"M"),HI23,(HI23/EE23*DATEDIF(TODAY(),$HJ$1,"M")))*0+70000</f>
        <v>#VALUE!</v>
      </c>
      <c r="HK23" s="634" t="e">
        <f ca="1">(HG23+HJ23)/GB23</f>
        <v>#VALUE!</v>
      </c>
      <c r="HL23" s="633"/>
      <c r="HM23" s="633">
        <f t="shared" si="135"/>
        <v>907000</v>
      </c>
      <c r="HN23" s="633">
        <f t="shared" si="136"/>
        <v>0</v>
      </c>
      <c r="HO23" s="633"/>
      <c r="HP23" s="563">
        <v>154948</v>
      </c>
      <c r="HQ23" s="47">
        <v>137034</v>
      </c>
      <c r="HR23" s="563">
        <v>318790</v>
      </c>
      <c r="HS23" s="563">
        <f>SUM(Tableau6[[#This Row],[GO]:[CARRELAGE]])</f>
        <v>0</v>
      </c>
      <c r="HT23" s="461"/>
      <c r="HU23" s="461"/>
      <c r="HV23" s="461"/>
      <c r="HW23" s="461"/>
      <c r="HX23" s="461"/>
      <c r="HY23" s="461"/>
      <c r="HZ23" s="461"/>
      <c r="IA23" s="461"/>
      <c r="IB23" s="461"/>
      <c r="IC23" s="461"/>
      <c r="ID23" s="461"/>
      <c r="IE23" s="461"/>
      <c r="IF23" s="461"/>
      <c r="IG23" s="563">
        <v>413030</v>
      </c>
      <c r="IH23" s="563">
        <v>131382</v>
      </c>
      <c r="II23" s="563">
        <f>HP23+HR23+Tableau6[[#This Row],[TRAVAUX BATIS]]+Tableau6[[#This Row],[HONORAIRES]]+IH23</f>
        <v>1018150</v>
      </c>
      <c r="IJ23" s="654">
        <f>Tableau6[[#This Row],[TOTAL PRP HT]]-Tableau6[[#This Row],[PRP TTC HORS FRAFU]]/1.021</f>
        <v>-2442121.0675808033</v>
      </c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</row>
    <row r="24" spans="1:256" ht="27.75" customHeight="1">
      <c r="A24" s="765" t="s">
        <v>832</v>
      </c>
      <c r="B24" s="2" t="s">
        <v>21</v>
      </c>
      <c r="C24" s="2" t="s">
        <v>86</v>
      </c>
      <c r="D24" s="2">
        <v>2020</v>
      </c>
      <c r="E24" s="2" t="s">
        <v>743</v>
      </c>
      <c r="F24" s="2" t="s">
        <v>16</v>
      </c>
      <c r="G24" s="2" t="s">
        <v>329</v>
      </c>
      <c r="H24" s="2" t="s">
        <v>859</v>
      </c>
      <c r="I24" s="22"/>
      <c r="J24" s="22" t="s">
        <v>695</v>
      </c>
      <c r="K24" s="134"/>
      <c r="L24" s="78"/>
      <c r="M24" s="51"/>
      <c r="N24" s="52"/>
      <c r="O24" s="103">
        <f>4088/56*AD24</f>
        <v>1460</v>
      </c>
      <c r="P24" s="103">
        <f>550000/56*AD24</f>
        <v>196428.57142857142</v>
      </c>
      <c r="Q24" s="103"/>
      <c r="R24" s="103">
        <f t="shared" si="149"/>
        <v>9821.4285714285706</v>
      </c>
      <c r="S24" s="103">
        <f t="shared" si="150"/>
        <v>134.54011741682973</v>
      </c>
      <c r="T24" s="109">
        <f t="shared" si="151"/>
        <v>0</v>
      </c>
      <c r="U24" s="109">
        <f t="shared" si="152"/>
        <v>0</v>
      </c>
      <c r="V24" s="109">
        <f t="shared" si="153"/>
        <v>0</v>
      </c>
      <c r="W24" s="103">
        <f t="shared" si="154"/>
        <v>73</v>
      </c>
      <c r="X24" s="104"/>
      <c r="Y24" s="447">
        <f t="shared" si="96"/>
        <v>136.98630136986301</v>
      </c>
      <c r="Z24" s="104" t="s">
        <v>696</v>
      </c>
      <c r="AA24" s="106">
        <v>560</v>
      </c>
      <c r="AB24" s="107">
        <v>0.15</v>
      </c>
      <c r="AC24" s="10" t="s">
        <v>9</v>
      </c>
      <c r="AD24" s="426">
        <f t="shared" si="97"/>
        <v>20</v>
      </c>
      <c r="AE24" s="426">
        <f t="shared" si="98"/>
        <v>20</v>
      </c>
      <c r="AF24" s="2">
        <v>20</v>
      </c>
      <c r="AG24" s="3"/>
      <c r="AH24" s="32"/>
      <c r="AI24" s="32"/>
      <c r="AJ24" s="615">
        <v>935.05</v>
      </c>
      <c r="AK24" s="225">
        <v>975.5</v>
      </c>
      <c r="AL24" s="492">
        <f t="shared" si="99"/>
        <v>46.752499999999998</v>
      </c>
      <c r="AM24" s="4">
        <f t="shared" si="100"/>
        <v>48.774999999999999</v>
      </c>
      <c r="AN24" s="26">
        <v>8.0299999999999994</v>
      </c>
      <c r="AO24" s="26">
        <v>6.85</v>
      </c>
      <c r="AP24" s="26"/>
      <c r="AQ24" s="39"/>
      <c r="AR24" s="39"/>
      <c r="AS24" s="39"/>
      <c r="AT24" s="39"/>
      <c r="AU24" s="39"/>
      <c r="AV24" s="4"/>
      <c r="AW24" s="37"/>
      <c r="AX24" s="37"/>
      <c r="AY24" s="26"/>
      <c r="AZ24" s="22" t="s">
        <v>386</v>
      </c>
      <c r="BA24" s="2" t="s">
        <v>94</v>
      </c>
      <c r="BB24" s="118"/>
      <c r="BC24" s="22"/>
      <c r="BD24" s="332"/>
      <c r="BE24" s="332"/>
      <c r="BF24" s="89"/>
      <c r="BG24" s="89"/>
      <c r="BH24" s="56">
        <v>43781</v>
      </c>
      <c r="BI24" s="22"/>
      <c r="BJ24" s="548"/>
      <c r="BK24" s="548"/>
      <c r="BL24" s="549"/>
      <c r="BM24" s="547">
        <f t="shared" si="101"/>
        <v>0</v>
      </c>
      <c r="BN24" s="490" t="s">
        <v>229</v>
      </c>
      <c r="BO24" s="76"/>
      <c r="BP24" s="99"/>
      <c r="BQ24" s="536">
        <f t="shared" si="139"/>
        <v>0</v>
      </c>
      <c r="BR24" s="529"/>
      <c r="BS24" s="77"/>
      <c r="BT24" s="77"/>
      <c r="BU24" s="151"/>
      <c r="BV24" s="150">
        <f t="shared" si="102"/>
        <v>1096</v>
      </c>
      <c r="BW24" s="373"/>
      <c r="BX24" s="150" t="str">
        <f>IF(Tableau6[[#This Row],[Montant des loyers perçus avant 1e échéance]]&lt;BW24,"oui","non")</f>
        <v>non</v>
      </c>
      <c r="BY24" s="475">
        <f t="shared" si="155"/>
        <v>-1460.6333333333334</v>
      </c>
      <c r="BZ24" s="373">
        <f t="shared" si="156"/>
        <v>0</v>
      </c>
      <c r="CA24" s="373">
        <f>IF(BW24-BZ24&lt;0,0,Tableau6[[#This Row],[Montant échéance annuelle]]-Tableau6[[#This Row],[Montant des loyers perçus avant 1e échéance]])</f>
        <v>0</v>
      </c>
      <c r="CB24" s="64"/>
      <c r="CC24" s="64"/>
      <c r="CD24" s="64"/>
      <c r="CE24" s="273"/>
      <c r="CF24" s="64"/>
      <c r="CG24" s="64"/>
      <c r="CH24" s="273"/>
      <c r="CI24" s="64"/>
      <c r="CJ24" s="64"/>
      <c r="CK24" s="273"/>
      <c r="CL24" s="288"/>
      <c r="CM24" s="288"/>
      <c r="CN24" s="290"/>
      <c r="CO24" s="288"/>
      <c r="CP24" s="288"/>
      <c r="CQ24" s="290" t="str">
        <f t="shared" si="107"/>
        <v>0</v>
      </c>
      <c r="CR24" s="237"/>
      <c r="CS24" s="288"/>
      <c r="CT24" s="277"/>
      <c r="CU24" s="278"/>
      <c r="CV24" s="279" t="str">
        <f t="shared" si="161"/>
        <v>0</v>
      </c>
      <c r="CW24" s="277"/>
      <c r="CX24" s="382">
        <v>44306</v>
      </c>
      <c r="CY24" s="178"/>
      <c r="CZ24" s="231">
        <f t="shared" si="109"/>
        <v>1476.8666666666666</v>
      </c>
      <c r="DA24" s="279" t="str">
        <f t="shared" si="110"/>
        <v>0</v>
      </c>
      <c r="DB24" s="383">
        <v>16</v>
      </c>
      <c r="DC24" s="127">
        <f t="shared" si="111"/>
        <v>19</v>
      </c>
      <c r="DD24" s="277"/>
      <c r="DE24" s="282">
        <f t="shared" ca="1" si="140"/>
        <v>43998</v>
      </c>
      <c r="DF24" s="279" t="str">
        <f t="shared" ca="1" si="112"/>
        <v>0</v>
      </c>
      <c r="DG24" s="766"/>
      <c r="DH24" s="295">
        <f t="shared" ca="1" si="141"/>
        <v>43998</v>
      </c>
      <c r="DI24" s="280" t="str">
        <f t="shared" ca="1" si="113"/>
        <v>0</v>
      </c>
      <c r="DJ24" s="281"/>
      <c r="DK24" s="282">
        <f t="shared" ca="1" si="142"/>
        <v>43998</v>
      </c>
      <c r="DL24" s="279" t="str">
        <f t="shared" ca="1" si="114"/>
        <v>0</v>
      </c>
      <c r="DM24" s="282"/>
      <c r="DN24" s="282">
        <f t="shared" ca="1" si="143"/>
        <v>43998</v>
      </c>
      <c r="DO24" s="279" t="str">
        <f t="shared" ca="1" si="115"/>
        <v>0</v>
      </c>
      <c r="DP24" s="283"/>
      <c r="DQ24" s="283"/>
      <c r="DR24" s="279" t="str">
        <f t="shared" si="116"/>
        <v>0</v>
      </c>
      <c r="DS24" s="282"/>
      <c r="DT24" s="282">
        <f t="shared" ca="1" si="144"/>
        <v>43998</v>
      </c>
      <c r="DU24" s="279" t="str">
        <f t="shared" ca="1" si="117"/>
        <v>0</v>
      </c>
      <c r="DV24" s="282"/>
      <c r="DW24" s="282">
        <f t="shared" ca="1" si="145"/>
        <v>43998</v>
      </c>
      <c r="DX24" s="279" t="str">
        <f t="shared" ca="1" si="118"/>
        <v>0</v>
      </c>
      <c r="DY24" s="282"/>
      <c r="DZ24" s="282"/>
      <c r="EA24" s="282"/>
      <c r="EB24" s="410">
        <f t="shared" si="119"/>
        <v>44793</v>
      </c>
      <c r="EC24" s="409">
        <f>DATE(YEAR(EB24),MONTH(EB24)+3,DAY(EB24))</f>
        <v>44885</v>
      </c>
      <c r="ED24" s="406">
        <f t="shared" si="120"/>
        <v>3.0666666666666669</v>
      </c>
      <c r="EE24" s="513">
        <f t="shared" ca="1" si="146"/>
        <v>29.566666666666666</v>
      </c>
      <c r="EF24" s="408">
        <f t="shared" ca="1" si="147"/>
        <v>44728</v>
      </c>
      <c r="EG24" s="448"/>
      <c r="EH24" s="448"/>
      <c r="EI24" s="448">
        <f>DATE(YEAR(EC24),MONTH(EC24)+4,DAY(EC24)+2)</f>
        <v>45007</v>
      </c>
      <c r="EJ24" s="242"/>
      <c r="EK24" s="456"/>
      <c r="EL24" s="409">
        <f t="shared" si="148"/>
        <v>44915</v>
      </c>
      <c r="EM24" s="314"/>
      <c r="EN24" s="404">
        <f>(EL24-EK24)/30</f>
        <v>1497.1666666666667</v>
      </c>
      <c r="EO24" s="394"/>
      <c r="EP24" s="131">
        <f t="shared" si="121"/>
        <v>0</v>
      </c>
      <c r="EQ24" s="60"/>
      <c r="ER24" s="60"/>
      <c r="ES24" s="742"/>
      <c r="ET24" s="300"/>
      <c r="EU24" s="300"/>
      <c r="EV24" s="300"/>
      <c r="EW24" s="300"/>
      <c r="EX24" s="300"/>
      <c r="EY24" s="416">
        <f t="shared" si="122"/>
        <v>0</v>
      </c>
      <c r="EZ24" s="297"/>
      <c r="FA24" s="308"/>
      <c r="FB24" s="297"/>
      <c r="FC24" s="297"/>
      <c r="FD24" s="89"/>
      <c r="FE24" s="63"/>
      <c r="FF24" s="63"/>
      <c r="FG24" s="63"/>
      <c r="FH24" s="63"/>
      <c r="FI24" s="63"/>
      <c r="FJ24" s="22"/>
      <c r="FK24" s="146">
        <f t="shared" si="124"/>
        <v>45250</v>
      </c>
      <c r="FL24" s="146"/>
      <c r="FM24" s="146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451"/>
      <c r="GB24" s="471">
        <f>GD24+GG24+GJ24+HF24+Tableau6[[#This Row],[PRÊT CREDIT D''IMPOT (PM)]]</f>
        <v>2461050.8927599667</v>
      </c>
      <c r="GC24" s="645">
        <f t="shared" si="157"/>
        <v>2461050.8927599667</v>
      </c>
      <c r="GD24" s="507">
        <f t="shared" si="137"/>
        <v>559388.93999999994</v>
      </c>
      <c r="GE24" s="20">
        <f t="shared" si="125"/>
        <v>2522.8609869399966</v>
      </c>
      <c r="GF24" s="20">
        <f t="shared" si="126"/>
        <v>123052.54463799833</v>
      </c>
      <c r="GG24" s="503">
        <v>691273.95275996672</v>
      </c>
      <c r="GH24" s="351"/>
      <c r="GI24" s="11">
        <f t="shared" si="158"/>
        <v>34563.697637998339</v>
      </c>
      <c r="GJ24" s="503">
        <f t="shared" si="127"/>
        <v>1210388</v>
      </c>
      <c r="GK24" s="5">
        <f>GL24+GM24</f>
        <v>1210388</v>
      </c>
      <c r="GL24" s="6">
        <v>278123</v>
      </c>
      <c r="GM24" s="6">
        <v>932265</v>
      </c>
      <c r="GN24" s="345">
        <f t="shared" si="128"/>
        <v>60519.4</v>
      </c>
      <c r="GO24" s="5"/>
      <c r="GP24" s="5">
        <v>500000</v>
      </c>
      <c r="GQ24" s="35"/>
      <c r="GR24" s="18">
        <f t="shared" si="129"/>
        <v>0.20316524191796403</v>
      </c>
      <c r="GS24" s="35"/>
      <c r="GT24" s="35"/>
      <c r="GU24" s="5">
        <v>59388.94</v>
      </c>
      <c r="GV24" s="20">
        <f t="shared" si="130"/>
        <v>25000</v>
      </c>
      <c r="GW24" s="20">
        <f t="shared" si="131"/>
        <v>59563.697637998339</v>
      </c>
      <c r="GX24" s="567"/>
      <c r="GY24" s="567"/>
      <c r="GZ24" s="567">
        <f t="shared" si="159"/>
        <v>59563.697637998339</v>
      </c>
      <c r="HA24" s="567"/>
      <c r="HB24" s="567">
        <f t="shared" si="132"/>
        <v>59563.697637998339</v>
      </c>
      <c r="HC24" s="568">
        <f t="shared" si="160"/>
        <v>0.48405092160609581</v>
      </c>
      <c r="HD24" s="567"/>
      <c r="HE24" s="567"/>
      <c r="HF24" s="503"/>
      <c r="HG24" s="633"/>
      <c r="HH24" s="634">
        <f t="shared" si="133"/>
        <v>0</v>
      </c>
      <c r="HI24" s="633">
        <f t="shared" si="134"/>
        <v>2461050.8927599667</v>
      </c>
      <c r="HJ24" s="633" t="e">
        <f ca="1">IF(EE24&lt;DATEDIF(TODAY(),$HJ$1,"M"),HI24,(HI24/EE24*DATEDIF(TODAY(),$HJ$1,"M")))*0+100000</f>
        <v>#VALUE!</v>
      </c>
      <c r="HK24" s="634" t="e">
        <f ca="1">(HG24+HJ24)/GB24</f>
        <v>#VALUE!</v>
      </c>
      <c r="HL24" s="633"/>
      <c r="HM24" s="633">
        <f t="shared" si="135"/>
        <v>559388.93999999994</v>
      </c>
      <c r="HN24" s="633">
        <f t="shared" si="136"/>
        <v>0</v>
      </c>
      <c r="HO24" s="633"/>
      <c r="HP24" s="563"/>
      <c r="HQ24" s="47"/>
      <c r="HR24" s="563"/>
      <c r="HS24" s="563">
        <f>SUM(Tableau6[[#This Row],[GO]:[CARRELAGE]])</f>
        <v>0</v>
      </c>
      <c r="HT24" s="461"/>
      <c r="HU24" s="461"/>
      <c r="HV24" s="461"/>
      <c r="HW24" s="461"/>
      <c r="HX24" s="461"/>
      <c r="HY24" s="461"/>
      <c r="HZ24" s="461"/>
      <c r="IA24" s="461"/>
      <c r="IB24" s="461"/>
      <c r="IC24" s="461"/>
      <c r="ID24" s="461"/>
      <c r="IE24" s="461"/>
      <c r="IF24" s="461"/>
      <c r="IG24" s="563"/>
      <c r="IH24" s="563"/>
      <c r="II24" s="563">
        <f>HP24+HR24+Tableau6[[#This Row],[TRAVAUX BATIS]]+Tableau6[[#This Row],[HONORAIRES]]+IH24</f>
        <v>0</v>
      </c>
      <c r="IJ24" s="654">
        <f>Tableau6[[#This Row],[TOTAL PRP HT]]-Tableau6[[#This Row],[PRP TTC HORS FRAFU]]/1.021</f>
        <v>-2410431.8244465888</v>
      </c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</row>
    <row r="25" spans="1:256" ht="20.149999999999999" customHeight="1">
      <c r="A25" s="765" t="s">
        <v>833</v>
      </c>
      <c r="B25" s="2" t="s">
        <v>21</v>
      </c>
      <c r="C25" s="2" t="s">
        <v>86</v>
      </c>
      <c r="D25" s="2">
        <v>2020</v>
      </c>
      <c r="E25" s="2" t="s">
        <v>743</v>
      </c>
      <c r="F25" s="423"/>
      <c r="G25" s="423"/>
      <c r="H25" s="423"/>
      <c r="I25" s="22"/>
      <c r="J25" s="22" t="s">
        <v>695</v>
      </c>
      <c r="K25" s="134" t="s">
        <v>639</v>
      </c>
      <c r="L25" s="78"/>
      <c r="M25" s="51"/>
      <c r="N25" s="52"/>
      <c r="O25" s="103">
        <f>4088/56*AD25</f>
        <v>2628</v>
      </c>
      <c r="P25" s="103">
        <f>550000/56*AD25</f>
        <v>353571.42857142852</v>
      </c>
      <c r="Q25" s="103"/>
      <c r="R25" s="103">
        <f t="shared" si="149"/>
        <v>9821.4285714285706</v>
      </c>
      <c r="S25" s="103">
        <f t="shared" si="150"/>
        <v>134.54011741682973</v>
      </c>
      <c r="T25" s="109">
        <f t="shared" si="151"/>
        <v>0</v>
      </c>
      <c r="U25" s="109">
        <f t="shared" si="152"/>
        <v>0</v>
      </c>
      <c r="V25" s="109">
        <f t="shared" si="153"/>
        <v>0</v>
      </c>
      <c r="W25" s="103">
        <f t="shared" si="154"/>
        <v>73</v>
      </c>
      <c r="X25" s="104"/>
      <c r="Y25" s="447">
        <f t="shared" si="96"/>
        <v>136.98630136986301</v>
      </c>
      <c r="Z25" s="104" t="s">
        <v>696</v>
      </c>
      <c r="AA25" s="106">
        <v>560</v>
      </c>
      <c r="AB25" s="107">
        <v>0.15</v>
      </c>
      <c r="AC25" s="2" t="s">
        <v>10</v>
      </c>
      <c r="AD25" s="426">
        <f t="shared" si="97"/>
        <v>36</v>
      </c>
      <c r="AE25" s="426">
        <f t="shared" si="98"/>
        <v>36</v>
      </c>
      <c r="AF25" s="3"/>
      <c r="AG25" s="2">
        <v>36</v>
      </c>
      <c r="AH25" s="32"/>
      <c r="AI25" s="362"/>
      <c r="AJ25" s="614">
        <v>1667.16</v>
      </c>
      <c r="AK25" s="225">
        <v>1816.85</v>
      </c>
      <c r="AL25" s="492">
        <f t="shared" si="99"/>
        <v>46.31</v>
      </c>
      <c r="AM25" s="4">
        <f t="shared" si="100"/>
        <v>50.468055555555551</v>
      </c>
      <c r="AN25" s="26">
        <v>5.78</v>
      </c>
      <c r="AO25" s="26">
        <v>5.78</v>
      </c>
      <c r="AP25" s="26"/>
      <c r="AQ25" s="39"/>
      <c r="AR25" s="39"/>
      <c r="AS25" s="39"/>
      <c r="AT25" s="39"/>
      <c r="AU25" s="39"/>
      <c r="AV25" s="4"/>
      <c r="AW25" s="37"/>
      <c r="AX25" s="39"/>
      <c r="AY25" s="26"/>
      <c r="AZ25" s="22" t="s">
        <v>386</v>
      </c>
      <c r="BA25" s="2" t="s">
        <v>94</v>
      </c>
      <c r="BB25" s="22"/>
      <c r="BC25" s="22"/>
      <c r="BD25" s="22"/>
      <c r="BE25" s="22"/>
      <c r="BF25" s="123" t="s">
        <v>830</v>
      </c>
      <c r="BG25" s="325"/>
      <c r="BH25" s="56">
        <v>43781</v>
      </c>
      <c r="BI25" s="89"/>
      <c r="BJ25" s="548"/>
      <c r="BK25" s="548"/>
      <c r="BL25" s="549"/>
      <c r="BM25" s="547">
        <f t="shared" si="101"/>
        <v>0</v>
      </c>
      <c r="BN25" s="490" t="s">
        <v>229</v>
      </c>
      <c r="BO25" s="76"/>
      <c r="BP25" s="99"/>
      <c r="BQ25" s="536">
        <f t="shared" si="139"/>
        <v>0</v>
      </c>
      <c r="BR25" s="529"/>
      <c r="BS25" s="77"/>
      <c r="BT25" s="77"/>
      <c r="BU25" s="151"/>
      <c r="BV25" s="150">
        <f t="shared" si="102"/>
        <v>1096</v>
      </c>
      <c r="BW25" s="373"/>
      <c r="BX25" s="150" t="str">
        <f>IF(Tableau6[[#This Row],[Montant des loyers perçus avant 1e échéance]]&lt;BW25,"oui","non")</f>
        <v>non</v>
      </c>
      <c r="BY25" s="475">
        <f t="shared" si="155"/>
        <v>-1460.6333333333334</v>
      </c>
      <c r="BZ25" s="373">
        <f t="shared" si="156"/>
        <v>0</v>
      </c>
      <c r="CA25" s="373">
        <f>IF(BW25-BZ25&lt;0,0,Tableau6[[#This Row],[Montant échéance annuelle]]-Tableau6[[#This Row],[Montant des loyers perçus avant 1e échéance]])</f>
        <v>0</v>
      </c>
      <c r="CB25" s="293">
        <v>43669</v>
      </c>
      <c r="CC25" s="288">
        <v>43669</v>
      </c>
      <c r="CD25" s="288">
        <v>43675</v>
      </c>
      <c r="CE25" s="290">
        <f t="shared" ref="CE25:CE35" si="162">IF(AND(CC25&gt;0,CD25&gt;0),CD25-CC25,"0")</f>
        <v>6</v>
      </c>
      <c r="CF25" s="288">
        <v>43753</v>
      </c>
      <c r="CG25" s="288"/>
      <c r="CH25" s="290" t="str">
        <f t="shared" ref="CH25:CH35" si="163">IF(AND(CF25&gt;0,CG25&gt;0),CG25-CF25,"0")</f>
        <v>0</v>
      </c>
      <c r="CI25" s="288">
        <v>43770</v>
      </c>
      <c r="CJ25" s="288"/>
      <c r="CK25" s="290" t="str">
        <f t="shared" ref="CK25:CK35" si="164">IF(AND(CI25&gt;0,CJ25&gt;0),CJ25-CI25,"0")</f>
        <v>0</v>
      </c>
      <c r="CL25" s="288">
        <v>43845</v>
      </c>
      <c r="CM25" s="288"/>
      <c r="CN25" s="290" t="str">
        <f t="shared" ref="CN25:CN35" si="165">IF(AND(CL25&gt;0,CM25&gt;0),CM25-CL25,"0")</f>
        <v>0</v>
      </c>
      <c r="CO25" s="288">
        <v>43891</v>
      </c>
      <c r="CP25" s="288"/>
      <c r="CQ25" s="290" t="str">
        <f t="shared" si="107"/>
        <v>0</v>
      </c>
      <c r="CR25" s="237"/>
      <c r="CS25" s="286"/>
      <c r="CT25" s="277">
        <v>44044</v>
      </c>
      <c r="CU25" s="282"/>
      <c r="CV25" s="279" t="str">
        <f t="shared" si="161"/>
        <v>0</v>
      </c>
      <c r="CW25" s="277"/>
      <c r="CX25" s="382">
        <v>44306</v>
      </c>
      <c r="CY25" s="178"/>
      <c r="CZ25" s="231">
        <f t="shared" si="109"/>
        <v>1476.8666666666666</v>
      </c>
      <c r="DA25" s="279" t="str">
        <f t="shared" si="110"/>
        <v>0</v>
      </c>
      <c r="DB25" s="383">
        <v>16</v>
      </c>
      <c r="DC25" s="127">
        <f t="shared" si="111"/>
        <v>19</v>
      </c>
      <c r="DD25" s="277"/>
      <c r="DE25" s="282">
        <f t="shared" ca="1" si="140"/>
        <v>43998</v>
      </c>
      <c r="DF25" s="279" t="str">
        <f t="shared" ca="1" si="112"/>
        <v>0</v>
      </c>
      <c r="DG25" s="766"/>
      <c r="DH25" s="295">
        <f t="shared" ca="1" si="141"/>
        <v>43998</v>
      </c>
      <c r="DI25" s="280" t="str">
        <f t="shared" ca="1" si="113"/>
        <v>0</v>
      </c>
      <c r="DJ25" s="281"/>
      <c r="DK25" s="282">
        <f t="shared" ca="1" si="142"/>
        <v>43998</v>
      </c>
      <c r="DL25" s="279" t="str">
        <f t="shared" ca="1" si="114"/>
        <v>0</v>
      </c>
      <c r="DM25" s="282"/>
      <c r="DN25" s="282">
        <f t="shared" ca="1" si="143"/>
        <v>43998</v>
      </c>
      <c r="DO25" s="279" t="str">
        <f t="shared" ca="1" si="115"/>
        <v>0</v>
      </c>
      <c r="DP25" s="283"/>
      <c r="DQ25" s="283"/>
      <c r="DR25" s="279" t="str">
        <f t="shared" si="116"/>
        <v>0</v>
      </c>
      <c r="DS25" s="282"/>
      <c r="DT25" s="282">
        <f t="shared" ca="1" si="144"/>
        <v>43998</v>
      </c>
      <c r="DU25" s="279" t="str">
        <f t="shared" ca="1" si="117"/>
        <v>0</v>
      </c>
      <c r="DV25" s="282"/>
      <c r="DW25" s="282">
        <f t="shared" ca="1" si="145"/>
        <v>43998</v>
      </c>
      <c r="DX25" s="279" t="str">
        <f t="shared" ca="1" si="118"/>
        <v>0</v>
      </c>
      <c r="DY25" s="283"/>
      <c r="DZ25" s="283"/>
      <c r="EA25" s="283"/>
      <c r="EB25" s="410">
        <f t="shared" si="119"/>
        <v>44793</v>
      </c>
      <c r="EC25" s="409">
        <f>DATE(YEAR(EB25),MONTH(EB25)+3,DAY(EB25))</f>
        <v>44885</v>
      </c>
      <c r="ED25" s="406">
        <f t="shared" si="120"/>
        <v>3.0666666666666669</v>
      </c>
      <c r="EE25" s="513">
        <f t="shared" ca="1" si="146"/>
        <v>29.566666666666666</v>
      </c>
      <c r="EF25" s="408">
        <f t="shared" ca="1" si="147"/>
        <v>44728</v>
      </c>
      <c r="EG25" s="448"/>
      <c r="EH25" s="448"/>
      <c r="EI25" s="448">
        <f>DATE(YEAR(EC25),MONTH(EC25)+4,DAY(EC25)+2)</f>
        <v>45007</v>
      </c>
      <c r="EJ25" s="312"/>
      <c r="EK25" s="456">
        <f t="shared" ref="EK25:EK38" si="166">DATE(YEAR(EB25),MONTH(EB25)+1,DAY(EB25))</f>
        <v>44824</v>
      </c>
      <c r="EL25" s="409">
        <f t="shared" si="148"/>
        <v>44915</v>
      </c>
      <c r="EM25" s="314"/>
      <c r="EN25" s="404">
        <f>(EL25-EK25)/30</f>
        <v>3.0333333333333332</v>
      </c>
      <c r="EO25" s="394"/>
      <c r="EP25" s="131">
        <f t="shared" si="121"/>
        <v>0</v>
      </c>
      <c r="EQ25" s="60"/>
      <c r="ER25" s="60"/>
      <c r="ES25" s="742"/>
      <c r="ET25" s="300"/>
      <c r="EU25" s="300"/>
      <c r="EV25" s="300"/>
      <c r="EW25" s="300"/>
      <c r="EX25" s="300"/>
      <c r="EY25" s="416">
        <f t="shared" si="122"/>
        <v>0</v>
      </c>
      <c r="EZ25" s="297"/>
      <c r="FA25" s="308"/>
      <c r="FB25" s="297"/>
      <c r="FC25" s="297"/>
      <c r="FD25" s="89">
        <f t="shared" ref="FD25:FD56" ca="1" si="167">DATE(YEAR(DH25),MONTH(DH25)+24,DAY(DH25))</f>
        <v>44728</v>
      </c>
      <c r="FE25" s="63"/>
      <c r="FF25" s="63"/>
      <c r="FG25" s="63"/>
      <c r="FH25" s="63"/>
      <c r="FI25" s="63"/>
      <c r="FJ25" s="22"/>
      <c r="FK25" s="146">
        <f t="shared" si="124"/>
        <v>45250</v>
      </c>
      <c r="FL25" s="146"/>
      <c r="FM25" s="146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451"/>
      <c r="GB25" s="471">
        <f>GD25+GG25+GJ25+HF25+Tableau6[[#This Row],[PRÊT CREDIT D''IMPOT (PM)]]</f>
        <v>4472124.8343980089</v>
      </c>
      <c r="GC25" s="645">
        <f t="shared" si="157"/>
        <v>4472124.8343980089</v>
      </c>
      <c r="GD25" s="507">
        <f t="shared" si="137"/>
        <v>1220611.06</v>
      </c>
      <c r="GE25" s="20">
        <f t="shared" si="125"/>
        <v>2461.4716869295808</v>
      </c>
      <c r="GF25" s="20">
        <f t="shared" si="126"/>
        <v>124225.68984438914</v>
      </c>
      <c r="GG25" s="503">
        <v>1209252.7743980088</v>
      </c>
      <c r="GH25" s="351"/>
      <c r="GI25" s="11">
        <f t="shared" si="158"/>
        <v>33590.354844389134</v>
      </c>
      <c r="GJ25" s="503">
        <f t="shared" si="127"/>
        <v>2042261</v>
      </c>
      <c r="GK25" s="5">
        <f>GL25+GM25</f>
        <v>2042261</v>
      </c>
      <c r="GL25" s="6">
        <v>433504</v>
      </c>
      <c r="GM25" s="6">
        <v>1608757</v>
      </c>
      <c r="GN25" s="345">
        <f t="shared" si="128"/>
        <v>56729.472222222219</v>
      </c>
      <c r="GO25" s="5"/>
      <c r="GP25" s="5">
        <v>1110000</v>
      </c>
      <c r="GQ25" s="35"/>
      <c r="GR25" s="18">
        <f t="shared" si="129"/>
        <v>0.24820416269739856</v>
      </c>
      <c r="GS25" s="35"/>
      <c r="GT25" s="35"/>
      <c r="GU25" s="5">
        <v>110611.06</v>
      </c>
      <c r="GV25" s="20">
        <f t="shared" si="130"/>
        <v>30833.333333333332</v>
      </c>
      <c r="GW25" s="20">
        <f t="shared" si="131"/>
        <v>64423.68817772247</v>
      </c>
      <c r="GX25" s="567"/>
      <c r="GY25" s="567"/>
      <c r="GZ25" s="567">
        <f t="shared" si="159"/>
        <v>64423.68817772247</v>
      </c>
      <c r="HA25" s="567"/>
      <c r="HB25" s="567">
        <f t="shared" si="132"/>
        <v>64423.68817772247</v>
      </c>
      <c r="HC25" s="568">
        <f t="shared" si="160"/>
        <v>0.51860197563340216</v>
      </c>
      <c r="HD25" s="567"/>
      <c r="HE25" s="567"/>
      <c r="HF25" s="503"/>
      <c r="HG25" s="633"/>
      <c r="HH25" s="634">
        <f t="shared" si="133"/>
        <v>0</v>
      </c>
      <c r="HI25" s="633">
        <f t="shared" si="134"/>
        <v>4472124.8343980089</v>
      </c>
      <c r="HJ25" s="633" t="e">
        <f ca="1">IF(EE25&lt;DATEDIF(TODAY(),$HJ$1,"M"),HI25,(HI25/EE25*DATEDIF(TODAY(),$HJ$1,"M")))*0+100000</f>
        <v>#VALUE!</v>
      </c>
      <c r="HK25" s="634" t="e">
        <f ca="1">(HG25+HJ25)/GB25</f>
        <v>#VALUE!</v>
      </c>
      <c r="HL25" s="633"/>
      <c r="HM25" s="633">
        <f t="shared" si="135"/>
        <v>1220611.06</v>
      </c>
      <c r="HN25" s="633">
        <f t="shared" si="136"/>
        <v>0</v>
      </c>
      <c r="HO25" s="633"/>
      <c r="HP25" s="563"/>
      <c r="HQ25" s="47"/>
      <c r="HR25" s="563"/>
      <c r="HS25" s="563">
        <f>SUM(Tableau6[[#This Row],[GO]:[CARRELAGE]])</f>
        <v>0</v>
      </c>
      <c r="HT25" s="461"/>
      <c r="HU25" s="461"/>
      <c r="HV25" s="461"/>
      <c r="HW25" s="461"/>
      <c r="HX25" s="461"/>
      <c r="HY25" s="461"/>
      <c r="HZ25" s="461"/>
      <c r="IA25" s="461"/>
      <c r="IB25" s="461"/>
      <c r="IC25" s="461"/>
      <c r="ID25" s="461"/>
      <c r="IE25" s="461"/>
      <c r="IF25" s="461"/>
      <c r="IG25" s="563"/>
      <c r="IH25" s="563"/>
      <c r="II25" s="563">
        <f>HP25+HR25+Tableau6[[#This Row],[TRAVAUX BATIS]]+Tableau6[[#This Row],[HONORAIRES]]+IH25</f>
        <v>0</v>
      </c>
      <c r="IJ25" s="654">
        <f>Tableau6[[#This Row],[TOTAL PRP HT]]-Tableau6[[#This Row],[PRP TTC HORS FRAFU]]/1.021</f>
        <v>-4380141.8554338971</v>
      </c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</row>
    <row r="26" spans="1:256" ht="20.149999999999999" customHeight="1">
      <c r="A26" s="603" t="s">
        <v>588</v>
      </c>
      <c r="B26" s="2" t="s">
        <v>21</v>
      </c>
      <c r="C26" s="2" t="s">
        <v>86</v>
      </c>
      <c r="D26" s="2">
        <v>2013</v>
      </c>
      <c r="E26" s="2" t="s">
        <v>24</v>
      </c>
      <c r="F26" s="2" t="s">
        <v>40</v>
      </c>
      <c r="G26" s="423" t="s">
        <v>860</v>
      </c>
      <c r="H26" s="2" t="s">
        <v>181</v>
      </c>
      <c r="I26" s="22"/>
      <c r="J26" s="22"/>
      <c r="K26" s="134"/>
      <c r="L26" s="224" t="s">
        <v>45</v>
      </c>
      <c r="M26" s="224" t="s">
        <v>47</v>
      </c>
      <c r="N26" s="818">
        <v>41619</v>
      </c>
      <c r="O26" s="103">
        <v>5146</v>
      </c>
      <c r="P26" s="103">
        <f>Q26</f>
        <v>1069200</v>
      </c>
      <c r="Q26" s="103">
        <v>1069200</v>
      </c>
      <c r="R26" s="103">
        <f t="shared" si="149"/>
        <v>19800</v>
      </c>
      <c r="S26" s="103">
        <f t="shared" si="150"/>
        <v>207.77302759424796</v>
      </c>
      <c r="T26" s="103">
        <f t="shared" si="151"/>
        <v>207.77302759424796</v>
      </c>
      <c r="U26" s="103">
        <f t="shared" si="152"/>
        <v>233.10530125478914</v>
      </c>
      <c r="V26" s="103">
        <f t="shared" si="153"/>
        <v>19800</v>
      </c>
      <c r="W26" s="103">
        <f t="shared" si="154"/>
        <v>95.296296296296291</v>
      </c>
      <c r="X26" s="104">
        <v>2205.9499999999998</v>
      </c>
      <c r="Y26" s="444">
        <f t="shared" si="96"/>
        <v>104.93587252234745</v>
      </c>
      <c r="Z26" s="104" t="s">
        <v>148</v>
      </c>
      <c r="AA26" s="106">
        <v>570</v>
      </c>
      <c r="AB26" s="107">
        <v>0.15</v>
      </c>
      <c r="AC26" s="2" t="s">
        <v>9</v>
      </c>
      <c r="AD26" s="426">
        <f t="shared" si="97"/>
        <v>54</v>
      </c>
      <c r="AE26" s="426">
        <f t="shared" si="98"/>
        <v>54</v>
      </c>
      <c r="AF26" s="2">
        <v>54</v>
      </c>
      <c r="AG26" s="3"/>
      <c r="AH26" s="32"/>
      <c r="AI26" s="32"/>
      <c r="AJ26" s="614">
        <v>3955.3599999999983</v>
      </c>
      <c r="AK26" s="225">
        <v>4586.7682727272741</v>
      </c>
      <c r="AL26" s="492">
        <f t="shared" si="99"/>
        <v>73.24740740740738</v>
      </c>
      <c r="AM26" s="4">
        <f t="shared" si="100"/>
        <v>84.940153198653221</v>
      </c>
      <c r="AN26" s="26">
        <v>7.36</v>
      </c>
      <c r="AO26" s="26">
        <v>6.35</v>
      </c>
      <c r="AP26" s="26">
        <v>539.26</v>
      </c>
      <c r="AQ26" s="28"/>
      <c r="AR26" s="28"/>
      <c r="AS26" s="28"/>
      <c r="AT26" s="28"/>
      <c r="AU26" s="28"/>
      <c r="AV26" s="4"/>
      <c r="AW26" s="37">
        <v>0</v>
      </c>
      <c r="AX26" s="39">
        <f>AW26/O26</f>
        <v>0</v>
      </c>
      <c r="AY26" s="31" t="s">
        <v>149</v>
      </c>
      <c r="AZ26" s="25" t="s">
        <v>386</v>
      </c>
      <c r="BA26" s="2" t="s">
        <v>94</v>
      </c>
      <c r="BB26" s="22"/>
      <c r="BC26" s="22"/>
      <c r="BD26" s="22"/>
      <c r="BE26" s="22"/>
      <c r="BF26" s="56">
        <v>41233</v>
      </c>
      <c r="BG26" s="56"/>
      <c r="BH26" s="56">
        <v>41348</v>
      </c>
      <c r="BI26" s="56"/>
      <c r="BJ26" s="548">
        <v>41363</v>
      </c>
      <c r="BK26" s="548">
        <v>41466</v>
      </c>
      <c r="BL26" s="549"/>
      <c r="BM26" s="547">
        <f t="shared" si="101"/>
        <v>3.4333333333333331</v>
      </c>
      <c r="BN26" s="490"/>
      <c r="BO26" s="76">
        <v>41550</v>
      </c>
      <c r="BP26" s="99">
        <v>41576</v>
      </c>
      <c r="BQ26" s="537">
        <f t="shared" si="139"/>
        <v>0.8666666666666667</v>
      </c>
      <c r="BR26" s="100"/>
      <c r="BS26" s="77">
        <f>DATE(YEAR(BP26),MONTH(BP26)+3,DAY(BP26))</f>
        <v>41668</v>
      </c>
      <c r="BT26" s="77"/>
      <c r="BU26" s="151">
        <v>41671</v>
      </c>
      <c r="BV26" s="150">
        <f t="shared" si="102"/>
        <v>42767</v>
      </c>
      <c r="BW26" s="373">
        <f>169432+39625</f>
        <v>209057</v>
      </c>
      <c r="BX26" s="150" t="str">
        <f>IF(Tableau6[[#This Row],[Montant des loyers perçus avant 1e échéance]]&lt;BW26,"oui","non")</f>
        <v>non</v>
      </c>
      <c r="BY26" s="475">
        <f t="shared" si="155"/>
        <v>-10.466666666666667</v>
      </c>
      <c r="BZ26" s="373" t="str">
        <f t="shared" si="156"/>
        <v>0</v>
      </c>
      <c r="CA26" s="373">
        <f>IF(BW26-BZ26&lt;0,0,Tableau6[[#This Row],[Montant échéance annuelle]]-Tableau6[[#This Row],[Montant des loyers perçus avant 1e échéance]])</f>
        <v>209057</v>
      </c>
      <c r="CB26" s="64"/>
      <c r="CC26" s="64"/>
      <c r="CD26" s="64"/>
      <c r="CE26" s="273" t="str">
        <f t="shared" si="162"/>
        <v>0</v>
      </c>
      <c r="CF26" s="64"/>
      <c r="CG26" s="64"/>
      <c r="CH26" s="273" t="str">
        <f t="shared" si="163"/>
        <v>0</v>
      </c>
      <c r="CI26" s="64"/>
      <c r="CJ26" s="64"/>
      <c r="CK26" s="273" t="str">
        <f t="shared" si="164"/>
        <v>0</v>
      </c>
      <c r="CL26" s="64"/>
      <c r="CM26" s="64"/>
      <c r="CN26" s="273" t="str">
        <f t="shared" si="165"/>
        <v>0</v>
      </c>
      <c r="CO26" s="66"/>
      <c r="CP26" s="311"/>
      <c r="CQ26" s="273" t="str">
        <f t="shared" si="107"/>
        <v>0</v>
      </c>
      <c r="CR26" s="39"/>
      <c r="CS26" s="117"/>
      <c r="CT26" s="64"/>
      <c r="CU26" s="117"/>
      <c r="CV26" s="273" t="str">
        <f t="shared" si="161"/>
        <v>0</v>
      </c>
      <c r="CW26" s="64"/>
      <c r="CX26" s="181">
        <v>41764</v>
      </c>
      <c r="CY26" s="177">
        <v>2014</v>
      </c>
      <c r="CZ26" s="233">
        <f t="shared" si="109"/>
        <v>9.9333333333333336</v>
      </c>
      <c r="DA26" s="273" t="str">
        <f t="shared" si="110"/>
        <v>0</v>
      </c>
      <c r="DB26" s="126">
        <v>15</v>
      </c>
      <c r="DC26" s="59">
        <f t="shared" si="111"/>
        <v>43</v>
      </c>
      <c r="DD26" s="64"/>
      <c r="DE26" s="117"/>
      <c r="DF26" s="273" t="str">
        <f t="shared" si="112"/>
        <v>0</v>
      </c>
      <c r="DG26" s="595"/>
      <c r="DH26" s="309"/>
      <c r="DI26" s="276" t="str">
        <f t="shared" si="113"/>
        <v>0</v>
      </c>
      <c r="DJ26" s="66"/>
      <c r="DK26" s="159"/>
      <c r="DL26" s="273" t="str">
        <f t="shared" si="114"/>
        <v>0</v>
      </c>
      <c r="DM26" s="64"/>
      <c r="DN26" s="64"/>
      <c r="DO26" s="273" t="str">
        <f t="shared" si="115"/>
        <v>0</v>
      </c>
      <c r="DP26" s="64"/>
      <c r="DQ26" s="64"/>
      <c r="DR26" s="273" t="str">
        <f t="shared" si="116"/>
        <v>0</v>
      </c>
      <c r="DS26" s="64"/>
      <c r="DT26" s="64"/>
      <c r="DU26" s="273" t="str">
        <f t="shared" si="117"/>
        <v>0</v>
      </c>
      <c r="DV26" s="64"/>
      <c r="DW26" s="64"/>
      <c r="DX26" s="273" t="str">
        <f t="shared" si="118"/>
        <v>0</v>
      </c>
      <c r="DY26" s="64"/>
      <c r="DZ26" s="64"/>
      <c r="EA26" s="64"/>
      <c r="EB26" s="819">
        <f t="shared" si="119"/>
        <v>42221</v>
      </c>
      <c r="EC26" s="183">
        <v>43076</v>
      </c>
      <c r="ED26" s="401">
        <f t="shared" si="120"/>
        <v>28.5</v>
      </c>
      <c r="EE26" s="511"/>
      <c r="EF26" s="821"/>
      <c r="EG26" s="58">
        <v>43131</v>
      </c>
      <c r="EH26" s="58">
        <v>42527</v>
      </c>
      <c r="EI26" s="58">
        <v>43066</v>
      </c>
      <c r="EJ26" s="240"/>
      <c r="EK26" s="455">
        <f t="shared" si="166"/>
        <v>42252</v>
      </c>
      <c r="EL26" s="183">
        <v>43081</v>
      </c>
      <c r="EM26" s="177">
        <v>2017</v>
      </c>
      <c r="EN26" s="398">
        <f>(DATEDIF(EK26,EL26,"d"))/30</f>
        <v>27.633333333333333</v>
      </c>
      <c r="EO26" s="388">
        <f>366249.787559262/12</f>
        <v>30520.815629938501</v>
      </c>
      <c r="EP26" s="158">
        <f t="shared" si="121"/>
        <v>843391.87190730055</v>
      </c>
      <c r="EQ26" s="159">
        <v>42970</v>
      </c>
      <c r="ER26" s="159"/>
      <c r="ES26" s="133"/>
      <c r="ET26" s="296">
        <v>0</v>
      </c>
      <c r="EU26" s="387">
        <v>222887</v>
      </c>
      <c r="EV26" s="300"/>
      <c r="EW26" s="300"/>
      <c r="EX26" s="300">
        <f>170334.64*1.021</f>
        <v>173911.66743999999</v>
      </c>
      <c r="EY26" s="416">
        <f t="shared" si="122"/>
        <v>1.666655653230081E-2</v>
      </c>
      <c r="EZ26" s="297"/>
      <c r="FA26" s="308" t="s">
        <v>520</v>
      </c>
      <c r="FB26" s="297"/>
      <c r="FC26" s="297"/>
      <c r="FD26" s="89">
        <f t="shared" si="167"/>
        <v>731</v>
      </c>
      <c r="FE26" s="121" t="s">
        <v>101</v>
      </c>
      <c r="FF26" s="64">
        <v>43166</v>
      </c>
      <c r="FG26" s="63"/>
      <c r="FH26" s="63"/>
      <c r="FI26" s="64">
        <v>43297</v>
      </c>
      <c r="FJ26" s="56">
        <v>43767</v>
      </c>
      <c r="FK26" s="159">
        <f t="shared" si="124"/>
        <v>43441</v>
      </c>
      <c r="FL26" s="159"/>
      <c r="FM26" s="376">
        <v>280724</v>
      </c>
      <c r="FN26" s="159">
        <v>43152</v>
      </c>
      <c r="FO26" s="64">
        <v>43186</v>
      </c>
      <c r="FP26" s="64"/>
      <c r="FQ26" s="63"/>
      <c r="FR26" s="63"/>
      <c r="FS26" s="64">
        <v>43217</v>
      </c>
      <c r="FT26" s="22"/>
      <c r="FU26" s="22" t="s">
        <v>837</v>
      </c>
      <c r="FV26" s="89"/>
      <c r="FW26" s="340">
        <v>43287</v>
      </c>
      <c r="FX26" s="57" t="s">
        <v>101</v>
      </c>
      <c r="FY26" s="22"/>
      <c r="FZ26" s="22"/>
      <c r="GA26" s="332">
        <v>9099071</v>
      </c>
      <c r="GB26" s="471">
        <f>GD26+GG26+GJ26+HF26+Tableau6[[#This Row],[PRÊT CREDIT D''IMPOT (PM)]]</f>
        <v>10434769</v>
      </c>
      <c r="GC26" s="644">
        <f t="shared" si="157"/>
        <v>10434769</v>
      </c>
      <c r="GD26" s="507">
        <f t="shared" si="137"/>
        <v>17351</v>
      </c>
      <c r="GE26" s="20">
        <f t="shared" si="125"/>
        <v>2274.9719147672417</v>
      </c>
      <c r="GF26" s="20">
        <f t="shared" si="126"/>
        <v>193236.46296296295</v>
      </c>
      <c r="GG26" s="507">
        <v>3287400</v>
      </c>
      <c r="GH26" s="351"/>
      <c r="GI26" s="11">
        <f t="shared" si="158"/>
        <v>60877.777777777781</v>
      </c>
      <c r="GJ26" s="507">
        <f t="shared" si="127"/>
        <v>6741668</v>
      </c>
      <c r="GK26" s="5">
        <f>+GL26+GM26</f>
        <v>5918673</v>
      </c>
      <c r="GL26" s="6">
        <v>1256197</v>
      </c>
      <c r="GM26" s="6">
        <v>4662476</v>
      </c>
      <c r="GN26" s="345">
        <f t="shared" si="128"/>
        <v>109605.05555555556</v>
      </c>
      <c r="GO26" s="5">
        <v>822995</v>
      </c>
      <c r="GP26" s="5">
        <v>1</v>
      </c>
      <c r="GQ26" s="35"/>
      <c r="GR26" s="18">
        <f t="shared" si="129"/>
        <v>9.5833458316135224E-8</v>
      </c>
      <c r="GS26" s="35">
        <v>0</v>
      </c>
      <c r="GT26" s="35"/>
      <c r="GU26" s="5">
        <v>17350</v>
      </c>
      <c r="GV26" s="20">
        <f t="shared" si="130"/>
        <v>1.8518518518518517E-2</v>
      </c>
      <c r="GW26" s="20">
        <f t="shared" si="131"/>
        <v>60877.796296296299</v>
      </c>
      <c r="GX26" s="567"/>
      <c r="GY26" s="567"/>
      <c r="GZ26" s="567">
        <f t="shared" si="159"/>
        <v>60877.796296296299</v>
      </c>
      <c r="HA26" s="567">
        <v>0</v>
      </c>
      <c r="HB26" s="567">
        <f t="shared" si="132"/>
        <v>60877.796296296299</v>
      </c>
      <c r="HC26" s="568">
        <f t="shared" si="160"/>
        <v>0.31504300670192126</v>
      </c>
      <c r="HD26" s="567"/>
      <c r="HE26" s="567"/>
      <c r="HF26" s="507">
        <v>388350</v>
      </c>
      <c r="HG26" s="633"/>
      <c r="HH26" s="634">
        <f t="shared" si="133"/>
        <v>0</v>
      </c>
      <c r="HI26" s="635">
        <f t="shared" si="134"/>
        <v>10434769</v>
      </c>
      <c r="HJ26" s="633" t="e">
        <f ca="1">IF(EE26&lt;DATEDIF(TODAY(),$HJ$1,"M"),HI26,(HI26/EE26*DATEDIF(TODAY(),$HJ$1,"M")))</f>
        <v>#VALUE!</v>
      </c>
      <c r="HK26" s="633"/>
      <c r="HL26" s="633"/>
      <c r="HM26" s="633">
        <f t="shared" si="135"/>
        <v>17351</v>
      </c>
      <c r="HN26" s="636">
        <f t="shared" si="136"/>
        <v>0</v>
      </c>
      <c r="HO26" s="636"/>
      <c r="HP26" s="563">
        <v>1270612.5</v>
      </c>
      <c r="HQ26" s="47">
        <v>1069200</v>
      </c>
      <c r="HR26" s="563">
        <v>685910.97</v>
      </c>
      <c r="HS26" s="563">
        <f>SUM(Tableau6[[#This Row],[GO]:[CARRELAGE]])</f>
        <v>6263280.5099999998</v>
      </c>
      <c r="HT26" s="461">
        <v>3278983.33</v>
      </c>
      <c r="HU26" s="461">
        <v>583458.17999999993</v>
      </c>
      <c r="HV26" s="461"/>
      <c r="HW26" s="461">
        <v>1441010</v>
      </c>
      <c r="HX26" s="461"/>
      <c r="HY26" s="461"/>
      <c r="HZ26" s="461"/>
      <c r="IA26" s="461"/>
      <c r="IB26" s="461"/>
      <c r="IC26" s="461"/>
      <c r="ID26" s="461"/>
      <c r="IE26" s="461"/>
      <c r="IF26" s="461">
        <v>959829</v>
      </c>
      <c r="IG26" s="563"/>
      <c r="IH26" s="563"/>
      <c r="II26" s="563">
        <f>HP26+HR26+Tableau6[[#This Row],[TRAVAUX BATIS]]+Tableau6[[#This Row],[HONORAIRES]]+IH26</f>
        <v>8219803.9799999995</v>
      </c>
      <c r="IJ26" s="654">
        <f>Tableau6[[#This Row],[TOTAL PRP HT]]-Tableau6[[#This Row],[PRP TTC HORS FRAFU]]/1.021</f>
        <v>-2000341.9553574948</v>
      </c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</row>
    <row r="27" spans="1:256" s="30" customFormat="1" ht="20.149999999999999" customHeight="1">
      <c r="A27" s="765" t="s">
        <v>938</v>
      </c>
      <c r="B27" s="2" t="s">
        <v>21</v>
      </c>
      <c r="C27" s="2" t="s">
        <v>86</v>
      </c>
      <c r="D27" s="2">
        <v>2011</v>
      </c>
      <c r="E27" s="2" t="s">
        <v>77</v>
      </c>
      <c r="F27" s="2" t="s">
        <v>23</v>
      </c>
      <c r="G27" s="423" t="s">
        <v>137</v>
      </c>
      <c r="H27" s="2" t="s">
        <v>181</v>
      </c>
      <c r="I27" s="22"/>
      <c r="J27" s="22"/>
      <c r="K27" s="134"/>
      <c r="L27" s="224"/>
      <c r="M27" s="224"/>
      <c r="N27" s="224"/>
      <c r="O27" s="103">
        <v>3280</v>
      </c>
      <c r="P27" s="103">
        <f>Q27</f>
        <v>700000</v>
      </c>
      <c r="Q27" s="103">
        <v>700000</v>
      </c>
      <c r="R27" s="103">
        <f t="shared" si="149"/>
        <v>35000</v>
      </c>
      <c r="S27" s="103">
        <f t="shared" si="150"/>
        <v>213.41463414634146</v>
      </c>
      <c r="T27" s="103">
        <f t="shared" si="151"/>
        <v>213.41463414634146</v>
      </c>
      <c r="U27" s="103">
        <f t="shared" si="152"/>
        <v>409.99209300963486</v>
      </c>
      <c r="V27" s="103">
        <f t="shared" si="153"/>
        <v>35000</v>
      </c>
      <c r="W27" s="103">
        <f t="shared" si="154"/>
        <v>164</v>
      </c>
      <c r="X27" s="104"/>
      <c r="Y27" s="444">
        <f t="shared" si="96"/>
        <v>60.975609756097562</v>
      </c>
      <c r="Z27" s="104" t="s">
        <v>158</v>
      </c>
      <c r="AA27" s="106"/>
      <c r="AB27" s="106"/>
      <c r="AC27" s="2" t="s">
        <v>9</v>
      </c>
      <c r="AD27" s="426">
        <f t="shared" si="97"/>
        <v>20</v>
      </c>
      <c r="AE27" s="426">
        <f t="shared" si="98"/>
        <v>20</v>
      </c>
      <c r="AF27" s="2">
        <v>20</v>
      </c>
      <c r="AG27" s="472"/>
      <c r="AH27" s="217"/>
      <c r="AI27" s="217"/>
      <c r="AJ27" s="26">
        <v>1707.35</v>
      </c>
      <c r="AK27" s="225">
        <v>1707.35</v>
      </c>
      <c r="AL27" s="492">
        <f t="shared" si="99"/>
        <v>85.367499999999993</v>
      </c>
      <c r="AM27" s="4">
        <f t="shared" si="100"/>
        <v>85.367499999999993</v>
      </c>
      <c r="AN27" s="26">
        <v>6.1</v>
      </c>
      <c r="AO27" s="26">
        <v>6.1</v>
      </c>
      <c r="AP27" s="26">
        <v>520.52</v>
      </c>
      <c r="AQ27" s="39">
        <v>0</v>
      </c>
      <c r="AR27" s="39">
        <v>0</v>
      </c>
      <c r="AS27" s="39">
        <f>2/AD27</f>
        <v>0.1</v>
      </c>
      <c r="AT27" s="39">
        <f>18/AD27</f>
        <v>0.9</v>
      </c>
      <c r="AU27" s="39">
        <v>0</v>
      </c>
      <c r="AV27" s="4">
        <v>461.7</v>
      </c>
      <c r="AW27" s="37"/>
      <c r="AX27" s="39">
        <f>AW27/O27</f>
        <v>0</v>
      </c>
      <c r="AY27" s="26">
        <v>2</v>
      </c>
      <c r="AZ27" s="25" t="s">
        <v>386</v>
      </c>
      <c r="BA27" s="468" t="s">
        <v>95</v>
      </c>
      <c r="BB27" s="437">
        <v>3506440.94</v>
      </c>
      <c r="BC27" s="437">
        <f>BB27/AJ27</f>
        <v>2053.7329428646735</v>
      </c>
      <c r="BD27" s="334">
        <f>BB27/AK27</f>
        <v>2053.7329428646735</v>
      </c>
      <c r="BE27" s="334">
        <f>BB27/AD27</f>
        <v>175322.04699999999</v>
      </c>
      <c r="BF27" s="22"/>
      <c r="BG27" s="22"/>
      <c r="BH27" s="89">
        <v>40816</v>
      </c>
      <c r="BI27" s="89"/>
      <c r="BJ27" s="548">
        <v>40632</v>
      </c>
      <c r="BK27" s="548">
        <v>40722</v>
      </c>
      <c r="BL27" s="549"/>
      <c r="BM27" s="547">
        <f t="shared" si="101"/>
        <v>3</v>
      </c>
      <c r="BN27" s="490"/>
      <c r="BO27" s="469"/>
      <c r="BP27" s="470"/>
      <c r="BQ27" s="481"/>
      <c r="BR27" s="481"/>
      <c r="BS27" s="55"/>
      <c r="BT27" s="55"/>
      <c r="BU27" s="150">
        <v>41310</v>
      </c>
      <c r="BV27" s="150">
        <f t="shared" si="102"/>
        <v>42405</v>
      </c>
      <c r="BW27" s="150"/>
      <c r="BX27" s="150" t="str">
        <f>IF(Tableau6[[#This Row],[Montant des loyers perçus avant 1e échéance]]&lt;BW27,"oui","non")</f>
        <v>non</v>
      </c>
      <c r="BY27" s="475">
        <f t="shared" si="155"/>
        <v>29.2</v>
      </c>
      <c r="BZ27" s="373">
        <f>BY27*EO27</f>
        <v>308527.2</v>
      </c>
      <c r="CA27" s="373">
        <f>IF(BW27-BZ27&lt;0,0,Tableau6[[#This Row],[Montant échéance annuelle]]-Tableau6[[#This Row],[Montant des loyers perçus avant 1e échéance]])</f>
        <v>0</v>
      </c>
      <c r="CB27" s="64"/>
      <c r="CC27" s="64"/>
      <c r="CD27" s="64"/>
      <c r="CE27" s="273" t="str">
        <f t="shared" si="162"/>
        <v>0</v>
      </c>
      <c r="CF27" s="64"/>
      <c r="CG27" s="64"/>
      <c r="CH27" s="273" t="str">
        <f t="shared" si="163"/>
        <v>0</v>
      </c>
      <c r="CI27" s="64"/>
      <c r="CJ27" s="64"/>
      <c r="CK27" s="273" t="str">
        <f t="shared" si="164"/>
        <v>0</v>
      </c>
      <c r="CL27" s="64"/>
      <c r="CM27" s="64"/>
      <c r="CN27" s="273" t="str">
        <f t="shared" si="165"/>
        <v>0</v>
      </c>
      <c r="CO27" s="66"/>
      <c r="CP27" s="311"/>
      <c r="CQ27" s="273" t="str">
        <f t="shared" si="107"/>
        <v>0</v>
      </c>
      <c r="CR27" s="239"/>
      <c r="CS27" s="117"/>
      <c r="CT27" s="64"/>
      <c r="CU27" s="117"/>
      <c r="CV27" s="273" t="str">
        <f t="shared" si="161"/>
        <v>0</v>
      </c>
      <c r="CW27" s="64"/>
      <c r="CX27" s="182">
        <v>40899</v>
      </c>
      <c r="CY27" s="175">
        <v>2011</v>
      </c>
      <c r="CZ27" s="232">
        <f t="shared" si="109"/>
        <v>5.9</v>
      </c>
      <c r="DA27" s="273" t="str">
        <f t="shared" si="110"/>
        <v>0</v>
      </c>
      <c r="DB27" s="66">
        <v>15</v>
      </c>
      <c r="DC27" s="66">
        <f t="shared" si="111"/>
        <v>19</v>
      </c>
      <c r="DD27" s="159"/>
      <c r="DE27" s="158"/>
      <c r="DF27" s="381" t="str">
        <f t="shared" si="112"/>
        <v>0</v>
      </c>
      <c r="DG27" s="392"/>
      <c r="DH27" s="336"/>
      <c r="DI27" s="337" t="str">
        <f t="shared" si="113"/>
        <v>0</v>
      </c>
      <c r="DJ27" s="133"/>
      <c r="DK27" s="159"/>
      <c r="DL27" s="381" t="str">
        <f t="shared" si="114"/>
        <v>0</v>
      </c>
      <c r="DM27" s="159"/>
      <c r="DN27" s="159"/>
      <c r="DO27" s="381" t="str">
        <f t="shared" si="115"/>
        <v>0</v>
      </c>
      <c r="DP27" s="159"/>
      <c r="DQ27" s="159"/>
      <c r="DR27" s="381" t="str">
        <f t="shared" si="116"/>
        <v>0</v>
      </c>
      <c r="DS27" s="159"/>
      <c r="DT27" s="159"/>
      <c r="DU27" s="381" t="str">
        <f t="shared" si="117"/>
        <v>0</v>
      </c>
      <c r="DV27" s="159"/>
      <c r="DW27" s="159"/>
      <c r="DX27" s="381" t="str">
        <f t="shared" si="118"/>
        <v>0</v>
      </c>
      <c r="DY27" s="159"/>
      <c r="DZ27" s="159"/>
      <c r="EA27" s="159"/>
      <c r="EB27" s="327">
        <f t="shared" si="119"/>
        <v>41355</v>
      </c>
      <c r="EC27" s="185">
        <v>41500</v>
      </c>
      <c r="ED27" s="402">
        <f t="shared" si="120"/>
        <v>4.833333333333333</v>
      </c>
      <c r="EE27" s="510"/>
      <c r="EF27" s="326"/>
      <c r="EG27" s="56">
        <v>41429</v>
      </c>
      <c r="EH27" s="64" t="s">
        <v>101</v>
      </c>
      <c r="EI27" s="67">
        <v>41508</v>
      </c>
      <c r="EJ27" s="326"/>
      <c r="EK27" s="455">
        <f t="shared" si="166"/>
        <v>41386</v>
      </c>
      <c r="EL27" s="185">
        <v>41529</v>
      </c>
      <c r="EM27" s="241">
        <v>2013</v>
      </c>
      <c r="EN27" s="396">
        <f>(DATEDIF(EK27,EL27,"d"))/30</f>
        <v>4.7666666666666666</v>
      </c>
      <c r="EO27" s="391">
        <v>10566</v>
      </c>
      <c r="EP27" s="117">
        <f t="shared" si="121"/>
        <v>50364.6</v>
      </c>
      <c r="EQ27" s="67"/>
      <c r="ER27" s="67">
        <v>41477</v>
      </c>
      <c r="ES27" s="737">
        <f>(Tableau6[[#This Row],[Date inauguration recalée]]-ER27)/30</f>
        <v>1.7333333333333334</v>
      </c>
      <c r="ET27" s="296"/>
      <c r="EU27" s="387">
        <f>HF27</f>
        <v>0</v>
      </c>
      <c r="EV27" s="300"/>
      <c r="EW27" s="300"/>
      <c r="EX27" s="300"/>
      <c r="EY27" s="416">
        <f t="shared" si="122"/>
        <v>0</v>
      </c>
      <c r="EZ27" s="297"/>
      <c r="FA27" s="308"/>
      <c r="FB27" s="297"/>
      <c r="FC27" s="297"/>
      <c r="FD27" s="89">
        <f t="shared" si="167"/>
        <v>731</v>
      </c>
      <c r="FE27" s="64"/>
      <c r="FF27" s="64"/>
      <c r="FG27" s="64"/>
      <c r="FH27" s="64"/>
      <c r="FI27" s="64"/>
      <c r="FJ27" s="57"/>
      <c r="FK27" s="64">
        <f t="shared" si="124"/>
        <v>41865</v>
      </c>
      <c r="FL27" s="64"/>
      <c r="FM27" s="375">
        <v>0</v>
      </c>
      <c r="FN27" s="64" t="s">
        <v>211</v>
      </c>
      <c r="FO27" s="64" t="s">
        <v>101</v>
      </c>
      <c r="FP27" s="64"/>
      <c r="FQ27" s="64" t="s">
        <v>101</v>
      </c>
      <c r="FR27" s="64">
        <v>41932</v>
      </c>
      <c r="FS27" s="64"/>
      <c r="FT27" s="64" t="s">
        <v>101</v>
      </c>
      <c r="FU27" s="56">
        <v>42178</v>
      </c>
      <c r="FV27" s="56"/>
      <c r="FW27" s="56"/>
      <c r="FX27" s="56"/>
      <c r="FY27" s="95" t="s">
        <v>101</v>
      </c>
      <c r="FZ27" s="95" t="s">
        <v>101</v>
      </c>
      <c r="GA27" s="450"/>
      <c r="GB27" s="471">
        <f>GD27+GG27+GJ27+HF27+Tableau6[[#This Row],[PRÊT CREDIT D''IMPOT (PM)]]</f>
        <v>3732556</v>
      </c>
      <c r="GC27" s="644">
        <f t="shared" si="157"/>
        <v>3732556</v>
      </c>
      <c r="GD27" s="507">
        <f t="shared" si="137"/>
        <v>355000</v>
      </c>
      <c r="GE27" s="20">
        <f t="shared" si="125"/>
        <v>2186.1692095938151</v>
      </c>
      <c r="GF27" s="20">
        <f t="shared" si="126"/>
        <v>186627.8</v>
      </c>
      <c r="GG27" s="507">
        <v>1090090</v>
      </c>
      <c r="GH27" s="351"/>
      <c r="GI27" s="11">
        <f t="shared" si="158"/>
        <v>54504.5</v>
      </c>
      <c r="GJ27" s="507">
        <f t="shared" si="127"/>
        <v>2287466</v>
      </c>
      <c r="GK27" s="5">
        <f>+GL27+GM27</f>
        <v>2287466</v>
      </c>
      <c r="GL27" s="6">
        <v>616923</v>
      </c>
      <c r="GM27" s="6">
        <v>1670543</v>
      </c>
      <c r="GN27" s="345">
        <f t="shared" si="128"/>
        <v>114373.3</v>
      </c>
      <c r="GO27" s="5">
        <v>0</v>
      </c>
      <c r="GP27" s="8">
        <v>355000</v>
      </c>
      <c r="GQ27" s="34"/>
      <c r="GR27" s="18">
        <f t="shared" si="129"/>
        <v>9.5109088785272078E-2</v>
      </c>
      <c r="GS27" s="45"/>
      <c r="GT27" s="45"/>
      <c r="GU27" s="8">
        <v>0</v>
      </c>
      <c r="GV27" s="20">
        <f t="shared" si="130"/>
        <v>17750</v>
      </c>
      <c r="GW27" s="20">
        <f t="shared" si="131"/>
        <v>72254.5</v>
      </c>
      <c r="GX27" s="567">
        <v>0</v>
      </c>
      <c r="GY27" s="567">
        <v>0</v>
      </c>
      <c r="GZ27" s="567" t="e">
        <f>(#REF!+#REF!+GY27)/AD27</f>
        <v>#REF!</v>
      </c>
      <c r="HA27" s="567">
        <v>0</v>
      </c>
      <c r="HB27" s="567">
        <f t="shared" si="132"/>
        <v>72254.5</v>
      </c>
      <c r="HC27" s="568">
        <f t="shared" si="160"/>
        <v>0.38715829045833472</v>
      </c>
      <c r="HD27" s="567"/>
      <c r="HE27" s="567"/>
      <c r="HF27" s="507">
        <v>0</v>
      </c>
      <c r="HG27" s="633"/>
      <c r="HH27" s="634">
        <f t="shared" si="133"/>
        <v>0</v>
      </c>
      <c r="HI27" s="635">
        <f t="shared" si="134"/>
        <v>3732556</v>
      </c>
      <c r="HJ27" s="633" t="e">
        <f ca="1">IF(EE27&lt;DATEDIF(TODAY(),$HJ$1,"M"),HI27,(HI27/EE27*DATEDIF(TODAY(),$HJ$1,"M")))</f>
        <v>#VALUE!</v>
      </c>
      <c r="HK27" s="633"/>
      <c r="HL27" s="633"/>
      <c r="HM27" s="633">
        <f t="shared" si="135"/>
        <v>355000</v>
      </c>
      <c r="HN27" s="636">
        <f t="shared" si="136"/>
        <v>0</v>
      </c>
      <c r="HO27" s="636"/>
      <c r="HP27" s="563"/>
      <c r="HQ27" s="47"/>
      <c r="HR27" s="563"/>
      <c r="HS27" s="563">
        <f>SUM(Tableau6[[#This Row],[GO]:[CARRELAGE]])</f>
        <v>0</v>
      </c>
      <c r="HT27" s="461"/>
      <c r="HU27" s="461"/>
      <c r="HV27" s="461"/>
      <c r="HW27" s="461"/>
      <c r="HX27" s="461"/>
      <c r="HY27" s="461"/>
      <c r="HZ27" s="461"/>
      <c r="IA27" s="461"/>
      <c r="IB27" s="461"/>
      <c r="IC27" s="461"/>
      <c r="ID27" s="461"/>
      <c r="IE27" s="461"/>
      <c r="IF27" s="461"/>
      <c r="IG27" s="563"/>
      <c r="IH27" s="563"/>
      <c r="II27" s="563">
        <f>HP27+HR27+Tableau6[[#This Row],[TRAVAUX BATIS]]+Tableau6[[#This Row],[HONORAIRES]]+IH27</f>
        <v>0</v>
      </c>
      <c r="IJ27" s="654">
        <f>Tableau6[[#This Row],[TOTAL PRP HT]]-Tableau6[[#This Row],[PRP TTC HORS FRAFU]]/1.021</f>
        <v>-3655784.5249755145</v>
      </c>
    </row>
    <row r="28" spans="1:256" ht="20.149999999999999" customHeight="1">
      <c r="A28" s="824" t="s">
        <v>290</v>
      </c>
      <c r="B28" s="2" t="s">
        <v>20</v>
      </c>
      <c r="C28" s="2" t="s">
        <v>87</v>
      </c>
      <c r="D28" s="2">
        <v>2018</v>
      </c>
      <c r="E28" s="2" t="s">
        <v>403</v>
      </c>
      <c r="F28" s="2" t="s">
        <v>301</v>
      </c>
      <c r="G28" s="2" t="s">
        <v>139</v>
      </c>
      <c r="H28" s="778" t="s">
        <v>136</v>
      </c>
      <c r="I28" s="22"/>
      <c r="J28" s="22" t="s">
        <v>292</v>
      </c>
      <c r="K28" s="134" t="s">
        <v>418</v>
      </c>
      <c r="L28" s="78"/>
      <c r="M28" s="51"/>
      <c r="N28" s="52"/>
      <c r="O28" s="103">
        <f>10872*0.44</f>
        <v>4783.68</v>
      </c>
      <c r="P28" s="103">
        <v>230090</v>
      </c>
      <c r="Q28" s="103"/>
      <c r="R28" s="103">
        <f t="shared" si="149"/>
        <v>10458.636363636364</v>
      </c>
      <c r="S28" s="103">
        <f t="shared" si="150"/>
        <v>48.098953107231253</v>
      </c>
      <c r="T28" s="109">
        <f t="shared" si="151"/>
        <v>0</v>
      </c>
      <c r="U28" s="109">
        <f t="shared" si="152"/>
        <v>0</v>
      </c>
      <c r="V28" s="109">
        <f t="shared" si="153"/>
        <v>0</v>
      </c>
      <c r="W28" s="103">
        <f t="shared" si="154"/>
        <v>217.44000000000003</v>
      </c>
      <c r="X28" s="104"/>
      <c r="Y28" s="447">
        <f t="shared" si="96"/>
        <v>45.989698307579097</v>
      </c>
      <c r="Z28" s="104"/>
      <c r="AA28" s="106"/>
      <c r="AB28" s="107"/>
      <c r="AC28" s="2" t="s">
        <v>9</v>
      </c>
      <c r="AD28" s="426">
        <f t="shared" si="97"/>
        <v>22</v>
      </c>
      <c r="AE28" s="426">
        <f t="shared" si="98"/>
        <v>22</v>
      </c>
      <c r="AF28" s="2">
        <v>22</v>
      </c>
      <c r="AG28" s="3"/>
      <c r="AH28" s="32"/>
      <c r="AI28" s="32"/>
      <c r="AJ28" s="614">
        <v>2034.59</v>
      </c>
      <c r="AK28" s="225">
        <v>2079.59</v>
      </c>
      <c r="AL28" s="492">
        <f t="shared" si="99"/>
        <v>92.481363636363639</v>
      </c>
      <c r="AM28" s="4">
        <f t="shared" si="100"/>
        <v>94.526818181818186</v>
      </c>
      <c r="AN28" s="26">
        <v>6.48</v>
      </c>
      <c r="AO28" s="26">
        <v>6.34</v>
      </c>
      <c r="AP28" s="26">
        <v>599.32000000000005</v>
      </c>
      <c r="AQ28" s="352"/>
      <c r="AR28" s="352"/>
      <c r="AS28" s="352"/>
      <c r="AT28" s="39">
        <f>12/AD28</f>
        <v>0.54545454545454541</v>
      </c>
      <c r="AU28" s="39">
        <f>10/AD28</f>
        <v>0.45454545454545453</v>
      </c>
      <c r="AV28" s="4"/>
      <c r="AW28" s="37"/>
      <c r="AX28" s="39"/>
      <c r="AY28" s="26"/>
      <c r="AZ28" s="25" t="s">
        <v>386</v>
      </c>
      <c r="BA28" s="2" t="s">
        <v>94</v>
      </c>
      <c r="BB28" s="22"/>
      <c r="BC28" s="22"/>
      <c r="BD28" s="22"/>
      <c r="BE28" s="22"/>
      <c r="BF28" s="123" t="s">
        <v>389</v>
      </c>
      <c r="BG28" s="123"/>
      <c r="BH28" s="56">
        <v>43308</v>
      </c>
      <c r="BI28" s="325">
        <v>43713</v>
      </c>
      <c r="BJ28" s="548">
        <v>43189</v>
      </c>
      <c r="BK28" s="548">
        <v>43334</v>
      </c>
      <c r="BL28" s="549"/>
      <c r="BM28" s="547">
        <f t="shared" si="101"/>
        <v>4.833333333333333</v>
      </c>
      <c r="BN28" s="490" t="s">
        <v>229</v>
      </c>
      <c r="BO28" s="786"/>
      <c r="BP28" s="99"/>
      <c r="BQ28" s="536">
        <f t="shared" ref="BQ28:BQ37" si="168">(DATEDIF(BO28,BP28,"d"))/30</f>
        <v>0</v>
      </c>
      <c r="BR28" s="529"/>
      <c r="BS28" s="77">
        <f>DATE(YEAR(BP28),MONTH(BP28)+3,DAY(BP28))</f>
        <v>91</v>
      </c>
      <c r="BT28" s="77"/>
      <c r="BU28" s="151"/>
      <c r="BV28" s="150">
        <f t="shared" si="102"/>
        <v>1096</v>
      </c>
      <c r="BW28" s="373"/>
      <c r="BX28" s="150" t="str">
        <f>IF(Tableau6[[#This Row],[Montant des loyers perçus avant 1e échéance]]&lt;BW28,"oui","non")</f>
        <v>non</v>
      </c>
      <c r="BY28" s="475">
        <f t="shared" si="155"/>
        <v>-1463.6333333333334</v>
      </c>
      <c r="BZ28" s="373" t="str">
        <f>IF((BY28*EO28)&lt;0,"0",BY28*EO28)</f>
        <v>0</v>
      </c>
      <c r="CA28" s="373">
        <f>IF(BW28-BZ28&lt;0,0,Tableau6[[#This Row],[Montant échéance annuelle]]-Tableau6[[#This Row],[Montant des loyers perçus avant 1e échéance]])</f>
        <v>0</v>
      </c>
      <c r="CB28" s="159"/>
      <c r="CC28" s="159"/>
      <c r="CD28" s="159"/>
      <c r="CE28" s="290" t="str">
        <f t="shared" si="162"/>
        <v>0</v>
      </c>
      <c r="CF28" s="159"/>
      <c r="CG28" s="159"/>
      <c r="CH28" s="273" t="str">
        <f t="shared" si="163"/>
        <v>0</v>
      </c>
      <c r="CI28" s="159"/>
      <c r="CJ28" s="159"/>
      <c r="CK28" s="273" t="str">
        <f t="shared" si="164"/>
        <v>0</v>
      </c>
      <c r="CL28" s="159"/>
      <c r="CM28" s="159"/>
      <c r="CN28" s="273" t="str">
        <f t="shared" si="165"/>
        <v>0</v>
      </c>
      <c r="CO28" s="159"/>
      <c r="CP28" s="159"/>
      <c r="CQ28" s="273" t="str">
        <f t="shared" si="107"/>
        <v>0</v>
      </c>
      <c r="CR28" s="237"/>
      <c r="CS28" s="292"/>
      <c r="CT28" s="277"/>
      <c r="CU28" s="282"/>
      <c r="CV28" s="279" t="str">
        <f t="shared" si="161"/>
        <v>0</v>
      </c>
      <c r="CW28" s="277"/>
      <c r="CX28" s="382">
        <v>44124</v>
      </c>
      <c r="CY28" s="178"/>
      <c r="CZ28" s="231">
        <f t="shared" si="109"/>
        <v>26.333333333333332</v>
      </c>
      <c r="DA28" s="279" t="str">
        <f t="shared" si="110"/>
        <v>0</v>
      </c>
      <c r="DB28" s="383">
        <v>24</v>
      </c>
      <c r="DC28" s="127">
        <f t="shared" si="111"/>
        <v>28</v>
      </c>
      <c r="DD28" s="277">
        <v>43793</v>
      </c>
      <c r="DE28" s="282">
        <f ca="1">IF(DD28&lt;TODAY(),TODAY(),DD28)</f>
        <v>43998</v>
      </c>
      <c r="DF28" s="279">
        <f t="shared" ca="1" si="112"/>
        <v>205</v>
      </c>
      <c r="DG28" s="766">
        <f>DATE(YEAR(DD28),MONTH(DD28)+2,DAY(DD28))</f>
        <v>43854</v>
      </c>
      <c r="DH28" s="295">
        <f ca="1">IF(DG28&lt;TODAY(),TODAY(),DG28)</f>
        <v>43998</v>
      </c>
      <c r="DI28" s="280">
        <f t="shared" ca="1" si="113"/>
        <v>144</v>
      </c>
      <c r="DJ28" s="281"/>
      <c r="DK28" s="282">
        <f ca="1">IF(DJ28&lt;TODAY(),TODAY(),DJ28)</f>
        <v>43998</v>
      </c>
      <c r="DL28" s="279" t="str">
        <f t="shared" ca="1" si="114"/>
        <v>0</v>
      </c>
      <c r="DM28" s="282"/>
      <c r="DN28" s="282">
        <f ca="1">IF(DM28&lt;TODAY(),TODAY(),DM28)</f>
        <v>43998</v>
      </c>
      <c r="DO28" s="279" t="str">
        <f t="shared" ca="1" si="115"/>
        <v>0</v>
      </c>
      <c r="DP28" s="283"/>
      <c r="DQ28" s="283"/>
      <c r="DR28" s="279" t="str">
        <f t="shared" si="116"/>
        <v>0</v>
      </c>
      <c r="DS28" s="282"/>
      <c r="DT28" s="282">
        <f ca="1">IF(DS28&lt;TODAY(),TODAY(),DS28)</f>
        <v>43998</v>
      </c>
      <c r="DU28" s="279" t="str">
        <f t="shared" ca="1" si="117"/>
        <v>0</v>
      </c>
      <c r="DV28" s="282"/>
      <c r="DW28" s="282">
        <f ca="1">IF(DV28&lt;TODAY(),TODAY(),DV28)</f>
        <v>43998</v>
      </c>
      <c r="DX28" s="279" t="str">
        <f t="shared" ca="1" si="118"/>
        <v>0</v>
      </c>
      <c r="DY28" s="282"/>
      <c r="DZ28" s="282"/>
      <c r="EA28" s="282"/>
      <c r="EB28" s="410">
        <f t="shared" si="119"/>
        <v>44854</v>
      </c>
      <c r="EC28" s="409">
        <f>DATE(YEAR(EB28),MONTH(EB28)+4,DAY(EB28))</f>
        <v>44977</v>
      </c>
      <c r="ED28" s="406">
        <f t="shared" si="120"/>
        <v>4.0999999999999996</v>
      </c>
      <c r="EE28" s="513">
        <f t="shared" ref="EE28:EE37" ca="1" si="169">IF(((EC28-TODAY())/30)&lt;0,0,(EC28-TODAY())/30)</f>
        <v>32.633333333333333</v>
      </c>
      <c r="EF28" s="408">
        <f ca="1">DATE(YEAR(DH28)+2,MONTH(DH28),DAY(DH28))</f>
        <v>44728</v>
      </c>
      <c r="EG28" s="448"/>
      <c r="EH28" s="448"/>
      <c r="EI28" s="448"/>
      <c r="EJ28" s="242"/>
      <c r="EK28" s="456">
        <f t="shared" si="166"/>
        <v>44885</v>
      </c>
      <c r="EL28" s="409">
        <f>DATE(YEAR(EC28),MONTH(EC28)+1,DAY(EC28))</f>
        <v>45005</v>
      </c>
      <c r="EM28" s="314"/>
      <c r="EN28" s="404">
        <f>(DATEDIF(EK28,EL28,"d"))/30</f>
        <v>4</v>
      </c>
      <c r="EO28" s="394">
        <v>13231</v>
      </c>
      <c r="EP28" s="131">
        <f t="shared" si="121"/>
        <v>52924</v>
      </c>
      <c r="EQ28" s="60"/>
      <c r="ER28" s="60"/>
      <c r="ES28" s="742"/>
      <c r="ET28" s="300">
        <v>0</v>
      </c>
      <c r="EU28" s="300">
        <v>0</v>
      </c>
      <c r="EV28" s="300"/>
      <c r="EW28" s="300"/>
      <c r="EX28" s="300"/>
      <c r="EY28" s="416">
        <f t="shared" si="122"/>
        <v>0</v>
      </c>
      <c r="EZ28" s="297"/>
      <c r="FA28" s="308"/>
      <c r="FB28" s="308" t="s">
        <v>504</v>
      </c>
      <c r="FC28" s="308" t="s">
        <v>788</v>
      </c>
      <c r="FD28" s="89">
        <f t="shared" ca="1" si="167"/>
        <v>44728</v>
      </c>
      <c r="FE28" s="63"/>
      <c r="FF28" s="63"/>
      <c r="FG28" s="63"/>
      <c r="FH28" s="63"/>
      <c r="FI28" s="63"/>
      <c r="FJ28" s="22"/>
      <c r="FK28" s="146">
        <f t="shared" si="124"/>
        <v>45342</v>
      </c>
      <c r="FL28" s="146"/>
      <c r="FM28" s="146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451"/>
      <c r="GB28" s="471">
        <f>GD28+GG28+GJ28+HF28+Tableau6[[#This Row],[PRÊT CREDIT D''IMPOT (PM)]]</f>
        <v>4761024.0180526366</v>
      </c>
      <c r="GC28" s="645">
        <f t="shared" si="157"/>
        <v>4761024.0180526366</v>
      </c>
      <c r="GD28" s="507">
        <f t="shared" si="137"/>
        <v>439624.0180526367</v>
      </c>
      <c r="GE28" s="20">
        <f t="shared" si="125"/>
        <v>2289.4051318060947</v>
      </c>
      <c r="GF28" s="20">
        <f t="shared" si="126"/>
        <v>216410.1826387562</v>
      </c>
      <c r="GG28" s="503">
        <v>1615720</v>
      </c>
      <c r="GH28" s="351"/>
      <c r="GI28" s="11">
        <f t="shared" si="158"/>
        <v>73441.818181818177</v>
      </c>
      <c r="GJ28" s="503">
        <f t="shared" si="127"/>
        <v>2705680</v>
      </c>
      <c r="GK28" s="5">
        <f>GL28+GM28</f>
        <v>2562680</v>
      </c>
      <c r="GL28" s="828">
        <v>499292</v>
      </c>
      <c r="GM28" s="828">
        <v>2063388</v>
      </c>
      <c r="GN28" s="345">
        <f t="shared" si="128"/>
        <v>116485.45454545454</v>
      </c>
      <c r="GO28" s="806"/>
      <c r="GP28" s="5">
        <v>418000</v>
      </c>
      <c r="GQ28" s="35"/>
      <c r="GR28" s="18">
        <f t="shared" si="129"/>
        <v>8.7796238459425205E-2</v>
      </c>
      <c r="GS28" s="35">
        <v>143000</v>
      </c>
      <c r="GT28" s="35"/>
      <c r="GU28" s="5">
        <v>21624.0180526367</v>
      </c>
      <c r="GV28" s="20">
        <f t="shared" si="130"/>
        <v>19000</v>
      </c>
      <c r="GW28" s="20">
        <f t="shared" si="131"/>
        <v>92441.818181818177</v>
      </c>
      <c r="GX28" s="567"/>
      <c r="GY28" s="567"/>
      <c r="GZ28" s="567">
        <f>(GG28+GP28+GY28)/AD28</f>
        <v>92441.818181818177</v>
      </c>
      <c r="HA28" s="567"/>
      <c r="HB28" s="567">
        <f t="shared" si="132"/>
        <v>92441.818181818177</v>
      </c>
      <c r="HC28" s="568">
        <f t="shared" si="160"/>
        <v>0.42716020593230197</v>
      </c>
      <c r="HD28" s="567"/>
      <c r="HE28" s="567"/>
      <c r="HF28" s="503">
        <f>EU28</f>
        <v>0</v>
      </c>
      <c r="HG28" s="633">
        <f>(922952+2938.14)*1.021</f>
        <v>945333.83293999988</v>
      </c>
      <c r="HH28" s="634">
        <f t="shared" si="133"/>
        <v>0.19855682923579582</v>
      </c>
      <c r="HI28" s="633">
        <f>GB28+GB29-HG28</f>
        <v>3815690.1851126365</v>
      </c>
      <c r="HJ28" s="633" t="e">
        <f ca="1">IF(EE28&lt;DATEDIF(TODAY(),$HJ$1,"M"),HI28,(HI28/EE28*DATEDIF(TODAY(),$HJ$1,"M")))*0+500000</f>
        <v>#VALUE!</v>
      </c>
      <c r="HK28" s="634" t="e">
        <f ca="1">(HJ28+HG28)/(GB28+GB29)</f>
        <v>#VALUE!</v>
      </c>
      <c r="HL28" s="633">
        <f>'[1]GLOBAL OPERATION'!$AG$69</f>
        <v>97825.35</v>
      </c>
      <c r="HM28" s="633">
        <f t="shared" si="135"/>
        <v>341798.66805263667</v>
      </c>
      <c r="HN28" s="634">
        <f t="shared" si="136"/>
        <v>0.2225204856489148</v>
      </c>
      <c r="HO28" s="634"/>
      <c r="HP28" s="563">
        <v>268344.27982413885</v>
      </c>
      <c r="HQ28" s="47">
        <v>228712.19922689543</v>
      </c>
      <c r="HR28" s="563">
        <v>501586.04962073587</v>
      </c>
      <c r="HS28" s="563">
        <f>SUM(Tableau6[[#This Row],[GO]:[CARRELAGE]])</f>
        <v>0</v>
      </c>
      <c r="HT28" s="461"/>
      <c r="HU28" s="461"/>
      <c r="HV28" s="461"/>
      <c r="HW28" s="461"/>
      <c r="HX28" s="461"/>
      <c r="HY28" s="461"/>
      <c r="HZ28" s="461"/>
      <c r="IA28" s="461"/>
      <c r="IB28" s="461"/>
      <c r="IC28" s="461"/>
      <c r="ID28" s="461"/>
      <c r="IE28" s="461"/>
      <c r="IF28" s="461"/>
      <c r="IG28" s="563">
        <v>498386</v>
      </c>
      <c r="IH28" s="563">
        <v>144000</v>
      </c>
      <c r="II28" s="563">
        <f>HP28+HR28+Tableau6[[#This Row],[TRAVAUX BATIS]]+Tableau6[[#This Row],[HONORAIRES]]+IH28</f>
        <v>1412316.3294448748</v>
      </c>
      <c r="IJ28" s="654">
        <f>Tableau6[[#This Row],[TOTAL PRP HT]]-Tableau6[[#This Row],[PRP TTC HORS FRAFU]]/1.021</f>
        <v>-3250782.6108613322</v>
      </c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</row>
    <row r="29" spans="1:256" ht="20.149999999999999" customHeight="1">
      <c r="A29" s="42" t="s">
        <v>890</v>
      </c>
      <c r="B29" s="10" t="s">
        <v>296</v>
      </c>
      <c r="C29" s="10" t="s">
        <v>87</v>
      </c>
      <c r="D29" s="2">
        <v>2022</v>
      </c>
      <c r="E29" s="10"/>
      <c r="F29" s="2"/>
      <c r="G29" s="2"/>
      <c r="H29" s="10" t="s">
        <v>279</v>
      </c>
      <c r="I29" s="22"/>
      <c r="J29" s="23" t="s">
        <v>697</v>
      </c>
      <c r="K29" s="102"/>
      <c r="L29" s="78"/>
      <c r="M29" s="51"/>
      <c r="N29" s="52"/>
      <c r="O29" s="108">
        <f>647+598</f>
        <v>1245</v>
      </c>
      <c r="P29" s="108">
        <v>747000</v>
      </c>
      <c r="Q29" s="108">
        <v>747000</v>
      </c>
      <c r="R29" s="103">
        <f t="shared" si="149"/>
        <v>16600</v>
      </c>
      <c r="S29" s="103">
        <f t="shared" si="150"/>
        <v>600</v>
      </c>
      <c r="T29" s="109">
        <f t="shared" si="151"/>
        <v>600</v>
      </c>
      <c r="U29" s="109">
        <f t="shared" si="152"/>
        <v>184.42167633625479</v>
      </c>
      <c r="V29" s="109">
        <f t="shared" si="153"/>
        <v>16600</v>
      </c>
      <c r="W29" s="103">
        <f t="shared" si="154"/>
        <v>27.666666666666668</v>
      </c>
      <c r="X29" s="110"/>
      <c r="Y29" s="447">
        <f t="shared" si="96"/>
        <v>361.4457831325301</v>
      </c>
      <c r="Z29" s="110" t="s">
        <v>696</v>
      </c>
      <c r="AA29" s="106">
        <v>10</v>
      </c>
      <c r="AB29" s="107">
        <v>0</v>
      </c>
      <c r="AC29" s="10" t="s">
        <v>293</v>
      </c>
      <c r="AD29" s="426">
        <f t="shared" si="97"/>
        <v>45</v>
      </c>
      <c r="AE29" s="426">
        <f t="shared" si="98"/>
        <v>45</v>
      </c>
      <c r="AF29" s="3"/>
      <c r="AG29" s="21"/>
      <c r="AH29" s="94">
        <v>45</v>
      </c>
      <c r="AI29" s="32"/>
      <c r="AJ29" s="26">
        <v>3488</v>
      </c>
      <c r="AK29" s="225">
        <v>4050.5</v>
      </c>
      <c r="AL29" s="492">
        <f t="shared" si="99"/>
        <v>77.511111111111106</v>
      </c>
      <c r="AM29" s="4">
        <f t="shared" si="100"/>
        <v>90.011111111111106</v>
      </c>
      <c r="AN29" s="26"/>
      <c r="AO29" s="26"/>
      <c r="AP29" s="26"/>
      <c r="AQ29" s="39"/>
      <c r="AR29" s="39"/>
      <c r="AS29" s="39"/>
      <c r="AT29" s="28"/>
      <c r="AU29" s="26"/>
      <c r="AV29" s="53"/>
      <c r="AW29" s="39" t="s">
        <v>129</v>
      </c>
      <c r="AX29" s="39" t="s">
        <v>129</v>
      </c>
      <c r="AY29" s="26"/>
      <c r="AZ29" s="25" t="s">
        <v>386</v>
      </c>
      <c r="BA29" s="2" t="s">
        <v>94</v>
      </c>
      <c r="BB29" s="28">
        <v>8405000</v>
      </c>
      <c r="BC29" s="437">
        <f>BB29/AJ29</f>
        <v>2409.690366972477</v>
      </c>
      <c r="BD29" s="332">
        <f>BB29/AK29</f>
        <v>2075.0524626589308</v>
      </c>
      <c r="BE29" s="334">
        <f>BB29/AD29</f>
        <v>186777.77777777778</v>
      </c>
      <c r="BF29" s="122"/>
      <c r="BG29" s="122"/>
      <c r="BH29" s="89"/>
      <c r="BI29" s="89"/>
      <c r="BJ29" s="548"/>
      <c r="BK29" s="548"/>
      <c r="BL29" s="549"/>
      <c r="BM29" s="547">
        <f t="shared" si="101"/>
        <v>0</v>
      </c>
      <c r="BN29" s="490" t="s">
        <v>229</v>
      </c>
      <c r="BO29" s="76"/>
      <c r="BP29" s="99"/>
      <c r="BQ29" s="536">
        <f t="shared" si="168"/>
        <v>0</v>
      </c>
      <c r="BR29" s="529"/>
      <c r="BS29" s="77"/>
      <c r="BT29" s="77"/>
      <c r="BU29" s="151"/>
      <c r="BV29" s="150">
        <f t="shared" si="102"/>
        <v>1096</v>
      </c>
      <c r="BW29" s="373"/>
      <c r="BX29" s="150" t="str">
        <f>IF(Tableau6[[#This Row],[Montant des loyers perçus avant 1e échéance]]&lt;BW29,"oui","non")</f>
        <v>non</v>
      </c>
      <c r="BY29" s="475">
        <f t="shared" si="155"/>
        <v>-1473.2666666666667</v>
      </c>
      <c r="BZ29" s="373">
        <f>IF((BY29*EO29)&lt;0,"0",BY29*EO29)</f>
        <v>0</v>
      </c>
      <c r="CA29" s="373">
        <f>IF(BW29-BZ29&lt;0,0,Tableau6[[#This Row],[Montant échéance annuelle]]-Tableau6[[#This Row],[Montant des loyers perçus avant 1e échéance]])</f>
        <v>0</v>
      </c>
      <c r="CB29" s="288"/>
      <c r="CC29" s="288"/>
      <c r="CD29" s="288"/>
      <c r="CE29" s="290" t="str">
        <f t="shared" si="162"/>
        <v>0</v>
      </c>
      <c r="CF29" s="288"/>
      <c r="CG29" s="288"/>
      <c r="CH29" s="290" t="str">
        <f t="shared" si="163"/>
        <v>0</v>
      </c>
      <c r="CI29" s="288"/>
      <c r="CJ29" s="288"/>
      <c r="CK29" s="290" t="str">
        <f t="shared" si="164"/>
        <v>0</v>
      </c>
      <c r="CL29" s="288"/>
      <c r="CM29" s="288"/>
      <c r="CN29" s="290" t="str">
        <f t="shared" si="165"/>
        <v>0</v>
      </c>
      <c r="CO29" s="288"/>
      <c r="CP29" s="288"/>
      <c r="CQ29" s="290" t="str">
        <f t="shared" si="107"/>
        <v>0</v>
      </c>
      <c r="CR29" s="237"/>
      <c r="CS29" s="292"/>
      <c r="CT29" s="277"/>
      <c r="CU29" s="278"/>
      <c r="CV29" s="279" t="str">
        <f t="shared" si="161"/>
        <v>0</v>
      </c>
      <c r="CW29" s="277"/>
      <c r="CX29" s="382">
        <v>44745</v>
      </c>
      <c r="CY29" s="429"/>
      <c r="CZ29" s="231">
        <f t="shared" si="109"/>
        <v>1491.5</v>
      </c>
      <c r="DA29" s="279" t="str">
        <f t="shared" si="110"/>
        <v>0</v>
      </c>
      <c r="DB29" s="383">
        <v>16</v>
      </c>
      <c r="DC29" s="127">
        <f t="shared" si="111"/>
        <v>17</v>
      </c>
      <c r="DD29" s="277"/>
      <c r="DE29" s="282">
        <f ca="1">IF(DD29&lt;TODAY(),TODAY(),DD29)</f>
        <v>43998</v>
      </c>
      <c r="DF29" s="279" t="str">
        <f t="shared" ca="1" si="112"/>
        <v>0</v>
      </c>
      <c r="DG29" s="766"/>
      <c r="DH29" s="295">
        <f ca="1">IF(DG29&lt;TODAY(),TODAY(),DG29)</f>
        <v>43998</v>
      </c>
      <c r="DI29" s="280" t="str">
        <f t="shared" ca="1" si="113"/>
        <v>0</v>
      </c>
      <c r="DJ29" s="281"/>
      <c r="DK29" s="282">
        <f ca="1">IF(DJ29&lt;TODAY(),TODAY(),DJ29)</f>
        <v>43998</v>
      </c>
      <c r="DL29" s="279" t="str">
        <f t="shared" ca="1" si="114"/>
        <v>0</v>
      </c>
      <c r="DM29" s="282"/>
      <c r="DN29" s="282">
        <f ca="1">IF(DM29&lt;TODAY(),TODAY(),DM29)</f>
        <v>43998</v>
      </c>
      <c r="DO29" s="279" t="str">
        <f t="shared" ca="1" si="115"/>
        <v>0</v>
      </c>
      <c r="DP29" s="283"/>
      <c r="DQ29" s="283"/>
      <c r="DR29" s="279" t="str">
        <f t="shared" si="116"/>
        <v>0</v>
      </c>
      <c r="DS29" s="282"/>
      <c r="DT29" s="282">
        <f ca="1">IF(DS29&lt;TODAY(),TODAY(),DS29)</f>
        <v>43998</v>
      </c>
      <c r="DU29" s="279" t="str">
        <f t="shared" ca="1" si="117"/>
        <v>0</v>
      </c>
      <c r="DV29" s="282"/>
      <c r="DW29" s="282">
        <f ca="1">IF(DV29&lt;TODAY(),TODAY(),DV29)</f>
        <v>43998</v>
      </c>
      <c r="DX29" s="279" t="str">
        <f t="shared" ca="1" si="118"/>
        <v>0</v>
      </c>
      <c r="DY29" s="283"/>
      <c r="DZ29" s="283"/>
      <c r="EA29" s="283"/>
      <c r="EB29" s="410">
        <f t="shared" si="119"/>
        <v>45233</v>
      </c>
      <c r="EC29" s="409">
        <f>DATE(YEAR(EB29),MONTH(EB29)+1,DAY(EB29))</f>
        <v>45263</v>
      </c>
      <c r="ED29" s="406">
        <f t="shared" si="120"/>
        <v>1</v>
      </c>
      <c r="EE29" s="513">
        <f t="shared" ca="1" si="169"/>
        <v>42.166666666666664</v>
      </c>
      <c r="EF29" s="408">
        <f ca="1">DATE(YEAR(DH29)+2,MONTH(DH29),DAY(DH29))</f>
        <v>44728</v>
      </c>
      <c r="EG29" s="448"/>
      <c r="EH29" s="448"/>
      <c r="EI29" s="448">
        <f>DATE(YEAR(EC29),MONTH(EC29)+4,DAY(EC29)+2)</f>
        <v>45387</v>
      </c>
      <c r="EJ29" s="312"/>
      <c r="EK29" s="456">
        <f t="shared" si="166"/>
        <v>45263</v>
      </c>
      <c r="EL29" s="409">
        <f>DATE(YEAR(EC29),MONTH(EC29)+1,DAY(EC29))</f>
        <v>45294</v>
      </c>
      <c r="EM29" s="314"/>
      <c r="EN29" s="404">
        <f>(EL29-EK29)/30</f>
        <v>1.0333333333333334</v>
      </c>
      <c r="EO29" s="394"/>
      <c r="EP29" s="131">
        <f t="shared" si="121"/>
        <v>0</v>
      </c>
      <c r="EQ29" s="60"/>
      <c r="ER29" s="60"/>
      <c r="ES29" s="742">
        <f>(Tableau6[[#This Row],[Date inauguration recalée]]-ER29)/30</f>
        <v>1509.8</v>
      </c>
      <c r="ET29" s="300"/>
      <c r="EU29" s="300"/>
      <c r="EV29" s="300"/>
      <c r="EW29" s="300"/>
      <c r="EX29" s="300"/>
      <c r="EY29" s="416" t="e">
        <f t="shared" si="122"/>
        <v>#DIV/0!</v>
      </c>
      <c r="EZ29" s="297"/>
      <c r="FA29" s="308"/>
      <c r="FB29" s="297"/>
      <c r="FC29" s="297"/>
      <c r="FD29" s="89">
        <f t="shared" ca="1" si="167"/>
        <v>44728</v>
      </c>
      <c r="FE29" s="63"/>
      <c r="FF29" s="63"/>
      <c r="FG29" s="63"/>
      <c r="FH29" s="63"/>
      <c r="FI29" s="63"/>
      <c r="FJ29" s="22"/>
      <c r="FK29" s="146">
        <f t="shared" si="124"/>
        <v>45629</v>
      </c>
      <c r="FL29" s="146"/>
      <c r="FM29" s="146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451"/>
      <c r="GB29" s="471">
        <f>GD29+GG29+GJ29+HF29+Tableau6[[#This Row],[PRÊT CREDIT D''IMPOT (PM)]]</f>
        <v>0</v>
      </c>
      <c r="GC29" s="645">
        <f t="shared" si="157"/>
        <v>0</v>
      </c>
      <c r="GD29" s="507">
        <f t="shared" si="137"/>
        <v>0</v>
      </c>
      <c r="GE29" s="20">
        <f t="shared" si="125"/>
        <v>0</v>
      </c>
      <c r="GF29" s="20">
        <f t="shared" si="126"/>
        <v>0</v>
      </c>
      <c r="GG29" s="503"/>
      <c r="GH29" s="351"/>
      <c r="GI29" s="11">
        <f t="shared" si="158"/>
        <v>0</v>
      </c>
      <c r="GJ29" s="503">
        <f t="shared" si="127"/>
        <v>0</v>
      </c>
      <c r="GK29" s="5">
        <f>GL29+GM29</f>
        <v>0</v>
      </c>
      <c r="GL29" s="6"/>
      <c r="GM29" s="6"/>
      <c r="GN29" s="345">
        <f t="shared" si="128"/>
        <v>0</v>
      </c>
      <c r="GO29" s="5"/>
      <c r="GP29" s="5"/>
      <c r="GQ29" s="35"/>
      <c r="GR29" s="18" t="e">
        <f t="shared" si="129"/>
        <v>#DIV/0!</v>
      </c>
      <c r="GS29" s="35"/>
      <c r="GT29" s="35"/>
      <c r="GU29" s="5"/>
      <c r="GV29" s="20"/>
      <c r="GW29" s="20"/>
      <c r="GX29" s="567"/>
      <c r="GY29" s="567"/>
      <c r="GZ29" s="567"/>
      <c r="HA29" s="567"/>
      <c r="HB29" s="567"/>
      <c r="HC29" s="568"/>
      <c r="HD29" s="567"/>
      <c r="HE29" s="567"/>
      <c r="HF29" s="503"/>
      <c r="HG29" s="633"/>
      <c r="HH29" s="634" t="e">
        <f t="shared" si="133"/>
        <v>#DIV/0!</v>
      </c>
      <c r="HI29" s="633">
        <f>GB29-HG29</f>
        <v>0</v>
      </c>
      <c r="HJ29" s="633" t="e">
        <f ca="1">IF(EE29&lt;DATEDIF(TODAY(),$HJ$1,"M"),HI29,(HI29/EE29*DATEDIF(TODAY(),$HJ$1,"M")))</f>
        <v>#VALUE!</v>
      </c>
      <c r="HK29" s="634" t="e">
        <f ca="1">(HG29+HJ29)/GB29</f>
        <v>#VALUE!</v>
      </c>
      <c r="HL29" s="633"/>
      <c r="HM29" s="633">
        <f t="shared" si="135"/>
        <v>0</v>
      </c>
      <c r="HN29" s="633" t="e">
        <f t="shared" si="136"/>
        <v>#DIV/0!</v>
      </c>
      <c r="HO29" s="633"/>
      <c r="HP29" s="563"/>
      <c r="HQ29" s="47"/>
      <c r="HR29" s="563"/>
      <c r="HS29" s="563">
        <f>SUM(Tableau6[[#This Row],[GO]:[CARRELAGE]])</f>
        <v>0</v>
      </c>
      <c r="HT29" s="461"/>
      <c r="HU29" s="461"/>
      <c r="HV29" s="461"/>
      <c r="HW29" s="461"/>
      <c r="HX29" s="461"/>
      <c r="HY29" s="461"/>
      <c r="HZ29" s="461"/>
      <c r="IA29" s="461"/>
      <c r="IB29" s="461"/>
      <c r="IC29" s="461"/>
      <c r="ID29" s="461"/>
      <c r="IE29" s="461"/>
      <c r="IF29" s="461"/>
      <c r="IG29" s="563"/>
      <c r="IH29" s="563"/>
      <c r="II29" s="563">
        <f>HP29+HR29+Tableau6[[#This Row],[TRAVAUX BATIS]]+Tableau6[[#This Row],[HONORAIRES]]+IH29</f>
        <v>0</v>
      </c>
      <c r="IJ29" s="654">
        <f>Tableau6[[#This Row],[TOTAL PRP HT]]-Tableau6[[#This Row],[PRP TTC HORS FRAFU]]/1.021</f>
        <v>0</v>
      </c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</row>
    <row r="30" spans="1:256" ht="20.149999999999999" customHeight="1">
      <c r="A30" s="824" t="s">
        <v>291</v>
      </c>
      <c r="B30" s="2" t="s">
        <v>20</v>
      </c>
      <c r="C30" s="2" t="s">
        <v>87</v>
      </c>
      <c r="D30" s="2">
        <v>2018</v>
      </c>
      <c r="E30" s="2" t="s">
        <v>403</v>
      </c>
      <c r="F30" s="423"/>
      <c r="G30" s="423"/>
      <c r="H30" s="779"/>
      <c r="I30" s="22"/>
      <c r="J30" s="22" t="s">
        <v>292</v>
      </c>
      <c r="K30" s="134" t="s">
        <v>418</v>
      </c>
      <c r="L30" s="78"/>
      <c r="M30" s="51"/>
      <c r="N30" s="52"/>
      <c r="O30" s="103">
        <f>10872*0.56</f>
        <v>6088.3200000000006</v>
      </c>
      <c r="P30" s="103">
        <v>290092</v>
      </c>
      <c r="Q30" s="103"/>
      <c r="R30" s="103">
        <f t="shared" si="149"/>
        <v>8532.1176470588234</v>
      </c>
      <c r="S30" s="103">
        <f t="shared" si="150"/>
        <v>47.64729843372227</v>
      </c>
      <c r="T30" s="109">
        <f t="shared" si="151"/>
        <v>0</v>
      </c>
      <c r="U30" s="109">
        <f t="shared" si="152"/>
        <v>0</v>
      </c>
      <c r="V30" s="109">
        <f t="shared" si="153"/>
        <v>0</v>
      </c>
      <c r="W30" s="103">
        <f t="shared" si="154"/>
        <v>179.06823529411767</v>
      </c>
      <c r="X30" s="104"/>
      <c r="Y30" s="447">
        <f t="shared" si="96"/>
        <v>55.84463365920319</v>
      </c>
      <c r="Z30" s="104"/>
      <c r="AA30" s="106"/>
      <c r="AB30" s="107"/>
      <c r="AC30" s="2" t="s">
        <v>10</v>
      </c>
      <c r="AD30" s="426">
        <f t="shared" si="97"/>
        <v>34</v>
      </c>
      <c r="AE30" s="426">
        <f t="shared" si="98"/>
        <v>34</v>
      </c>
      <c r="AF30" s="3"/>
      <c r="AG30" s="2">
        <v>34</v>
      </c>
      <c r="AH30" s="57"/>
      <c r="AI30" s="57"/>
      <c r="AJ30" s="614">
        <v>2347.75</v>
      </c>
      <c r="AK30" s="225">
        <v>2623.45</v>
      </c>
      <c r="AL30" s="492">
        <f t="shared" si="99"/>
        <v>69.05147058823529</v>
      </c>
      <c r="AM30" s="4">
        <f t="shared" si="100"/>
        <v>77.160294117647055</v>
      </c>
      <c r="AN30" s="26">
        <v>5.9828543468996109</v>
      </c>
      <c r="AO30" s="26">
        <v>5.35</v>
      </c>
      <c r="AP30" s="26">
        <v>413.12</v>
      </c>
      <c r="AQ30" s="39">
        <f>1/AD30</f>
        <v>2.9411764705882353E-2</v>
      </c>
      <c r="AR30" s="39">
        <f>10/AD30</f>
        <v>0.29411764705882354</v>
      </c>
      <c r="AS30" s="39">
        <f>16/AD30</f>
        <v>0.47058823529411764</v>
      </c>
      <c r="AT30" s="39">
        <f>7/AD30</f>
        <v>0.20588235294117646</v>
      </c>
      <c r="AU30" s="39"/>
      <c r="AV30" s="4"/>
      <c r="AW30" s="37"/>
      <c r="AX30" s="39"/>
      <c r="AY30" s="26"/>
      <c r="AZ30" s="25" t="s">
        <v>386</v>
      </c>
      <c r="BA30" s="2" t="s">
        <v>94</v>
      </c>
      <c r="BB30" s="22"/>
      <c r="BC30" s="22"/>
      <c r="BD30" s="22"/>
      <c r="BE30" s="22"/>
      <c r="BF30" s="123" t="s">
        <v>389</v>
      </c>
      <c r="BG30" s="123"/>
      <c r="BH30" s="56">
        <v>43308</v>
      </c>
      <c r="BI30" s="325">
        <v>43713</v>
      </c>
      <c r="BJ30" s="548">
        <v>43189</v>
      </c>
      <c r="BK30" s="548">
        <v>43334</v>
      </c>
      <c r="BL30" s="549"/>
      <c r="BM30" s="547">
        <f t="shared" si="101"/>
        <v>4.833333333333333</v>
      </c>
      <c r="BN30" s="490" t="s">
        <v>229</v>
      </c>
      <c r="BO30" s="786"/>
      <c r="BP30" s="99"/>
      <c r="BQ30" s="536">
        <f t="shared" si="168"/>
        <v>0</v>
      </c>
      <c r="BR30" s="529"/>
      <c r="BS30" s="77">
        <f>DATE(YEAR(BP30),MONTH(BP30)+3,DAY(BP30))</f>
        <v>91</v>
      </c>
      <c r="BT30" s="77"/>
      <c r="BU30" s="151"/>
      <c r="BV30" s="150">
        <f t="shared" si="102"/>
        <v>1096</v>
      </c>
      <c r="BW30" s="373"/>
      <c r="BX30" s="150" t="str">
        <f>IF(Tableau6[[#This Row],[Montant des loyers perçus avant 1e échéance]]&lt;BW30,"oui","non")</f>
        <v>non</v>
      </c>
      <c r="BY30" s="475">
        <f t="shared" si="155"/>
        <v>-1463.6333333333334</v>
      </c>
      <c r="BZ30" s="373" t="str">
        <f>IF((BY30*EO30)&lt;0,"0",BY30*EO30)</f>
        <v>0</v>
      </c>
      <c r="CA30" s="373">
        <f>IF(BW30-BZ30&lt;0,0,Tableau6[[#This Row],[Montant échéance annuelle]]-Tableau6[[#This Row],[Montant des loyers perçus avant 1e échéance]])</f>
        <v>0</v>
      </c>
      <c r="CB30" s="226"/>
      <c r="CC30" s="64"/>
      <c r="CD30" s="64"/>
      <c r="CE30" s="290" t="str">
        <f t="shared" si="162"/>
        <v>0</v>
      </c>
      <c r="CF30" s="64"/>
      <c r="CG30" s="159"/>
      <c r="CH30" s="273" t="str">
        <f t="shared" si="163"/>
        <v>0</v>
      </c>
      <c r="CI30" s="64"/>
      <c r="CJ30" s="226"/>
      <c r="CK30" s="273" t="str">
        <f t="shared" si="164"/>
        <v>0</v>
      </c>
      <c r="CL30" s="64"/>
      <c r="CM30" s="226"/>
      <c r="CN30" s="273" t="str">
        <f t="shared" si="165"/>
        <v>0</v>
      </c>
      <c r="CO30" s="66"/>
      <c r="CP30" s="64"/>
      <c r="CQ30" s="273" t="str">
        <f t="shared" si="107"/>
        <v>0</v>
      </c>
      <c r="CR30" s="237"/>
      <c r="CS30" s="292"/>
      <c r="CT30" s="277"/>
      <c r="CU30" s="278"/>
      <c r="CV30" s="279" t="str">
        <f t="shared" si="161"/>
        <v>0</v>
      </c>
      <c r="CW30" s="277"/>
      <c r="CX30" s="382">
        <v>44124</v>
      </c>
      <c r="CY30" s="178"/>
      <c r="CZ30" s="231">
        <f t="shared" si="109"/>
        <v>26.333333333333332</v>
      </c>
      <c r="DA30" s="279" t="str">
        <f t="shared" si="110"/>
        <v>0</v>
      </c>
      <c r="DB30" s="383">
        <v>24</v>
      </c>
      <c r="DC30" s="127">
        <f t="shared" si="111"/>
        <v>28</v>
      </c>
      <c r="DD30" s="277">
        <v>43793</v>
      </c>
      <c r="DE30" s="282">
        <f ca="1">IF(DD30&lt;TODAY(),TODAY(),DD30)</f>
        <v>43998</v>
      </c>
      <c r="DF30" s="279">
        <f t="shared" ca="1" si="112"/>
        <v>205</v>
      </c>
      <c r="DG30" s="766">
        <f>DATE(YEAR(DD30),MONTH(DD30)+2,DAY(DD30))</f>
        <v>43854</v>
      </c>
      <c r="DH30" s="295">
        <f ca="1">IF(DG30&lt;TODAY(),TODAY(),DG30)</f>
        <v>43998</v>
      </c>
      <c r="DI30" s="280">
        <f t="shared" ca="1" si="113"/>
        <v>144</v>
      </c>
      <c r="DJ30" s="281"/>
      <c r="DK30" s="282">
        <f ca="1">IF(DJ30&lt;TODAY(),TODAY(),DJ30)</f>
        <v>43998</v>
      </c>
      <c r="DL30" s="279" t="str">
        <f t="shared" ca="1" si="114"/>
        <v>0</v>
      </c>
      <c r="DM30" s="282"/>
      <c r="DN30" s="282">
        <f ca="1">IF(DM30&lt;TODAY(),TODAY(),DM30)</f>
        <v>43998</v>
      </c>
      <c r="DO30" s="279" t="str">
        <f t="shared" ca="1" si="115"/>
        <v>0</v>
      </c>
      <c r="DP30" s="283"/>
      <c r="DQ30" s="283"/>
      <c r="DR30" s="279" t="str">
        <f t="shared" si="116"/>
        <v>0</v>
      </c>
      <c r="DS30" s="282"/>
      <c r="DT30" s="282">
        <f ca="1">IF(DS30&lt;TODAY(),TODAY(),DS30)</f>
        <v>43998</v>
      </c>
      <c r="DU30" s="279" t="str">
        <f t="shared" ca="1" si="117"/>
        <v>0</v>
      </c>
      <c r="DV30" s="282"/>
      <c r="DW30" s="282">
        <f ca="1">IF(DV30&lt;TODAY(),TODAY(),DV30)</f>
        <v>43998</v>
      </c>
      <c r="DX30" s="279" t="str">
        <f t="shared" ca="1" si="118"/>
        <v>0</v>
      </c>
      <c r="DY30" s="282"/>
      <c r="DZ30" s="282"/>
      <c r="EA30" s="282"/>
      <c r="EB30" s="410">
        <f t="shared" si="119"/>
        <v>44854</v>
      </c>
      <c r="EC30" s="409">
        <f>DATE(YEAR(EB30),MONTH(EB30)+4,DAY(EB30))</f>
        <v>44977</v>
      </c>
      <c r="ED30" s="406">
        <f t="shared" si="120"/>
        <v>4.0999999999999996</v>
      </c>
      <c r="EE30" s="513">
        <f t="shared" ca="1" si="169"/>
        <v>32.633333333333333</v>
      </c>
      <c r="EF30" s="408">
        <f ca="1">DATE(YEAR(DH30)+2,MONTH(DH30),DAY(DH30))</f>
        <v>44728</v>
      </c>
      <c r="EG30" s="448"/>
      <c r="EH30" s="448"/>
      <c r="EI30" s="448"/>
      <c r="EJ30" s="242"/>
      <c r="EK30" s="456">
        <f t="shared" si="166"/>
        <v>44885</v>
      </c>
      <c r="EL30" s="409">
        <f>DATE(YEAR(EC30),MONTH(EC30)+1,DAY(EC30))</f>
        <v>45005</v>
      </c>
      <c r="EM30" s="314"/>
      <c r="EN30" s="404">
        <f>(DATEDIF(EK30,EL30,"d"))/30</f>
        <v>4</v>
      </c>
      <c r="EO30" s="394">
        <v>14099</v>
      </c>
      <c r="EP30" s="131">
        <f t="shared" si="121"/>
        <v>56396</v>
      </c>
      <c r="EQ30" s="60"/>
      <c r="ER30" s="60"/>
      <c r="ES30" s="742"/>
      <c r="ET30" s="300"/>
      <c r="EU30" s="300">
        <v>0</v>
      </c>
      <c r="EV30" s="300"/>
      <c r="EW30" s="300"/>
      <c r="EX30" s="300"/>
      <c r="EY30" s="416">
        <f t="shared" si="122"/>
        <v>0</v>
      </c>
      <c r="EZ30" s="297"/>
      <c r="FA30" s="308"/>
      <c r="FB30" s="308"/>
      <c r="FC30" s="57"/>
      <c r="FD30" s="89">
        <f t="shared" ca="1" si="167"/>
        <v>44728</v>
      </c>
      <c r="FE30" s="63"/>
      <c r="FF30" s="63"/>
      <c r="FG30" s="63"/>
      <c r="FH30" s="63"/>
      <c r="FI30" s="63"/>
      <c r="FJ30" s="22"/>
      <c r="FK30" s="146">
        <f t="shared" si="124"/>
        <v>45342</v>
      </c>
      <c r="FL30" s="146"/>
      <c r="FM30" s="146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451"/>
      <c r="GB30" s="471">
        <f>GD30+GG30+GJ30+HF30+Tableau6[[#This Row],[PRÊT CREDIT D''IMPOT (PM)]]</f>
        <v>6129891</v>
      </c>
      <c r="GC30" s="645">
        <f t="shared" si="157"/>
        <v>6129891</v>
      </c>
      <c r="GD30" s="507">
        <f t="shared" si="137"/>
        <v>741279</v>
      </c>
      <c r="GE30" s="20">
        <f t="shared" si="125"/>
        <v>2336.5762640797425</v>
      </c>
      <c r="GF30" s="20">
        <f t="shared" si="126"/>
        <v>180290.91176470587</v>
      </c>
      <c r="GG30" s="503">
        <v>1974515</v>
      </c>
      <c r="GH30" s="351"/>
      <c r="GI30" s="11">
        <f t="shared" si="158"/>
        <v>58073.970588235294</v>
      </c>
      <c r="GJ30" s="503">
        <f t="shared" si="127"/>
        <v>3114097</v>
      </c>
      <c r="GK30" s="5">
        <f>GL30+GM30</f>
        <v>2893097</v>
      </c>
      <c r="GL30" s="828">
        <v>617258</v>
      </c>
      <c r="GM30" s="828">
        <v>2275839</v>
      </c>
      <c r="GN30" s="345">
        <f t="shared" si="128"/>
        <v>85091.088235294112</v>
      </c>
      <c r="GO30" s="806"/>
      <c r="GP30" s="5">
        <v>714000</v>
      </c>
      <c r="GQ30" s="35"/>
      <c r="GR30" s="18">
        <f t="shared" si="129"/>
        <v>0.1164784169897964</v>
      </c>
      <c r="GS30" s="35">
        <v>221000</v>
      </c>
      <c r="GT30" s="35"/>
      <c r="GU30" s="5">
        <v>27279</v>
      </c>
      <c r="GV30" s="20">
        <f t="shared" ref="GV30:GV61" si="170">GP30/AD30</f>
        <v>21000</v>
      </c>
      <c r="GW30" s="20">
        <f t="shared" ref="GW30:GW61" si="171">(GG30+GP30)/AD30</f>
        <v>79073.970588235301</v>
      </c>
      <c r="GX30" s="567"/>
      <c r="GY30" s="567"/>
      <c r="GZ30" s="567">
        <f>(GG30+GP30+GY30)/AD30</f>
        <v>79073.970588235301</v>
      </c>
      <c r="HA30" s="567"/>
      <c r="HB30" s="567">
        <f t="shared" ref="HB30:HB61" si="172">(GG30+GP30+GY30+HA30)/AD30</f>
        <v>79073.970588235301</v>
      </c>
      <c r="HC30" s="568">
        <f>(GG30+GP30+GY30+HA30)/(GX30+GB30-HD30)</f>
        <v>0.4385909961531127</v>
      </c>
      <c r="HD30" s="567"/>
      <c r="HE30" s="567"/>
      <c r="HF30" s="503">
        <v>300000</v>
      </c>
      <c r="HG30" s="633"/>
      <c r="HH30" s="634">
        <f t="shared" si="133"/>
        <v>0</v>
      </c>
      <c r="HI30" s="633"/>
      <c r="HJ30" s="633"/>
      <c r="HK30" s="634"/>
      <c r="HL30" s="633">
        <f>'[1]GLOBAL OPERATION'!$AG$70</f>
        <v>28778.48</v>
      </c>
      <c r="HM30" s="633">
        <f t="shared" si="135"/>
        <v>712500.52</v>
      </c>
      <c r="HN30" s="634">
        <f t="shared" si="136"/>
        <v>3.8822737457826273E-2</v>
      </c>
      <c r="HO30" s="634"/>
      <c r="HP30" s="563">
        <v>338498.72317586123</v>
      </c>
      <c r="HQ30" s="47">
        <v>288505.45077310462</v>
      </c>
      <c r="HR30" s="563">
        <v>632717.93037926417</v>
      </c>
      <c r="HS30" s="563">
        <f>SUM(Tableau6[[#This Row],[GO]:[CARRELAGE]])</f>
        <v>0</v>
      </c>
      <c r="HT30" s="461"/>
      <c r="HU30" s="461"/>
      <c r="HV30" s="461"/>
      <c r="HW30" s="461"/>
      <c r="HX30" s="461"/>
      <c r="HY30" s="461"/>
      <c r="HZ30" s="461"/>
      <c r="IA30" s="461"/>
      <c r="IB30" s="461"/>
      <c r="IC30" s="461"/>
      <c r="ID30" s="461"/>
      <c r="IE30" s="461"/>
      <c r="IF30" s="461"/>
      <c r="IG30" s="563">
        <v>376835</v>
      </c>
      <c r="IH30" s="563">
        <v>298000</v>
      </c>
      <c r="II30" s="563">
        <f>HP30+HR30+Tableau6[[#This Row],[TRAVAUX BATIS]]+Tableau6[[#This Row],[HONORAIRES]]+IH30</f>
        <v>1646051.6535551255</v>
      </c>
      <c r="IJ30" s="654">
        <f>Tableau6[[#This Row],[TOTAL PRP HT]]-Tableau6[[#This Row],[PRP TTC HORS FRAFU]]/1.021</f>
        <v>-4357759.316082485</v>
      </c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</row>
    <row r="31" spans="1:256" ht="20.149999999999999" customHeight="1">
      <c r="A31" s="776" t="s">
        <v>176</v>
      </c>
      <c r="B31" s="2" t="s">
        <v>21</v>
      </c>
      <c r="C31" s="2" t="s">
        <v>86</v>
      </c>
      <c r="D31" s="2">
        <v>2014</v>
      </c>
      <c r="E31" s="2" t="s">
        <v>233</v>
      </c>
      <c r="F31" s="2" t="s">
        <v>40</v>
      </c>
      <c r="G31" s="2" t="s">
        <v>586</v>
      </c>
      <c r="H31" s="2" t="s">
        <v>181</v>
      </c>
      <c r="I31" s="22"/>
      <c r="J31" s="22"/>
      <c r="K31" s="134"/>
      <c r="L31" s="78"/>
      <c r="M31" s="51"/>
      <c r="N31" s="52"/>
      <c r="O31" s="109">
        <v>3512</v>
      </c>
      <c r="P31" s="109">
        <f>Q31</f>
        <v>977347</v>
      </c>
      <c r="Q31" s="109">
        <v>977347</v>
      </c>
      <c r="R31" s="103">
        <f t="shared" si="149"/>
        <v>19546.939999999999</v>
      </c>
      <c r="S31" s="109">
        <f t="shared" si="150"/>
        <v>278.28787015945329</v>
      </c>
      <c r="T31" s="109">
        <f t="shared" si="151"/>
        <v>278.28787015945329</v>
      </c>
      <c r="U31" s="109">
        <f t="shared" si="152"/>
        <v>217.55371245915362</v>
      </c>
      <c r="V31" s="109">
        <f t="shared" si="153"/>
        <v>19546.939999999999</v>
      </c>
      <c r="W31" s="103">
        <f t="shared" si="154"/>
        <v>70.239999999999995</v>
      </c>
      <c r="X31" s="112"/>
      <c r="Y31" s="445">
        <f t="shared" si="96"/>
        <v>142.36902050113895</v>
      </c>
      <c r="Z31" s="112" t="s">
        <v>148</v>
      </c>
      <c r="AA31" s="106"/>
      <c r="AB31" s="107"/>
      <c r="AC31" s="2" t="s">
        <v>10</v>
      </c>
      <c r="AD31" s="426">
        <f t="shared" si="97"/>
        <v>50</v>
      </c>
      <c r="AE31" s="426">
        <f t="shared" si="98"/>
        <v>50</v>
      </c>
      <c r="AF31" s="3"/>
      <c r="AG31" s="2">
        <v>50</v>
      </c>
      <c r="AH31" s="32"/>
      <c r="AI31" s="32"/>
      <c r="AJ31" s="614">
        <v>3918.4</v>
      </c>
      <c r="AK31" s="225">
        <v>4492.4399999999996</v>
      </c>
      <c r="AL31" s="492">
        <f t="shared" si="99"/>
        <v>78.367999999999995</v>
      </c>
      <c r="AM31" s="4">
        <f t="shared" si="100"/>
        <v>89.848799999999997</v>
      </c>
      <c r="AN31" s="26">
        <v>5.81</v>
      </c>
      <c r="AO31" s="26">
        <v>5.0599999999999996</v>
      </c>
      <c r="AP31" s="26">
        <v>454.97</v>
      </c>
      <c r="AQ31" s="28"/>
      <c r="AR31" s="28"/>
      <c r="AS31" s="28"/>
      <c r="AT31" s="28"/>
      <c r="AU31" s="28"/>
      <c r="AV31" s="4"/>
      <c r="AW31" s="37">
        <v>0</v>
      </c>
      <c r="AX31" s="39">
        <f>AW31/O31</f>
        <v>0</v>
      </c>
      <c r="AY31" s="26">
        <v>4</v>
      </c>
      <c r="AZ31" s="25" t="s">
        <v>386</v>
      </c>
      <c r="BA31" s="2" t="s">
        <v>94</v>
      </c>
      <c r="BB31" s="28">
        <v>8177215</v>
      </c>
      <c r="BC31" s="437">
        <f>BB31/AJ31</f>
        <v>2086.8760208248264</v>
      </c>
      <c r="BD31" s="438">
        <f>BB31/AK31</f>
        <v>1820.2168532022688</v>
      </c>
      <c r="BE31" s="334">
        <f>BB31/AD31</f>
        <v>163544.29999999999</v>
      </c>
      <c r="BF31" s="160">
        <v>41591</v>
      </c>
      <c r="BG31" s="160"/>
      <c r="BH31" s="57"/>
      <c r="BI31" s="57"/>
      <c r="BJ31" s="548">
        <v>41728</v>
      </c>
      <c r="BK31" s="548">
        <v>41848</v>
      </c>
      <c r="BL31" s="549"/>
      <c r="BM31" s="547">
        <f t="shared" si="101"/>
        <v>4</v>
      </c>
      <c r="BN31" s="490"/>
      <c r="BO31" s="76">
        <v>42228</v>
      </c>
      <c r="BP31" s="99">
        <v>42250</v>
      </c>
      <c r="BQ31" s="536">
        <f t="shared" si="168"/>
        <v>0.73333333333333328</v>
      </c>
      <c r="BR31" s="100"/>
      <c r="BS31" s="77">
        <v>42328</v>
      </c>
      <c r="BT31" s="77">
        <v>42264</v>
      </c>
      <c r="BU31" s="151">
        <v>42339</v>
      </c>
      <c r="BV31" s="150">
        <f t="shared" si="102"/>
        <v>43435</v>
      </c>
      <c r="BW31" s="373"/>
      <c r="BX31" s="150" t="str">
        <f>IF(Tableau6[[#This Row],[Montant des loyers perçus avant 1e échéance]]&lt;BW31,"oui","non")</f>
        <v>non</v>
      </c>
      <c r="BY31" s="475">
        <f t="shared" si="155"/>
        <v>7.6</v>
      </c>
      <c r="BZ31" s="373">
        <f>IF((BY31*EO31)&lt;0,"0",BY31*EO31)</f>
        <v>192576.03007754844</v>
      </c>
      <c r="CA31" s="373">
        <f>IF(BW31-BZ31&lt;0,0,Tableau6[[#This Row],[Montant échéance annuelle]]-Tableau6[[#This Row],[Montant des loyers perçus avant 1e échéance]])</f>
        <v>0</v>
      </c>
      <c r="CB31" s="64"/>
      <c r="CC31" s="64"/>
      <c r="CD31" s="64"/>
      <c r="CE31" s="273" t="str">
        <f t="shared" si="162"/>
        <v>0</v>
      </c>
      <c r="CF31" s="64">
        <v>41676</v>
      </c>
      <c r="CG31" s="64">
        <v>40946</v>
      </c>
      <c r="CH31" s="273">
        <f t="shared" si="163"/>
        <v>-730</v>
      </c>
      <c r="CI31" s="64"/>
      <c r="CJ31" s="64"/>
      <c r="CK31" s="273" t="str">
        <f t="shared" si="164"/>
        <v>0</v>
      </c>
      <c r="CL31" s="64"/>
      <c r="CM31" s="64"/>
      <c r="CN31" s="273" t="str">
        <f t="shared" si="165"/>
        <v>0</v>
      </c>
      <c r="CO31" s="64"/>
      <c r="CP31" s="64"/>
      <c r="CQ31" s="273" t="str">
        <f t="shared" si="107"/>
        <v>0</v>
      </c>
      <c r="CR31" s="39"/>
      <c r="CS31" s="64"/>
      <c r="CT31" s="64"/>
      <c r="CU31" s="64"/>
      <c r="CV31" s="273" t="str">
        <f t="shared" si="161"/>
        <v>0</v>
      </c>
      <c r="CW31" s="64">
        <v>42349</v>
      </c>
      <c r="CX31" s="183">
        <v>42348</v>
      </c>
      <c r="CY31" s="177">
        <v>2015</v>
      </c>
      <c r="CZ31" s="233">
        <f t="shared" si="109"/>
        <v>16.666666666666668</v>
      </c>
      <c r="DA31" s="273">
        <f t="shared" si="110"/>
        <v>-1</v>
      </c>
      <c r="DB31" s="128">
        <v>24</v>
      </c>
      <c r="DC31" s="59">
        <f t="shared" si="111"/>
        <v>27</v>
      </c>
      <c r="DD31" s="64"/>
      <c r="DE31" s="64"/>
      <c r="DF31" s="273" t="str">
        <f t="shared" si="112"/>
        <v>0</v>
      </c>
      <c r="DG31" s="788"/>
      <c r="DH31" s="274">
        <v>42606</v>
      </c>
      <c r="DI31" s="276" t="str">
        <f t="shared" si="113"/>
        <v>0</v>
      </c>
      <c r="DJ31" s="275"/>
      <c r="DK31" s="789"/>
      <c r="DL31" s="273" t="str">
        <f t="shared" si="114"/>
        <v>0</v>
      </c>
      <c r="DM31" s="64"/>
      <c r="DN31" s="64">
        <v>42929</v>
      </c>
      <c r="DO31" s="273" t="str">
        <f t="shared" si="115"/>
        <v>0</v>
      </c>
      <c r="DP31" s="64"/>
      <c r="DQ31" s="64">
        <v>43034</v>
      </c>
      <c r="DR31" s="273" t="str">
        <f t="shared" si="116"/>
        <v>0</v>
      </c>
      <c r="DS31" s="64"/>
      <c r="DT31" s="64"/>
      <c r="DU31" s="273" t="str">
        <f t="shared" si="117"/>
        <v>0</v>
      </c>
      <c r="DV31" s="64"/>
      <c r="DW31" s="64">
        <v>43052</v>
      </c>
      <c r="DX31" s="273" t="str">
        <f t="shared" si="118"/>
        <v>0</v>
      </c>
      <c r="DY31" s="64"/>
      <c r="DZ31" s="64"/>
      <c r="EA31" s="64"/>
      <c r="EB31" s="327">
        <f t="shared" si="119"/>
        <v>43079</v>
      </c>
      <c r="EC31" s="183">
        <v>43189</v>
      </c>
      <c r="ED31" s="401">
        <f t="shared" si="120"/>
        <v>3.6666666666666665</v>
      </c>
      <c r="EE31" s="511">
        <f t="shared" ca="1" si="169"/>
        <v>0</v>
      </c>
      <c r="EF31" s="607"/>
      <c r="EG31" s="619">
        <v>43189</v>
      </c>
      <c r="EH31" s="159">
        <v>43017</v>
      </c>
      <c r="EI31" s="159">
        <v>43189</v>
      </c>
      <c r="EJ31" s="327"/>
      <c r="EK31" s="455">
        <f t="shared" si="166"/>
        <v>43110</v>
      </c>
      <c r="EL31" s="229">
        <v>43207</v>
      </c>
      <c r="EM31" s="230">
        <v>2018</v>
      </c>
      <c r="EN31" s="399">
        <f>(DATEDIF(EK31,EL31,"d"))/30</f>
        <v>3.2333333333333334</v>
      </c>
      <c r="EO31" s="388">
        <v>25338.951325993217</v>
      </c>
      <c r="EP31" s="158">
        <f t="shared" si="121"/>
        <v>81929.275954044744</v>
      </c>
      <c r="EQ31" s="412" t="s">
        <v>452</v>
      </c>
      <c r="ER31" s="159">
        <v>43157</v>
      </c>
      <c r="ES31" s="133">
        <f>(Tableau6[[#This Row],[Date inauguration recalée]]-ER31)/30</f>
        <v>1.6666666666666667</v>
      </c>
      <c r="ET31" s="300">
        <v>119075</v>
      </c>
      <c r="EU31" s="387">
        <v>43453.51</v>
      </c>
      <c r="EV31" s="300"/>
      <c r="EW31" s="300"/>
      <c r="EX31" s="300">
        <v>0</v>
      </c>
      <c r="EY31" s="416">
        <f t="shared" si="122"/>
        <v>0</v>
      </c>
      <c r="EZ31" s="298" t="s">
        <v>490</v>
      </c>
      <c r="FA31" s="420"/>
      <c r="FB31" s="420" t="s">
        <v>568</v>
      </c>
      <c r="FC31" s="299" t="s">
        <v>491</v>
      </c>
      <c r="FD31" s="89">
        <f t="shared" si="167"/>
        <v>43336</v>
      </c>
      <c r="FE31" s="64"/>
      <c r="FF31" s="64">
        <v>43262</v>
      </c>
      <c r="FG31" s="64"/>
      <c r="FH31" s="64"/>
      <c r="FI31" s="64">
        <v>43347</v>
      </c>
      <c r="FJ31" s="57"/>
      <c r="FK31" s="159">
        <f t="shared" si="124"/>
        <v>43554</v>
      </c>
      <c r="FL31" s="159"/>
      <c r="FM31" s="380"/>
      <c r="FN31" s="57"/>
      <c r="FO31" s="56">
        <v>43340</v>
      </c>
      <c r="FP31" s="56"/>
      <c r="FQ31" s="57"/>
      <c r="FR31" s="56">
        <v>43574</v>
      </c>
      <c r="FS31" s="22"/>
      <c r="FT31" s="22"/>
      <c r="FU31" s="22" t="s">
        <v>838</v>
      </c>
      <c r="FV31" s="89"/>
      <c r="FW31" s="56">
        <v>43287</v>
      </c>
      <c r="FX31" s="22"/>
      <c r="FY31" s="119">
        <v>43762</v>
      </c>
      <c r="FZ31" s="22" t="s">
        <v>101</v>
      </c>
      <c r="GA31" s="451"/>
      <c r="GB31" s="471">
        <f>GD31+GG31+GJ31+HF31+Tableau6[[#This Row],[PRÊT CREDIT D''IMPOT (PM)]]</f>
        <v>8805106.0449999999</v>
      </c>
      <c r="GC31" s="644">
        <f t="shared" si="157"/>
        <v>8805106.0449999999</v>
      </c>
      <c r="GD31" s="507">
        <f t="shared" si="137"/>
        <v>925000</v>
      </c>
      <c r="GE31" s="20">
        <f t="shared" si="125"/>
        <v>1959.9830036683852</v>
      </c>
      <c r="GF31" s="20">
        <f t="shared" si="126"/>
        <v>176102.12090000001</v>
      </c>
      <c r="GG31" s="507">
        <v>2572426.04</v>
      </c>
      <c r="GH31" s="351"/>
      <c r="GI31" s="11">
        <f t="shared" si="158"/>
        <v>51448.520799999998</v>
      </c>
      <c r="GJ31" s="507">
        <f t="shared" si="127"/>
        <v>5272823.875</v>
      </c>
      <c r="GK31" s="5">
        <f>GL31+GM31</f>
        <v>5272823.875</v>
      </c>
      <c r="GL31" s="6">
        <v>1076863.6000000001</v>
      </c>
      <c r="GM31" s="6">
        <v>4195960.2750000004</v>
      </c>
      <c r="GN31" s="345">
        <f t="shared" si="128"/>
        <v>105456.47749999999</v>
      </c>
      <c r="GO31" s="5"/>
      <c r="GP31" s="5">
        <v>925000</v>
      </c>
      <c r="GQ31" s="35">
        <v>0</v>
      </c>
      <c r="GR31" s="18">
        <f t="shared" si="129"/>
        <v>0.10505268139561628</v>
      </c>
      <c r="GS31" s="45"/>
      <c r="GT31" s="45"/>
      <c r="GU31" s="5">
        <v>0</v>
      </c>
      <c r="GV31" s="20">
        <f t="shared" si="170"/>
        <v>18500</v>
      </c>
      <c r="GW31" s="20">
        <f t="shared" si="171"/>
        <v>69948.520799999998</v>
      </c>
      <c r="GX31" s="567"/>
      <c r="GY31" s="567">
        <v>0</v>
      </c>
      <c r="GZ31" s="567">
        <f>(GG31+GP31+GY31)/AD31</f>
        <v>69948.520799999998</v>
      </c>
      <c r="HA31" s="567"/>
      <c r="HB31" s="567">
        <f t="shared" si="172"/>
        <v>69948.520799999998</v>
      </c>
      <c r="HC31" s="568">
        <f>(GG31+GP31+GY31+HA31)/(GX31+GB31-HD31)</f>
        <v>0.39720430647011024</v>
      </c>
      <c r="HD31" s="567"/>
      <c r="HE31" s="567"/>
      <c r="HF31" s="507">
        <v>34856.129999999997</v>
      </c>
      <c r="HG31" s="637">
        <v>8618421.7041630428</v>
      </c>
      <c r="HH31" s="634">
        <f t="shared" si="133"/>
        <v>0.97879817234649136</v>
      </c>
      <c r="HI31" s="635">
        <f t="shared" ref="HI31:HI62" si="173">GB31-HG31</f>
        <v>186684.3408369571</v>
      </c>
      <c r="HJ31" s="633" t="e">
        <f ca="1">IF(EE31&lt;DATEDIF(TODAY(),$HJ$1,"M"),HI31,(HI31/EE31*DATEDIF(TODAY(),$HJ$1,"M")))</f>
        <v>#VALUE!</v>
      </c>
      <c r="HK31" s="634" t="e">
        <f ca="1">(HJ31+HG31)/GB31</f>
        <v>#VALUE!</v>
      </c>
      <c r="HL31" s="633">
        <f>'[1]GLOBAL OPERATION'!$AG$45</f>
        <v>553480.56000000006</v>
      </c>
      <c r="HM31" s="633">
        <f t="shared" si="135"/>
        <v>371519.43999999994</v>
      </c>
      <c r="HN31" s="636">
        <f t="shared" si="136"/>
        <v>0.59835736216216218</v>
      </c>
      <c r="HO31" s="636"/>
      <c r="HP31" s="563"/>
      <c r="HQ31" s="47"/>
      <c r="HR31" s="563"/>
      <c r="HS31" s="563">
        <f>SUM(Tableau6[[#This Row],[GO]:[CARRELAGE]])</f>
        <v>0</v>
      </c>
      <c r="HT31" s="461"/>
      <c r="HU31" s="461"/>
      <c r="HV31" s="461"/>
      <c r="HW31" s="461"/>
      <c r="HX31" s="461"/>
      <c r="HY31" s="461"/>
      <c r="HZ31" s="461"/>
      <c r="IA31" s="461"/>
      <c r="IB31" s="461"/>
      <c r="IC31" s="461"/>
      <c r="ID31" s="461"/>
      <c r="IE31" s="461"/>
      <c r="IF31" s="461"/>
      <c r="IG31" s="563"/>
      <c r="IH31" s="563"/>
      <c r="II31" s="563">
        <f>HP31+HR31+Tableau6[[#This Row],[TRAVAUX BATIS]]+Tableau6[[#This Row],[HONORAIRES]]+IH31</f>
        <v>0</v>
      </c>
      <c r="IJ31" s="654">
        <f>Tableau6[[#This Row],[TOTAL PRP HT]]-Tableau6[[#This Row],[PRP TTC HORS FRAFU]]/1.021</f>
        <v>-8624002.0029382966</v>
      </c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</row>
    <row r="32" spans="1:256" ht="30" customHeight="1">
      <c r="A32" s="772" t="s">
        <v>326</v>
      </c>
      <c r="B32" s="2" t="s">
        <v>14</v>
      </c>
      <c r="C32" s="2" t="s">
        <v>86</v>
      </c>
      <c r="D32" s="2">
        <v>2020</v>
      </c>
      <c r="E32" s="2"/>
      <c r="F32" s="2" t="s">
        <v>834</v>
      </c>
      <c r="G32" s="2" t="s">
        <v>138</v>
      </c>
      <c r="H32" s="2" t="s">
        <v>794</v>
      </c>
      <c r="I32" s="22"/>
      <c r="J32" s="22"/>
      <c r="K32" s="134" t="s">
        <v>355</v>
      </c>
      <c r="L32" s="78" t="s">
        <v>43</v>
      </c>
      <c r="M32" s="51" t="s">
        <v>354</v>
      </c>
      <c r="N32" s="52">
        <v>37125</v>
      </c>
      <c r="O32" s="117"/>
      <c r="P32" s="117"/>
      <c r="Q32" s="117"/>
      <c r="R32" s="117"/>
      <c r="S32" s="117"/>
      <c r="T32" s="330"/>
      <c r="U32" s="330"/>
      <c r="V32" s="330"/>
      <c r="W32" s="117"/>
      <c r="X32" s="104"/>
      <c r="Y32" s="447" t="e">
        <f t="shared" si="96"/>
        <v>#DIV/0!</v>
      </c>
      <c r="Z32" s="104"/>
      <c r="AA32" s="106"/>
      <c r="AB32" s="107"/>
      <c r="AC32" s="2" t="s">
        <v>300</v>
      </c>
      <c r="AD32" s="426">
        <f t="shared" si="97"/>
        <v>18</v>
      </c>
      <c r="AE32" s="426">
        <f t="shared" si="98"/>
        <v>0</v>
      </c>
      <c r="AF32" s="3"/>
      <c r="AG32" s="3"/>
      <c r="AH32" s="32"/>
      <c r="AI32" s="94">
        <v>18</v>
      </c>
      <c r="AJ32" s="614"/>
      <c r="AK32" s="225"/>
      <c r="AL32" s="492">
        <f t="shared" si="99"/>
        <v>0</v>
      </c>
      <c r="AM32" s="4">
        <f t="shared" si="100"/>
        <v>0</v>
      </c>
      <c r="AN32" s="26"/>
      <c r="AO32" s="26"/>
      <c r="AP32" s="26"/>
      <c r="AQ32" s="39"/>
      <c r="AR32" s="39"/>
      <c r="AS32" s="39"/>
      <c r="AT32" s="39"/>
      <c r="AU32" s="39"/>
      <c r="AV32" s="4"/>
      <c r="AW32" s="37"/>
      <c r="AX32" s="39"/>
      <c r="AY32" s="26"/>
      <c r="AZ32" s="22"/>
      <c r="BA32" s="2"/>
      <c r="BB32" s="118"/>
      <c r="BC32" s="22"/>
      <c r="BD32" s="22"/>
      <c r="BE32" s="22"/>
      <c r="BF32" s="22"/>
      <c r="BG32" s="22"/>
      <c r="BH32" s="56">
        <v>43816</v>
      </c>
      <c r="BI32" s="22"/>
      <c r="BJ32" s="548"/>
      <c r="BK32" s="548"/>
      <c r="BL32" s="549"/>
      <c r="BM32" s="547">
        <f t="shared" si="101"/>
        <v>0</v>
      </c>
      <c r="BN32" s="490" t="s">
        <v>229</v>
      </c>
      <c r="BO32" s="76"/>
      <c r="BP32" s="99"/>
      <c r="BQ32" s="536">
        <f t="shared" si="168"/>
        <v>0</v>
      </c>
      <c r="BR32" s="529"/>
      <c r="BS32" s="77"/>
      <c r="BT32" s="77"/>
      <c r="BU32" s="151"/>
      <c r="BV32" s="150">
        <f t="shared" si="102"/>
        <v>1096</v>
      </c>
      <c r="BW32" s="373"/>
      <c r="BX32" s="150" t="str">
        <f>IF(Tableau6[[#This Row],[Montant des loyers perçus avant 1e échéance]]&lt;BW32,"oui","non")</f>
        <v>non</v>
      </c>
      <c r="BY32" s="474"/>
      <c r="BZ32" s="474"/>
      <c r="CA32" s="474"/>
      <c r="CB32" s="64">
        <v>43703</v>
      </c>
      <c r="CC32" s="64">
        <v>43696</v>
      </c>
      <c r="CD32" s="64">
        <v>43703</v>
      </c>
      <c r="CE32" s="273">
        <f t="shared" si="162"/>
        <v>7</v>
      </c>
      <c r="CF32" s="288">
        <v>43951</v>
      </c>
      <c r="CG32" s="288"/>
      <c r="CH32" s="290" t="str">
        <f t="shared" si="163"/>
        <v>0</v>
      </c>
      <c r="CI32" s="64">
        <v>43906</v>
      </c>
      <c r="CJ32" s="64">
        <v>43906</v>
      </c>
      <c r="CK32" s="273">
        <f t="shared" si="164"/>
        <v>0</v>
      </c>
      <c r="CL32" s="64">
        <v>43906</v>
      </c>
      <c r="CM32" s="64">
        <v>43906</v>
      </c>
      <c r="CN32" s="273">
        <f t="shared" si="165"/>
        <v>0</v>
      </c>
      <c r="CO32" s="288">
        <v>43968</v>
      </c>
      <c r="CP32" s="288">
        <f ca="1">IF(CO32&lt;TODAY(),TODAY(),CO32)</f>
        <v>43998</v>
      </c>
      <c r="CQ32" s="290">
        <f t="shared" ca="1" si="107"/>
        <v>30</v>
      </c>
      <c r="CR32" s="237"/>
      <c r="CS32" s="286"/>
      <c r="CT32" s="277"/>
      <c r="CU32" s="278"/>
      <c r="CV32" s="279" t="str">
        <f t="shared" si="161"/>
        <v>0</v>
      </c>
      <c r="CW32" s="277">
        <v>44228</v>
      </c>
      <c r="CX32" s="382">
        <v>44270</v>
      </c>
      <c r="CY32" s="178"/>
      <c r="CZ32" s="231">
        <f t="shared" si="109"/>
        <v>1475.6666666666667</v>
      </c>
      <c r="DA32" s="279">
        <f t="shared" si="110"/>
        <v>42</v>
      </c>
      <c r="DB32" s="383">
        <v>12</v>
      </c>
      <c r="DC32" s="127">
        <f t="shared" si="111"/>
        <v>13</v>
      </c>
      <c r="DD32" s="277"/>
      <c r="DE32" s="282">
        <f t="shared" ref="DE32:DE37" ca="1" si="174">IF(DD32&lt;TODAY(),TODAY(),DD32)</f>
        <v>43998</v>
      </c>
      <c r="DF32" s="279" t="str">
        <f t="shared" ca="1" si="112"/>
        <v>0</v>
      </c>
      <c r="DG32" s="766"/>
      <c r="DH32" s="282">
        <f t="shared" ref="DH32:DH37" ca="1" si="175">IF(DG32&lt;TODAY(),TODAY(),DG32)</f>
        <v>43998</v>
      </c>
      <c r="DI32" s="280" t="str">
        <f t="shared" ca="1" si="113"/>
        <v>0</v>
      </c>
      <c r="DJ32" s="281"/>
      <c r="DK32" s="282">
        <f t="shared" ref="DK32:DK37" ca="1" si="176">IF(DJ32&lt;TODAY(),TODAY(),DJ32)</f>
        <v>43998</v>
      </c>
      <c r="DL32" s="279" t="str">
        <f t="shared" ca="1" si="114"/>
        <v>0</v>
      </c>
      <c r="DM32" s="282"/>
      <c r="DN32" s="282">
        <f t="shared" ref="DN32:DN37" ca="1" si="177">IF(DM32&lt;TODAY(),TODAY(),DM32)</f>
        <v>43998</v>
      </c>
      <c r="DO32" s="279" t="str">
        <f t="shared" ca="1" si="115"/>
        <v>0</v>
      </c>
      <c r="DP32" s="283"/>
      <c r="DQ32" s="283"/>
      <c r="DR32" s="279" t="str">
        <f t="shared" si="116"/>
        <v>0</v>
      </c>
      <c r="DS32" s="282"/>
      <c r="DT32" s="282">
        <f t="shared" ref="DT32:DT37" ca="1" si="178">IF(DS32&lt;TODAY(),TODAY(),DS32)</f>
        <v>43998</v>
      </c>
      <c r="DU32" s="279" t="str">
        <f t="shared" ca="1" si="117"/>
        <v>0</v>
      </c>
      <c r="DV32" s="282"/>
      <c r="DW32" s="282">
        <f t="shared" ref="DW32:DW37" ca="1" si="179">IF(DV32&lt;TODAY(),TODAY(),DV32)</f>
        <v>43998</v>
      </c>
      <c r="DX32" s="279" t="str">
        <f t="shared" ca="1" si="118"/>
        <v>0</v>
      </c>
      <c r="DY32" s="283"/>
      <c r="DZ32" s="283"/>
      <c r="EA32" s="283"/>
      <c r="EB32" s="410">
        <f t="shared" si="119"/>
        <v>44635</v>
      </c>
      <c r="EC32" s="409">
        <f>DATE(YEAR(EB32),MONTH(EB32)+1,DAY(EB32))</f>
        <v>44666</v>
      </c>
      <c r="ED32" s="406">
        <f t="shared" si="120"/>
        <v>1.0333333333333334</v>
      </c>
      <c r="EE32" s="513">
        <f t="shared" ca="1" si="169"/>
        <v>22.266666666666666</v>
      </c>
      <c r="EF32" s="509">
        <f t="shared" ref="EF32:EF37" ca="1" si="180">DATE(YEAR(DH32)+2,MONTH(DH32),DAY(DH32))</f>
        <v>44728</v>
      </c>
      <c r="EG32" s="448"/>
      <c r="EH32" s="448"/>
      <c r="EI32" s="448">
        <f>DATE(YEAR(EC32),MONTH(EC32)+4,DAY(EC32)+2)</f>
        <v>44790</v>
      </c>
      <c r="EJ32" s="242"/>
      <c r="EK32" s="456">
        <f t="shared" si="166"/>
        <v>44666</v>
      </c>
      <c r="EL32" s="409">
        <f t="shared" ref="EL32:EL37" si="181">DATE(YEAR(EC32),MONTH(EC32)+1,DAY(EC32))</f>
        <v>44696</v>
      </c>
      <c r="EM32" s="314"/>
      <c r="EN32" s="404">
        <f>(EL32-EK32)/30</f>
        <v>1</v>
      </c>
      <c r="EO32" s="394"/>
      <c r="EP32" s="131">
        <f t="shared" si="121"/>
        <v>0</v>
      </c>
      <c r="EQ32" s="60"/>
      <c r="ER32" s="60"/>
      <c r="ES32" s="742"/>
      <c r="ET32" s="300"/>
      <c r="EU32" s="300">
        <v>0</v>
      </c>
      <c r="EV32" s="300"/>
      <c r="EW32" s="300"/>
      <c r="EX32" s="300"/>
      <c r="EY32" s="416">
        <f t="shared" si="122"/>
        <v>0</v>
      </c>
      <c r="EZ32" s="297"/>
      <c r="FA32" s="308"/>
      <c r="FB32" s="297"/>
      <c r="FC32" s="297"/>
      <c r="FD32" s="89">
        <f t="shared" ca="1" si="167"/>
        <v>44728</v>
      </c>
      <c r="FE32" s="63"/>
      <c r="FF32" s="63"/>
      <c r="FG32" s="63"/>
      <c r="FH32" s="63"/>
      <c r="FI32" s="63"/>
      <c r="FJ32" s="22"/>
      <c r="FK32" s="146">
        <f t="shared" si="124"/>
        <v>45031</v>
      </c>
      <c r="FL32" s="146"/>
      <c r="FM32" s="146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451"/>
      <c r="GB32" s="471">
        <f>GD32+GG32+GJ32+HF32+Tableau6[[#This Row],[PRÊT CREDIT D''IMPOT (PM)]]</f>
        <v>904999.8</v>
      </c>
      <c r="GC32" s="645"/>
      <c r="GD32" s="507">
        <f t="shared" si="137"/>
        <v>163470</v>
      </c>
      <c r="GE32" s="212" t="e">
        <f t="shared" si="125"/>
        <v>#DIV/0!</v>
      </c>
      <c r="GF32" s="212">
        <f t="shared" si="126"/>
        <v>50277.76666666667</v>
      </c>
      <c r="GG32" s="503">
        <v>181491</v>
      </c>
      <c r="GH32" s="442"/>
      <c r="GI32" s="213" t="e">
        <f>#REF!/AD32</f>
        <v>#REF!</v>
      </c>
      <c r="GJ32" s="503">
        <f t="shared" si="127"/>
        <v>560038.80000000005</v>
      </c>
      <c r="GK32" s="5">
        <v>560038.80000000005</v>
      </c>
      <c r="GL32" s="213"/>
      <c r="GM32" s="213"/>
      <c r="GN32" s="345">
        <f t="shared" si="128"/>
        <v>31113.26666666667</v>
      </c>
      <c r="GO32" s="806"/>
      <c r="GP32" s="5">
        <v>162000</v>
      </c>
      <c r="GQ32" s="35"/>
      <c r="GR32" s="18">
        <f t="shared" si="129"/>
        <v>0.1790055644211192</v>
      </c>
      <c r="GS32" s="45"/>
      <c r="GT32" s="35"/>
      <c r="GU32" s="5">
        <v>1470</v>
      </c>
      <c r="GV32" s="20">
        <f t="shared" si="170"/>
        <v>9000</v>
      </c>
      <c r="GW32" s="20">
        <f t="shared" si="171"/>
        <v>19082.833333333332</v>
      </c>
      <c r="GX32" s="567"/>
      <c r="GY32" s="567"/>
      <c r="GZ32" s="567" t="e">
        <f>(#REF!+#REF!+GY32)/AD32</f>
        <v>#REF!</v>
      </c>
      <c r="HA32" s="567"/>
      <c r="HB32" s="567">
        <f t="shared" si="172"/>
        <v>19082.833333333332</v>
      </c>
      <c r="HC32" s="568" t="e">
        <f>(#REF!+#REF!+GY32+HA32)/(GX32+#REF!-HD32)</f>
        <v>#REF!</v>
      </c>
      <c r="HD32" s="567"/>
      <c r="HE32" s="567"/>
      <c r="HF32" s="503"/>
      <c r="HG32" s="633"/>
      <c r="HH32" s="634">
        <f t="shared" si="133"/>
        <v>0</v>
      </c>
      <c r="HI32" s="633">
        <f t="shared" si="173"/>
        <v>904999.8</v>
      </c>
      <c r="HJ32" s="633" t="e">
        <f ca="1">IF(EE32&lt;DATEDIF(TODAY(),$HJ$1,"M"),HI32,(HI32/EE32*DATEDIF(TODAY(),$HJ$1,"M")))</f>
        <v>#VALUE!</v>
      </c>
      <c r="HK32" s="634" t="e">
        <f ca="1">(HG32+HJ32)/GB32</f>
        <v>#VALUE!</v>
      </c>
      <c r="HL32" s="633"/>
      <c r="HM32" s="633">
        <f t="shared" si="135"/>
        <v>163470</v>
      </c>
      <c r="HN32" s="633">
        <f t="shared" si="136"/>
        <v>0</v>
      </c>
      <c r="HO32" s="633"/>
      <c r="HP32" s="563"/>
      <c r="HQ32" s="214"/>
      <c r="HR32" s="563"/>
      <c r="HS32" s="563">
        <f>SUM(Tableau6[[#This Row],[GO]:[CARRELAGE]])</f>
        <v>0</v>
      </c>
      <c r="HT32" s="461"/>
      <c r="HU32" s="461"/>
      <c r="HV32" s="461"/>
      <c r="HW32" s="461"/>
      <c r="HX32" s="461"/>
      <c r="HY32" s="461"/>
      <c r="HZ32" s="461"/>
      <c r="IA32" s="461"/>
      <c r="IB32" s="461"/>
      <c r="IC32" s="461"/>
      <c r="ID32" s="461"/>
      <c r="IE32" s="461"/>
      <c r="IF32" s="461"/>
      <c r="IG32" s="563"/>
      <c r="IH32" s="563"/>
      <c r="II32" s="563">
        <f>HP32+HR32+Tableau6[[#This Row],[TRAVAUX BATIS]]+Tableau6[[#This Row],[HONORAIRES]]+IH32</f>
        <v>0</v>
      </c>
      <c r="IJ32" s="654">
        <f>Tableau6[[#This Row],[TOTAL PRP HT]]-Tableau6[[#This Row],[PRP TTC HORS FRAFU]]/1.021</f>
        <v>-886385.70029382966</v>
      </c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</row>
    <row r="33" spans="1:256" ht="20.149999999999999" customHeight="1">
      <c r="A33" s="772" t="s">
        <v>325</v>
      </c>
      <c r="B33" s="2" t="s">
        <v>14</v>
      </c>
      <c r="C33" s="2" t="s">
        <v>86</v>
      </c>
      <c r="D33" s="2">
        <v>2020</v>
      </c>
      <c r="E33" s="2"/>
      <c r="F33" s="2" t="s">
        <v>301</v>
      </c>
      <c r="G33" s="2" t="s">
        <v>138</v>
      </c>
      <c r="H33" s="2" t="s">
        <v>794</v>
      </c>
      <c r="I33" s="22"/>
      <c r="J33" s="22" t="s">
        <v>349</v>
      </c>
      <c r="K33" s="134" t="s">
        <v>350</v>
      </c>
      <c r="L33" s="78" t="s">
        <v>43</v>
      </c>
      <c r="M33" s="51" t="s">
        <v>348</v>
      </c>
      <c r="N33" s="52">
        <v>35396</v>
      </c>
      <c r="O33" s="117"/>
      <c r="P33" s="117"/>
      <c r="Q33" s="117"/>
      <c r="R33" s="117"/>
      <c r="S33" s="117"/>
      <c r="T33" s="330"/>
      <c r="U33" s="330"/>
      <c r="V33" s="330"/>
      <c r="W33" s="117"/>
      <c r="X33" s="104"/>
      <c r="Y33" s="447" t="e">
        <f t="shared" si="96"/>
        <v>#DIV/0!</v>
      </c>
      <c r="Z33" s="104"/>
      <c r="AA33" s="106"/>
      <c r="AB33" s="107"/>
      <c r="AC33" s="2" t="s">
        <v>300</v>
      </c>
      <c r="AD33" s="426">
        <f t="shared" si="97"/>
        <v>26</v>
      </c>
      <c r="AE33" s="426">
        <f t="shared" si="98"/>
        <v>0</v>
      </c>
      <c r="AF33" s="3"/>
      <c r="AG33" s="3"/>
      <c r="AH33" s="32"/>
      <c r="AI33" s="22">
        <v>26</v>
      </c>
      <c r="AJ33" s="614"/>
      <c r="AK33" s="225"/>
      <c r="AL33" s="492">
        <f t="shared" si="99"/>
        <v>0</v>
      </c>
      <c r="AM33" s="4">
        <f t="shared" si="100"/>
        <v>0</v>
      </c>
      <c r="AN33" s="26"/>
      <c r="AO33" s="26"/>
      <c r="AP33" s="26"/>
      <c r="AQ33" s="39"/>
      <c r="AR33" s="39"/>
      <c r="AS33" s="39"/>
      <c r="AT33" s="39"/>
      <c r="AU33" s="39"/>
      <c r="AV33" s="4"/>
      <c r="AW33" s="37"/>
      <c r="AX33" s="39"/>
      <c r="AY33" s="26"/>
      <c r="AZ33" s="22"/>
      <c r="BA33" s="2"/>
      <c r="BB33" s="118"/>
      <c r="BC33" s="22"/>
      <c r="BD33" s="22"/>
      <c r="BE33" s="22"/>
      <c r="BF33" s="22"/>
      <c r="BG33" s="22"/>
      <c r="BH33" s="56">
        <v>43816</v>
      </c>
      <c r="BI33" s="22"/>
      <c r="BJ33" s="548"/>
      <c r="BK33" s="548"/>
      <c r="BL33" s="549"/>
      <c r="BM33" s="547">
        <f t="shared" si="101"/>
        <v>0</v>
      </c>
      <c r="BN33" s="490" t="s">
        <v>229</v>
      </c>
      <c r="BO33" s="76"/>
      <c r="BP33" s="99"/>
      <c r="BQ33" s="536">
        <f t="shared" si="168"/>
        <v>0</v>
      </c>
      <c r="BR33" s="529"/>
      <c r="BS33" s="77"/>
      <c r="BT33" s="77"/>
      <c r="BU33" s="151"/>
      <c r="BV33" s="150">
        <f t="shared" si="102"/>
        <v>1096</v>
      </c>
      <c r="BW33" s="373"/>
      <c r="BX33" s="150" t="str">
        <f>IF(Tableau6[[#This Row],[Montant des loyers perçus avant 1e échéance]]&lt;BW33,"oui","non")</f>
        <v>non</v>
      </c>
      <c r="BY33" s="474"/>
      <c r="BZ33" s="474"/>
      <c r="CA33" s="474"/>
      <c r="CB33" s="64">
        <v>43699</v>
      </c>
      <c r="CC33" s="64">
        <v>43696</v>
      </c>
      <c r="CD33" s="64">
        <v>43699</v>
      </c>
      <c r="CE33" s="273">
        <f t="shared" si="162"/>
        <v>3</v>
      </c>
      <c r="CF33" s="288">
        <v>43951</v>
      </c>
      <c r="CG33" s="288"/>
      <c r="CH33" s="290" t="str">
        <f t="shared" si="163"/>
        <v>0</v>
      </c>
      <c r="CI33" s="64">
        <v>43899</v>
      </c>
      <c r="CJ33" s="64">
        <v>43906</v>
      </c>
      <c r="CK33" s="273">
        <f t="shared" si="164"/>
        <v>7</v>
      </c>
      <c r="CL33" s="64">
        <v>43899</v>
      </c>
      <c r="CM33" s="64">
        <v>43906</v>
      </c>
      <c r="CN33" s="273">
        <f t="shared" si="165"/>
        <v>7</v>
      </c>
      <c r="CO33" s="288">
        <v>43950</v>
      </c>
      <c r="CP33" s="288">
        <f ca="1">IF(CO33&lt;TODAY(),TODAY(),CO33)</f>
        <v>43998</v>
      </c>
      <c r="CQ33" s="290">
        <f t="shared" ca="1" si="107"/>
        <v>48</v>
      </c>
      <c r="CR33" s="237"/>
      <c r="CS33" s="286"/>
      <c r="CT33" s="277"/>
      <c r="CU33" s="278"/>
      <c r="CV33" s="279" t="str">
        <f t="shared" si="161"/>
        <v>0</v>
      </c>
      <c r="CW33" s="277">
        <v>44228</v>
      </c>
      <c r="CX33" s="382">
        <v>44270</v>
      </c>
      <c r="CY33" s="178"/>
      <c r="CZ33" s="231">
        <f t="shared" si="109"/>
        <v>1475.6666666666667</v>
      </c>
      <c r="DA33" s="279">
        <f t="shared" si="110"/>
        <v>42</v>
      </c>
      <c r="DB33" s="383">
        <v>12</v>
      </c>
      <c r="DC33" s="127">
        <f t="shared" si="111"/>
        <v>13</v>
      </c>
      <c r="DD33" s="277"/>
      <c r="DE33" s="282">
        <f t="shared" ca="1" si="174"/>
        <v>43998</v>
      </c>
      <c r="DF33" s="279" t="str">
        <f t="shared" ca="1" si="112"/>
        <v>0</v>
      </c>
      <c r="DG33" s="766"/>
      <c r="DH33" s="295">
        <f t="shared" ca="1" si="175"/>
        <v>43998</v>
      </c>
      <c r="DI33" s="280" t="str">
        <f t="shared" ca="1" si="113"/>
        <v>0</v>
      </c>
      <c r="DJ33" s="281"/>
      <c r="DK33" s="282">
        <f t="shared" ca="1" si="176"/>
        <v>43998</v>
      </c>
      <c r="DL33" s="279" t="str">
        <f t="shared" ca="1" si="114"/>
        <v>0</v>
      </c>
      <c r="DM33" s="282"/>
      <c r="DN33" s="282">
        <f t="shared" ca="1" si="177"/>
        <v>43998</v>
      </c>
      <c r="DO33" s="279" t="str">
        <f t="shared" ca="1" si="115"/>
        <v>0</v>
      </c>
      <c r="DP33" s="283"/>
      <c r="DQ33" s="283"/>
      <c r="DR33" s="279" t="str">
        <f t="shared" si="116"/>
        <v>0</v>
      </c>
      <c r="DS33" s="282"/>
      <c r="DT33" s="282">
        <f t="shared" ca="1" si="178"/>
        <v>43998</v>
      </c>
      <c r="DU33" s="279" t="str">
        <f t="shared" ca="1" si="117"/>
        <v>0</v>
      </c>
      <c r="DV33" s="282"/>
      <c r="DW33" s="282">
        <f t="shared" ca="1" si="179"/>
        <v>43998</v>
      </c>
      <c r="DX33" s="279" t="str">
        <f t="shared" ca="1" si="118"/>
        <v>0</v>
      </c>
      <c r="DY33" s="283"/>
      <c r="DZ33" s="283"/>
      <c r="EA33" s="283"/>
      <c r="EB33" s="410">
        <f t="shared" si="119"/>
        <v>44635</v>
      </c>
      <c r="EC33" s="409">
        <f>DATE(YEAR(EB33),MONTH(EB33)+1,DAY(EB33))</f>
        <v>44666</v>
      </c>
      <c r="ED33" s="406">
        <f t="shared" si="120"/>
        <v>1.0333333333333334</v>
      </c>
      <c r="EE33" s="513">
        <f t="shared" ca="1" si="169"/>
        <v>22.266666666666666</v>
      </c>
      <c r="EF33" s="509">
        <f t="shared" ca="1" si="180"/>
        <v>44728</v>
      </c>
      <c r="EG33" s="448"/>
      <c r="EH33" s="448"/>
      <c r="EI33" s="448">
        <f>DATE(YEAR(EC33),MONTH(EC33)+4,DAY(EC33)+2)</f>
        <v>44790</v>
      </c>
      <c r="EJ33" s="242"/>
      <c r="EK33" s="456">
        <f t="shared" si="166"/>
        <v>44666</v>
      </c>
      <c r="EL33" s="409">
        <f t="shared" si="181"/>
        <v>44696</v>
      </c>
      <c r="EM33" s="314"/>
      <c r="EN33" s="404">
        <f>(EL33-EK33)/30</f>
        <v>1</v>
      </c>
      <c r="EO33" s="394"/>
      <c r="EP33" s="131">
        <f t="shared" si="121"/>
        <v>0</v>
      </c>
      <c r="EQ33" s="60"/>
      <c r="ER33" s="583"/>
      <c r="ES33" s="837"/>
      <c r="ET33" s="574"/>
      <c r="EU33" s="300">
        <v>0</v>
      </c>
      <c r="EV33" s="300"/>
      <c r="EW33" s="300"/>
      <c r="EX33" s="574"/>
      <c r="EY33" s="416">
        <f t="shared" si="122"/>
        <v>0</v>
      </c>
      <c r="EZ33" s="496"/>
      <c r="FA33" s="498"/>
      <c r="FB33" s="297"/>
      <c r="FC33" s="496"/>
      <c r="FD33" s="89">
        <f t="shared" ca="1" si="167"/>
        <v>44728</v>
      </c>
      <c r="FE33" s="63"/>
      <c r="FF33" s="63"/>
      <c r="FG33" s="63"/>
      <c r="FH33" s="63"/>
      <c r="FI33" s="63"/>
      <c r="FJ33" s="22"/>
      <c r="FK33" s="146">
        <f t="shared" si="124"/>
        <v>45031</v>
      </c>
      <c r="FL33" s="146"/>
      <c r="FM33" s="146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451"/>
      <c r="GB33" s="471">
        <f>GD33+GG33+GJ33+HF33+Tableau6[[#This Row],[PRÊT CREDIT D''IMPOT (PM)]]</f>
        <v>1307000</v>
      </c>
      <c r="GC33" s="645"/>
      <c r="GD33" s="507">
        <f t="shared" si="137"/>
        <v>235470</v>
      </c>
      <c r="GE33" s="212" t="e">
        <f t="shared" si="125"/>
        <v>#DIV/0!</v>
      </c>
      <c r="GF33" s="212">
        <f t="shared" si="126"/>
        <v>50269.230769230766</v>
      </c>
      <c r="GG33" s="503">
        <v>297438.59999999998</v>
      </c>
      <c r="GH33" s="442"/>
      <c r="GI33" s="213" t="e">
        <f>#REF!/AD33</f>
        <v>#REF!</v>
      </c>
      <c r="GJ33" s="503">
        <f t="shared" si="127"/>
        <v>774091.4</v>
      </c>
      <c r="GK33" s="5">
        <v>774091.4</v>
      </c>
      <c r="GL33" s="213"/>
      <c r="GM33" s="213"/>
      <c r="GN33" s="345">
        <f t="shared" si="128"/>
        <v>29772.746153846154</v>
      </c>
      <c r="GO33" s="806"/>
      <c r="GP33" s="5">
        <v>234000</v>
      </c>
      <c r="GQ33" s="35"/>
      <c r="GR33" s="18">
        <f t="shared" si="129"/>
        <v>0.17903596021423107</v>
      </c>
      <c r="GS33" s="45"/>
      <c r="GT33" s="35"/>
      <c r="GU33" s="5">
        <v>1470</v>
      </c>
      <c r="GV33" s="20">
        <f t="shared" si="170"/>
        <v>9000</v>
      </c>
      <c r="GW33" s="20">
        <f t="shared" si="171"/>
        <v>20439.946153846155</v>
      </c>
      <c r="GX33" s="567"/>
      <c r="GY33" s="567"/>
      <c r="GZ33" s="567" t="e">
        <f>(#REF!+#REF!+GY33)/AD33</f>
        <v>#REF!</v>
      </c>
      <c r="HA33" s="567"/>
      <c r="HB33" s="567">
        <f t="shared" si="172"/>
        <v>20439.946153846155</v>
      </c>
      <c r="HC33" s="568" t="e">
        <f>(#REF!+#REF!+GY33+HA33)/(GX33+#REF!-HD33)</f>
        <v>#REF!</v>
      </c>
      <c r="HD33" s="567"/>
      <c r="HE33" s="567"/>
      <c r="HF33" s="503"/>
      <c r="HG33" s="633"/>
      <c r="HH33" s="634">
        <f t="shared" si="133"/>
        <v>0</v>
      </c>
      <c r="HI33" s="633">
        <f t="shared" si="173"/>
        <v>1307000</v>
      </c>
      <c r="HJ33" s="633" t="e">
        <f ca="1">IF(EE33&lt;DATEDIF(TODAY(),$HJ$1,"M"),HI33,(HI33/EE33*DATEDIF(TODAY(),$HJ$1,"M")))</f>
        <v>#VALUE!</v>
      </c>
      <c r="HK33" s="634" t="e">
        <f ca="1">(HG33+HJ33)/GB33</f>
        <v>#VALUE!</v>
      </c>
      <c r="HL33" s="633"/>
      <c r="HM33" s="633">
        <f t="shared" si="135"/>
        <v>235470</v>
      </c>
      <c r="HN33" s="633">
        <f t="shared" si="136"/>
        <v>0</v>
      </c>
      <c r="HO33" s="633"/>
      <c r="HP33" s="563"/>
      <c r="HQ33" s="214"/>
      <c r="HR33" s="563"/>
      <c r="HS33" s="563">
        <f>SUM(Tableau6[[#This Row],[GO]:[CARRELAGE]])</f>
        <v>0</v>
      </c>
      <c r="HT33" s="461"/>
      <c r="HU33" s="461"/>
      <c r="HV33" s="461"/>
      <c r="HW33" s="461"/>
      <c r="HX33" s="461"/>
      <c r="HY33" s="461"/>
      <c r="HZ33" s="461"/>
      <c r="IA33" s="461"/>
      <c r="IB33" s="461"/>
      <c r="IC33" s="461"/>
      <c r="ID33" s="461"/>
      <c r="IE33" s="461"/>
      <c r="IF33" s="461"/>
      <c r="IG33" s="563"/>
      <c r="IH33" s="563"/>
      <c r="II33" s="563">
        <f>HP33+HR33+Tableau6[[#This Row],[TRAVAUX BATIS]]+Tableau6[[#This Row],[HONORAIRES]]+IH33</f>
        <v>0</v>
      </c>
      <c r="IJ33" s="654">
        <f>Tableau6[[#This Row],[TOTAL PRP HT]]-Tableau6[[#This Row],[PRP TTC HORS FRAFU]]/1.021</f>
        <v>-1280117.5318315378</v>
      </c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</row>
    <row r="34" spans="1:256" ht="20.149999999999999" customHeight="1">
      <c r="A34" s="594" t="s">
        <v>368</v>
      </c>
      <c r="B34" s="2" t="s">
        <v>20</v>
      </c>
      <c r="C34" s="2" t="s">
        <v>87</v>
      </c>
      <c r="D34" s="2">
        <v>2017</v>
      </c>
      <c r="E34" s="2" t="s">
        <v>281</v>
      </c>
      <c r="F34" s="2" t="s">
        <v>301</v>
      </c>
      <c r="G34" s="2" t="s">
        <v>139</v>
      </c>
      <c r="H34" s="778" t="s">
        <v>136</v>
      </c>
      <c r="I34" s="22"/>
      <c r="J34" s="22" t="s">
        <v>292</v>
      </c>
      <c r="K34" s="134" t="s">
        <v>418</v>
      </c>
      <c r="L34" s="78"/>
      <c r="M34" s="51"/>
      <c r="N34" s="52"/>
      <c r="O34" s="103">
        <v>11037</v>
      </c>
      <c r="P34" s="103">
        <v>705655.44208162103</v>
      </c>
      <c r="Q34" s="103"/>
      <c r="R34" s="103">
        <f>P34/AD34</f>
        <v>8400.6600247812021</v>
      </c>
      <c r="S34" s="103">
        <f>P34/O34</f>
        <v>63.935439166587031</v>
      </c>
      <c r="T34" s="109">
        <f>Q34/O34</f>
        <v>0</v>
      </c>
      <c r="U34" s="109">
        <f>Q34/AK34</f>
        <v>0</v>
      </c>
      <c r="V34" s="109">
        <f>Q34/AD34</f>
        <v>0</v>
      </c>
      <c r="W34" s="103">
        <f>O34/AD34</f>
        <v>131.39285714285714</v>
      </c>
      <c r="X34" s="104"/>
      <c r="Y34" s="444">
        <f t="shared" si="96"/>
        <v>76.107637945093771</v>
      </c>
      <c r="Z34" s="104"/>
      <c r="AA34" s="106"/>
      <c r="AB34" s="107"/>
      <c r="AC34" s="2" t="s">
        <v>10</v>
      </c>
      <c r="AD34" s="426">
        <f t="shared" si="97"/>
        <v>84</v>
      </c>
      <c r="AE34" s="426">
        <f t="shared" si="98"/>
        <v>84</v>
      </c>
      <c r="AF34" s="3"/>
      <c r="AG34" s="2">
        <v>84</v>
      </c>
      <c r="AH34" s="22"/>
      <c r="AI34" s="22"/>
      <c r="AJ34" s="614"/>
      <c r="AK34" s="225">
        <v>6502.48</v>
      </c>
      <c r="AL34" s="492">
        <f t="shared" si="99"/>
        <v>0</v>
      </c>
      <c r="AM34" s="4">
        <f t="shared" si="100"/>
        <v>77.410476190476189</v>
      </c>
      <c r="AN34" s="26">
        <v>6.01</v>
      </c>
      <c r="AO34" s="26">
        <v>5.37</v>
      </c>
      <c r="AP34" s="26">
        <v>412.03</v>
      </c>
      <c r="AQ34" s="39"/>
      <c r="AR34" s="39"/>
      <c r="AS34" s="39"/>
      <c r="AT34" s="39"/>
      <c r="AU34" s="39"/>
      <c r="AV34" s="4"/>
      <c r="AW34" s="87"/>
      <c r="AX34" s="54"/>
      <c r="AY34" s="26"/>
      <c r="AZ34" s="25" t="s">
        <v>386</v>
      </c>
      <c r="BA34" s="2" t="s">
        <v>94</v>
      </c>
      <c r="BB34" s="57"/>
      <c r="BC34" s="57"/>
      <c r="BD34" s="57"/>
      <c r="BE34" s="57"/>
      <c r="BF34" s="123" t="s">
        <v>367</v>
      </c>
      <c r="BG34" s="123"/>
      <c r="BH34" s="89">
        <v>42783</v>
      </c>
      <c r="BI34" s="612"/>
      <c r="BJ34" s="548">
        <v>42824</v>
      </c>
      <c r="BK34" s="548">
        <v>42929</v>
      </c>
      <c r="BL34" s="549">
        <v>43010</v>
      </c>
      <c r="BM34" s="547">
        <f t="shared" si="101"/>
        <v>3.5</v>
      </c>
      <c r="BN34" s="490" t="s">
        <v>229</v>
      </c>
      <c r="BO34" s="786"/>
      <c r="BP34" s="99"/>
      <c r="BQ34" s="536">
        <f t="shared" si="168"/>
        <v>0</v>
      </c>
      <c r="BR34" s="529"/>
      <c r="BS34" s="77">
        <f>DATE(YEAR(BP34),MONTH(BP34)+3,DAY(BP34))</f>
        <v>91</v>
      </c>
      <c r="BT34" s="77"/>
      <c r="BU34" s="151"/>
      <c r="BV34" s="150">
        <f t="shared" si="102"/>
        <v>1096</v>
      </c>
      <c r="BW34" s="373"/>
      <c r="BX34" s="150" t="str">
        <f>IF(Tableau6[[#This Row],[Montant des loyers perçus avant 1e échéance]]&lt;BW34,"oui","non")</f>
        <v>non</v>
      </c>
      <c r="BY34" s="475">
        <f>(BV34-EL34)/30</f>
        <v>-1463.6333333333334</v>
      </c>
      <c r="BZ34" s="373" t="str">
        <f>IF((BY34*EO34)&lt;0,"0",BY34*EO34)</f>
        <v>0</v>
      </c>
      <c r="CA34" s="373">
        <f>IF(BW34-BZ34&lt;0,0,Tableau6[[#This Row],[Montant échéance annuelle]]-Tableau6[[#This Row],[Montant des loyers perçus avant 1e échéance]])</f>
        <v>0</v>
      </c>
      <c r="CB34" s="159"/>
      <c r="CC34" s="64"/>
      <c r="CD34" s="64"/>
      <c r="CE34" s="290" t="str">
        <f t="shared" si="162"/>
        <v>0</v>
      </c>
      <c r="CF34" s="64"/>
      <c r="CG34" s="64"/>
      <c r="CH34" s="273" t="str">
        <f t="shared" si="163"/>
        <v>0</v>
      </c>
      <c r="CI34" s="159"/>
      <c r="CJ34" s="159"/>
      <c r="CK34" s="273" t="str">
        <f t="shared" si="164"/>
        <v>0</v>
      </c>
      <c r="CL34" s="64"/>
      <c r="CM34" s="64"/>
      <c r="CN34" s="273" t="str">
        <f t="shared" si="165"/>
        <v>0</v>
      </c>
      <c r="CO34" s="159"/>
      <c r="CP34" s="159"/>
      <c r="CQ34" s="273" t="str">
        <f t="shared" si="107"/>
        <v>0</v>
      </c>
      <c r="CR34" s="237"/>
      <c r="CS34" s="292"/>
      <c r="CT34" s="284"/>
      <c r="CU34" s="282"/>
      <c r="CV34" s="279" t="str">
        <f t="shared" si="161"/>
        <v>0</v>
      </c>
      <c r="CW34" s="284"/>
      <c r="CX34" s="382">
        <v>44124</v>
      </c>
      <c r="CY34" s="178"/>
      <c r="CZ34" s="231">
        <f t="shared" si="109"/>
        <v>39.833333333333336</v>
      </c>
      <c r="DA34" s="279" t="str">
        <f t="shared" si="110"/>
        <v>0</v>
      </c>
      <c r="DB34" s="383">
        <v>24</v>
      </c>
      <c r="DC34" s="127">
        <f t="shared" si="111"/>
        <v>28</v>
      </c>
      <c r="DD34" s="277">
        <v>43793</v>
      </c>
      <c r="DE34" s="282">
        <f t="shared" ca="1" si="174"/>
        <v>43998</v>
      </c>
      <c r="DF34" s="279">
        <f t="shared" ca="1" si="112"/>
        <v>205</v>
      </c>
      <c r="DG34" s="766">
        <f>DATE(YEAR(DD34),MONTH(DD34)+2,DAY(DD34))</f>
        <v>43854</v>
      </c>
      <c r="DH34" s="295">
        <f t="shared" ca="1" si="175"/>
        <v>43998</v>
      </c>
      <c r="DI34" s="280">
        <f t="shared" ca="1" si="113"/>
        <v>144</v>
      </c>
      <c r="DJ34" s="282"/>
      <c r="DK34" s="282">
        <f t="shared" ca="1" si="176"/>
        <v>43998</v>
      </c>
      <c r="DL34" s="279" t="str">
        <f t="shared" ca="1" si="114"/>
        <v>0</v>
      </c>
      <c r="DM34" s="282"/>
      <c r="DN34" s="282">
        <f t="shared" ca="1" si="177"/>
        <v>43998</v>
      </c>
      <c r="DO34" s="279" t="str">
        <f t="shared" ca="1" si="115"/>
        <v>0</v>
      </c>
      <c r="DP34" s="283"/>
      <c r="DQ34" s="283"/>
      <c r="DR34" s="279" t="str">
        <f t="shared" si="116"/>
        <v>0</v>
      </c>
      <c r="DS34" s="282"/>
      <c r="DT34" s="282">
        <f t="shared" ca="1" si="178"/>
        <v>43998</v>
      </c>
      <c r="DU34" s="279" t="str">
        <f t="shared" ca="1" si="117"/>
        <v>0</v>
      </c>
      <c r="DV34" s="282"/>
      <c r="DW34" s="282">
        <f t="shared" ca="1" si="179"/>
        <v>43998</v>
      </c>
      <c r="DX34" s="279" t="str">
        <f t="shared" ca="1" si="118"/>
        <v>0</v>
      </c>
      <c r="DY34" s="282"/>
      <c r="DZ34" s="282"/>
      <c r="EA34" s="282"/>
      <c r="EB34" s="410">
        <f t="shared" si="119"/>
        <v>44854</v>
      </c>
      <c r="EC34" s="409">
        <f>DATE(YEAR(EB34),MONTH(EB34)+4,DAY(EB34))</f>
        <v>44977</v>
      </c>
      <c r="ED34" s="406">
        <f t="shared" si="120"/>
        <v>4.0999999999999996</v>
      </c>
      <c r="EE34" s="513">
        <f t="shared" ca="1" si="169"/>
        <v>32.633333333333333</v>
      </c>
      <c r="EF34" s="408">
        <f t="shared" ca="1" si="180"/>
        <v>44728</v>
      </c>
      <c r="EG34" s="448"/>
      <c r="EH34" s="448"/>
      <c r="EI34" s="448"/>
      <c r="EJ34" s="312"/>
      <c r="EK34" s="456">
        <f t="shared" si="166"/>
        <v>44885</v>
      </c>
      <c r="EL34" s="409">
        <f t="shared" si="181"/>
        <v>45005</v>
      </c>
      <c r="EM34" s="314"/>
      <c r="EN34" s="404">
        <f>(DATEDIF(EK34,EL34,"d"))/30</f>
        <v>4</v>
      </c>
      <c r="EO34" s="394">
        <v>34578</v>
      </c>
      <c r="EP34" s="131">
        <f t="shared" si="121"/>
        <v>138312</v>
      </c>
      <c r="EQ34" s="60"/>
      <c r="ER34" s="60"/>
      <c r="ES34" s="742"/>
      <c r="ET34" s="300">
        <v>0</v>
      </c>
      <c r="EU34" s="300">
        <v>0</v>
      </c>
      <c r="EV34" s="300"/>
      <c r="EW34" s="300"/>
      <c r="EX34" s="300"/>
      <c r="EY34" s="416">
        <f t="shared" si="122"/>
        <v>0</v>
      </c>
      <c r="EZ34" s="297"/>
      <c r="FA34" s="308"/>
      <c r="FB34" s="308" t="s">
        <v>502</v>
      </c>
      <c r="FC34" s="57"/>
      <c r="FD34" s="89">
        <f t="shared" ca="1" si="167"/>
        <v>44728</v>
      </c>
      <c r="FE34" s="63"/>
      <c r="FF34" s="63"/>
      <c r="FG34" s="63"/>
      <c r="FH34" s="63"/>
      <c r="FI34" s="63"/>
      <c r="FJ34" s="22"/>
      <c r="FK34" s="146">
        <f t="shared" si="124"/>
        <v>45342</v>
      </c>
      <c r="FL34" s="146"/>
      <c r="FM34" s="146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451"/>
      <c r="GB34" s="471">
        <f>GD34+GG34+GJ34+HF34+Tableau6[[#This Row],[PRÊT CREDIT D''IMPOT (PM)]]</f>
        <v>14027515.392222375</v>
      </c>
      <c r="GC34" s="645">
        <f>GB34</f>
        <v>14027515.392222375</v>
      </c>
      <c r="GD34" s="507">
        <f t="shared" si="137"/>
        <v>1561645.3922223744</v>
      </c>
      <c r="GE34" s="20">
        <f t="shared" si="125"/>
        <v>2157.25621489376</v>
      </c>
      <c r="GF34" s="20">
        <f t="shared" si="126"/>
        <v>166994.23085979017</v>
      </c>
      <c r="GG34" s="503">
        <v>4954384</v>
      </c>
      <c r="GH34" s="351"/>
      <c r="GI34" s="826">
        <f>GG34/AD34</f>
        <v>58980.761904761908</v>
      </c>
      <c r="GJ34" s="503">
        <f t="shared" si="127"/>
        <v>7111486</v>
      </c>
      <c r="GK34" s="5">
        <f>GL34+GM34</f>
        <v>7111486</v>
      </c>
      <c r="GL34" s="828">
        <v>1262108</v>
      </c>
      <c r="GM34" s="828">
        <f>6249378-HF34</f>
        <v>5849378</v>
      </c>
      <c r="GN34" s="345">
        <f t="shared" si="128"/>
        <v>84660.547619047618</v>
      </c>
      <c r="GO34" s="829"/>
      <c r="GP34" s="5">
        <v>1512000</v>
      </c>
      <c r="GQ34" s="35"/>
      <c r="GR34" s="18">
        <f t="shared" si="129"/>
        <v>0.10778815476034594</v>
      </c>
      <c r="GS34" s="45"/>
      <c r="GT34" s="45"/>
      <c r="GU34" s="5">
        <v>49645.392222374365</v>
      </c>
      <c r="GV34" s="20">
        <f t="shared" si="170"/>
        <v>18000</v>
      </c>
      <c r="GW34" s="20">
        <f t="shared" si="171"/>
        <v>76980.761904761908</v>
      </c>
      <c r="GX34" s="567"/>
      <c r="GY34" s="567"/>
      <c r="GZ34" s="567">
        <f>(GG34+GP34+GY34)/AD34</f>
        <v>76980.761904761908</v>
      </c>
      <c r="HA34" s="567"/>
      <c r="HB34" s="567">
        <f t="shared" si="172"/>
        <v>76980.761904761908</v>
      </c>
      <c r="HC34" s="568">
        <f>(GG34+GP34+GY34+HA34)/(GX34+GB34-HD34)</f>
        <v>0.46097857098665662</v>
      </c>
      <c r="HD34" s="567"/>
      <c r="HE34" s="567"/>
      <c r="HF34" s="503">
        <v>400000</v>
      </c>
      <c r="HG34" s="637">
        <v>1253915</v>
      </c>
      <c r="HH34" s="634">
        <f t="shared" si="133"/>
        <v>8.9389672008147597E-2</v>
      </c>
      <c r="HI34" s="633">
        <f t="shared" si="173"/>
        <v>12773600.392222375</v>
      </c>
      <c r="HJ34" s="633" t="e">
        <f ca="1">4610000*1.021/EE34*DATEDIF(TODAY(),$HJ$1,"M")*0+700000</f>
        <v>#VALUE!</v>
      </c>
      <c r="HK34" s="634" t="e">
        <f ca="1">(HJ34+HG34)/GB34</f>
        <v>#VALUE!</v>
      </c>
      <c r="HL34" s="633">
        <f>'[1]GLOBAL OPERATION'!$AG$68</f>
        <v>27200</v>
      </c>
      <c r="HM34" s="633">
        <f t="shared" si="135"/>
        <v>1534445.3922223744</v>
      </c>
      <c r="HN34" s="634">
        <f t="shared" si="136"/>
        <v>1.7417526498311971E-2</v>
      </c>
      <c r="HO34" s="640" t="s">
        <v>747</v>
      </c>
      <c r="HP34" s="563">
        <v>635597.92000000004</v>
      </c>
      <c r="HQ34" s="47">
        <v>525067.26</v>
      </c>
      <c r="HR34" s="563">
        <v>1408667.75</v>
      </c>
      <c r="HS34" s="563">
        <f>SUM(Tableau6[[#This Row],[GO]:[CARRELAGE]])</f>
        <v>0</v>
      </c>
      <c r="HT34" s="461"/>
      <c r="HU34" s="461"/>
      <c r="HV34" s="461"/>
      <c r="HW34" s="461"/>
      <c r="HX34" s="461"/>
      <c r="HY34" s="461"/>
      <c r="HZ34" s="461"/>
      <c r="IA34" s="461"/>
      <c r="IB34" s="461"/>
      <c r="IC34" s="461"/>
      <c r="ID34" s="461"/>
      <c r="IE34" s="461"/>
      <c r="IF34" s="461"/>
      <c r="IG34" s="563">
        <v>1360672</v>
      </c>
      <c r="IH34" s="563">
        <v>368000</v>
      </c>
      <c r="II34" s="563">
        <f>HP34+HR34+Tableau6[[#This Row],[TRAVAUX BATIS]]+Tableau6[[#This Row],[HONORAIRES]]+IH34</f>
        <v>3772937.67</v>
      </c>
      <c r="IJ34" s="654">
        <f>Tableau6[[#This Row],[TOTAL PRP HT]]-Tableau6[[#This Row],[PRP TTC HORS FRAFU]]/1.021</f>
        <v>-9966058.7964274008</v>
      </c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</row>
    <row r="35" spans="1:256" ht="30" customHeight="1">
      <c r="A35" s="772" t="s">
        <v>855</v>
      </c>
      <c r="B35" s="2" t="s">
        <v>21</v>
      </c>
      <c r="C35" s="2" t="s">
        <v>86</v>
      </c>
      <c r="D35" s="2">
        <v>2020</v>
      </c>
      <c r="E35" s="2"/>
      <c r="F35" s="2" t="s">
        <v>834</v>
      </c>
      <c r="G35" s="2" t="s">
        <v>139</v>
      </c>
      <c r="H35" s="2" t="s">
        <v>794</v>
      </c>
      <c r="I35" s="22"/>
      <c r="J35" s="22" t="s">
        <v>180</v>
      </c>
      <c r="K35" s="134" t="s">
        <v>351</v>
      </c>
      <c r="L35" s="78"/>
      <c r="M35" s="51"/>
      <c r="N35" s="52"/>
      <c r="O35" s="117"/>
      <c r="P35" s="117"/>
      <c r="Q35" s="117"/>
      <c r="R35" s="117"/>
      <c r="S35" s="117"/>
      <c r="T35" s="330"/>
      <c r="U35" s="330"/>
      <c r="V35" s="330"/>
      <c r="W35" s="117"/>
      <c r="X35" s="104"/>
      <c r="Y35" s="447" t="e">
        <f t="shared" si="96"/>
        <v>#DIV/0!</v>
      </c>
      <c r="Z35" s="104"/>
      <c r="AA35" s="106"/>
      <c r="AB35" s="107"/>
      <c r="AC35" s="2" t="s">
        <v>300</v>
      </c>
      <c r="AD35" s="426">
        <f t="shared" si="97"/>
        <v>83</v>
      </c>
      <c r="AE35" s="426">
        <f t="shared" si="98"/>
        <v>0</v>
      </c>
      <c r="AF35" s="3"/>
      <c r="AG35" s="3"/>
      <c r="AH35" s="32"/>
      <c r="AI35" s="94">
        <v>83</v>
      </c>
      <c r="AJ35" s="614"/>
      <c r="AK35" s="225"/>
      <c r="AL35" s="492">
        <f t="shared" si="99"/>
        <v>0</v>
      </c>
      <c r="AM35" s="4">
        <f t="shared" si="100"/>
        <v>0</v>
      </c>
      <c r="AN35" s="26"/>
      <c r="AO35" s="26"/>
      <c r="AP35" s="26"/>
      <c r="AQ35" s="39"/>
      <c r="AR35" s="39"/>
      <c r="AS35" s="39"/>
      <c r="AT35" s="39"/>
      <c r="AU35" s="39"/>
      <c r="AV35" s="4"/>
      <c r="AW35" s="37"/>
      <c r="AX35" s="39"/>
      <c r="AY35" s="26"/>
      <c r="AZ35" s="22"/>
      <c r="BA35" s="2"/>
      <c r="BB35" s="118"/>
      <c r="BC35" s="22"/>
      <c r="BD35" s="22"/>
      <c r="BE35" s="22"/>
      <c r="BF35" s="22"/>
      <c r="BG35" s="22"/>
      <c r="BH35" s="56">
        <v>43816</v>
      </c>
      <c r="BI35" s="22"/>
      <c r="BJ35" s="548"/>
      <c r="BK35" s="548"/>
      <c r="BL35" s="549"/>
      <c r="BM35" s="547">
        <f t="shared" si="101"/>
        <v>0</v>
      </c>
      <c r="BN35" s="490" t="s">
        <v>229</v>
      </c>
      <c r="BO35" s="76"/>
      <c r="BP35" s="99"/>
      <c r="BQ35" s="536">
        <f t="shared" si="168"/>
        <v>0</v>
      </c>
      <c r="BR35" s="529"/>
      <c r="BS35" s="77"/>
      <c r="BT35" s="77"/>
      <c r="BU35" s="151"/>
      <c r="BV35" s="150">
        <f t="shared" si="102"/>
        <v>1096</v>
      </c>
      <c r="BW35" s="373"/>
      <c r="BX35" s="150" t="str">
        <f>IF(Tableau6[[#This Row],[Montant des loyers perçus avant 1e échéance]]&lt;BW35,"oui","non")</f>
        <v>non</v>
      </c>
      <c r="BY35" s="474"/>
      <c r="BZ35" s="474"/>
      <c r="CA35" s="474"/>
      <c r="CB35" s="159">
        <v>43703</v>
      </c>
      <c r="CC35" s="64">
        <v>43696</v>
      </c>
      <c r="CD35" s="64">
        <v>43700</v>
      </c>
      <c r="CE35" s="273">
        <f t="shared" si="162"/>
        <v>4</v>
      </c>
      <c r="CF35" s="288">
        <v>43951</v>
      </c>
      <c r="CG35" s="288"/>
      <c r="CH35" s="290" t="str">
        <f t="shared" si="163"/>
        <v>0</v>
      </c>
      <c r="CI35" s="64">
        <v>43899</v>
      </c>
      <c r="CJ35" s="64">
        <v>43906</v>
      </c>
      <c r="CK35" s="273">
        <f t="shared" si="164"/>
        <v>7</v>
      </c>
      <c r="CL35" s="64">
        <v>43899</v>
      </c>
      <c r="CM35" s="64">
        <v>43906</v>
      </c>
      <c r="CN35" s="273">
        <f t="shared" si="165"/>
        <v>7</v>
      </c>
      <c r="CO35" s="288">
        <v>43968</v>
      </c>
      <c r="CP35" s="288">
        <f ca="1">IF(CO35&lt;TODAY(),TODAY(),CO35)</f>
        <v>43998</v>
      </c>
      <c r="CQ35" s="290">
        <f t="shared" ca="1" si="107"/>
        <v>30</v>
      </c>
      <c r="CR35" s="237"/>
      <c r="CS35" s="286"/>
      <c r="CT35" s="277"/>
      <c r="CU35" s="278"/>
      <c r="CV35" s="279" t="str">
        <f t="shared" si="161"/>
        <v>0</v>
      </c>
      <c r="CW35" s="277">
        <v>44228</v>
      </c>
      <c r="CX35" s="382">
        <v>44270</v>
      </c>
      <c r="CY35" s="178"/>
      <c r="CZ35" s="231">
        <f t="shared" si="109"/>
        <v>1475.6666666666667</v>
      </c>
      <c r="DA35" s="279">
        <f t="shared" si="110"/>
        <v>42</v>
      </c>
      <c r="DB35" s="383">
        <v>12</v>
      </c>
      <c r="DC35" s="127">
        <f t="shared" si="111"/>
        <v>13</v>
      </c>
      <c r="DD35" s="277"/>
      <c r="DE35" s="282">
        <f t="shared" ca="1" si="174"/>
        <v>43998</v>
      </c>
      <c r="DF35" s="279" t="str">
        <f t="shared" ca="1" si="112"/>
        <v>0</v>
      </c>
      <c r="DG35" s="766"/>
      <c r="DH35" s="295">
        <f t="shared" ca="1" si="175"/>
        <v>43998</v>
      </c>
      <c r="DI35" s="280" t="str">
        <f t="shared" ca="1" si="113"/>
        <v>0</v>
      </c>
      <c r="DJ35" s="281"/>
      <c r="DK35" s="282">
        <f t="shared" ca="1" si="176"/>
        <v>43998</v>
      </c>
      <c r="DL35" s="279" t="str">
        <f t="shared" ca="1" si="114"/>
        <v>0</v>
      </c>
      <c r="DM35" s="282"/>
      <c r="DN35" s="282">
        <f t="shared" ca="1" si="177"/>
        <v>43998</v>
      </c>
      <c r="DO35" s="279" t="str">
        <f t="shared" ca="1" si="115"/>
        <v>0</v>
      </c>
      <c r="DP35" s="283"/>
      <c r="DQ35" s="283"/>
      <c r="DR35" s="279" t="str">
        <f t="shared" si="116"/>
        <v>0</v>
      </c>
      <c r="DS35" s="282"/>
      <c r="DT35" s="282">
        <f t="shared" ca="1" si="178"/>
        <v>43998</v>
      </c>
      <c r="DU35" s="279" t="str">
        <f t="shared" ca="1" si="117"/>
        <v>0</v>
      </c>
      <c r="DV35" s="282"/>
      <c r="DW35" s="282">
        <f t="shared" ca="1" si="179"/>
        <v>43998</v>
      </c>
      <c r="DX35" s="279" t="str">
        <f t="shared" ca="1" si="118"/>
        <v>0</v>
      </c>
      <c r="DY35" s="283"/>
      <c r="DZ35" s="283"/>
      <c r="EA35" s="283"/>
      <c r="EB35" s="410">
        <f t="shared" si="119"/>
        <v>44635</v>
      </c>
      <c r="EC35" s="409">
        <f>DATE(YEAR(EB35),MONTH(EB35)+1,DAY(EB35))</f>
        <v>44666</v>
      </c>
      <c r="ED35" s="406">
        <f t="shared" si="120"/>
        <v>1.0333333333333334</v>
      </c>
      <c r="EE35" s="513">
        <f t="shared" ca="1" si="169"/>
        <v>22.266666666666666</v>
      </c>
      <c r="EF35" s="509">
        <f t="shared" ca="1" si="180"/>
        <v>44728</v>
      </c>
      <c r="EG35" s="448"/>
      <c r="EH35" s="448"/>
      <c r="EI35" s="448">
        <f>DATE(YEAR(EC35),MONTH(EC35)+4,DAY(EC35)+2)</f>
        <v>44790</v>
      </c>
      <c r="EJ35" s="242"/>
      <c r="EK35" s="456">
        <f t="shared" si="166"/>
        <v>44666</v>
      </c>
      <c r="EL35" s="409">
        <f t="shared" si="181"/>
        <v>44696</v>
      </c>
      <c r="EM35" s="314"/>
      <c r="EN35" s="404">
        <f>(EL35-EK35)/30</f>
        <v>1</v>
      </c>
      <c r="EO35" s="394"/>
      <c r="EP35" s="131">
        <f t="shared" si="121"/>
        <v>0</v>
      </c>
      <c r="EQ35" s="60"/>
      <c r="ER35" s="60"/>
      <c r="ES35" s="742"/>
      <c r="ET35" s="300"/>
      <c r="EU35" s="300">
        <v>0</v>
      </c>
      <c r="EV35" s="300"/>
      <c r="EW35" s="300"/>
      <c r="EX35" s="300"/>
      <c r="EY35" s="416">
        <f t="shared" si="122"/>
        <v>0</v>
      </c>
      <c r="EZ35" s="297"/>
      <c r="FA35" s="308"/>
      <c r="FB35" s="297"/>
      <c r="FC35" s="297"/>
      <c r="FD35" s="89">
        <f t="shared" ca="1" si="167"/>
        <v>44728</v>
      </c>
      <c r="FE35" s="63"/>
      <c r="FF35" s="63"/>
      <c r="FG35" s="63"/>
      <c r="FH35" s="63"/>
      <c r="FI35" s="63"/>
      <c r="FJ35" s="22"/>
      <c r="FK35" s="146">
        <f t="shared" si="124"/>
        <v>45031</v>
      </c>
      <c r="FL35" s="146"/>
      <c r="FM35" s="146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451"/>
      <c r="GB35" s="471">
        <f>GD35+GG35+GJ35+HF35+Tableau6[[#This Row],[PRÊT CREDIT D''IMPOT (PM)]]</f>
        <v>4174999.6</v>
      </c>
      <c r="GC35" s="645"/>
      <c r="GD35" s="507">
        <f t="shared" si="137"/>
        <v>749800</v>
      </c>
      <c r="GE35" s="212" t="e">
        <f t="shared" si="125"/>
        <v>#DIV/0!</v>
      </c>
      <c r="GF35" s="212">
        <f t="shared" si="126"/>
        <v>50301.200000000004</v>
      </c>
      <c r="GG35" s="503">
        <v>990342</v>
      </c>
      <c r="GH35" s="442"/>
      <c r="GI35" s="213" t="e">
        <f>#REF!/AD35</f>
        <v>#REF!</v>
      </c>
      <c r="GJ35" s="503">
        <f t="shared" si="127"/>
        <v>2434857.6</v>
      </c>
      <c r="GK35" s="5">
        <v>2434857.6</v>
      </c>
      <c r="GL35" s="213"/>
      <c r="GM35" s="213"/>
      <c r="GN35" s="345">
        <f t="shared" si="128"/>
        <v>29335.633734939762</v>
      </c>
      <c r="GO35" s="806"/>
      <c r="GP35" s="5">
        <v>747000</v>
      </c>
      <c r="GQ35" s="35"/>
      <c r="GR35" s="18">
        <f t="shared" si="129"/>
        <v>0.17892217283086687</v>
      </c>
      <c r="GS35" s="45"/>
      <c r="GT35" s="35"/>
      <c r="GU35" s="5">
        <v>2800</v>
      </c>
      <c r="GV35" s="20">
        <f t="shared" si="170"/>
        <v>9000</v>
      </c>
      <c r="GW35" s="20">
        <f t="shared" si="171"/>
        <v>20931.831325301206</v>
      </c>
      <c r="GX35" s="567"/>
      <c r="GY35" s="567"/>
      <c r="GZ35" s="567" t="e">
        <f>(#REF!+#REF!+GY35)/AD35</f>
        <v>#REF!</v>
      </c>
      <c r="HA35" s="567"/>
      <c r="HB35" s="567">
        <f t="shared" si="172"/>
        <v>20931.831325301206</v>
      </c>
      <c r="HC35" s="568" t="e">
        <f>(#REF!+#REF!+GY35+HA35)/(GX35+#REF!-HD35)</f>
        <v>#REF!</v>
      </c>
      <c r="HD35" s="567"/>
      <c r="HE35" s="567"/>
      <c r="HF35" s="503"/>
      <c r="HG35" s="633"/>
      <c r="HH35" s="634">
        <f t="shared" si="133"/>
        <v>0</v>
      </c>
      <c r="HI35" s="633">
        <f t="shared" si="173"/>
        <v>4174999.6</v>
      </c>
      <c r="HJ35" s="633" t="e">
        <f ca="1">IF(EE35&lt;DATEDIF(TODAY(),$HJ$1,"M"),HI35,(HI35/EE35*DATEDIF(TODAY(),$HJ$1,"M")))</f>
        <v>#VALUE!</v>
      </c>
      <c r="HK35" s="634" t="e">
        <f ca="1">(HG35+HJ35)/GB35</f>
        <v>#VALUE!</v>
      </c>
      <c r="HL35" s="633"/>
      <c r="HM35" s="633">
        <f t="shared" si="135"/>
        <v>749800</v>
      </c>
      <c r="HN35" s="633">
        <f t="shared" si="136"/>
        <v>0</v>
      </c>
      <c r="HO35" s="633"/>
      <c r="HP35" s="563"/>
      <c r="HQ35" s="214"/>
      <c r="HR35" s="563"/>
      <c r="HS35" s="563">
        <f>SUM(Tableau6[[#This Row],[GO]:[CARRELAGE]])</f>
        <v>0</v>
      </c>
      <c r="HT35" s="461"/>
      <c r="HU35" s="461"/>
      <c r="HV35" s="461"/>
      <c r="HW35" s="461"/>
      <c r="HX35" s="461"/>
      <c r="HY35" s="461"/>
      <c r="HZ35" s="461"/>
      <c r="IA35" s="461"/>
      <c r="IB35" s="461"/>
      <c r="IC35" s="461"/>
      <c r="ID35" s="461"/>
      <c r="IE35" s="461"/>
      <c r="IF35" s="461"/>
      <c r="IG35" s="563"/>
      <c r="IH35" s="563"/>
      <c r="II35" s="563">
        <f>HP35+HR35+Tableau6[[#This Row],[TRAVAUX BATIS]]+Tableau6[[#This Row],[HONORAIRES]]+IH35</f>
        <v>0</v>
      </c>
      <c r="IJ35" s="654">
        <f>Tableau6[[#This Row],[TOTAL PRP HT]]-Tableau6[[#This Row],[PRP TTC HORS FRAFU]]/1.021</f>
        <v>-4089127.9138099905</v>
      </c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</row>
    <row r="36" spans="1:256" ht="30" customHeight="1">
      <c r="A36" s="765" t="s">
        <v>875</v>
      </c>
      <c r="B36" s="2" t="s">
        <v>21</v>
      </c>
      <c r="C36" s="2" t="s">
        <v>86</v>
      </c>
      <c r="D36" s="2">
        <v>2020</v>
      </c>
      <c r="E36" s="2" t="s">
        <v>848</v>
      </c>
      <c r="F36" s="423"/>
      <c r="G36" s="423"/>
      <c r="H36" s="423"/>
      <c r="I36" s="22"/>
      <c r="J36" s="22"/>
      <c r="K36" s="134"/>
      <c r="L36" s="78"/>
      <c r="M36" s="51"/>
      <c r="N36" s="52"/>
      <c r="O36" s="103"/>
      <c r="P36" s="103"/>
      <c r="Q36" s="103"/>
      <c r="R36" s="103">
        <f>P36/AD36</f>
        <v>0</v>
      </c>
      <c r="S36" s="103" t="e">
        <f>P36/O36</f>
        <v>#DIV/0!</v>
      </c>
      <c r="T36" s="109" t="e">
        <f>Q36/O36</f>
        <v>#DIV/0!</v>
      </c>
      <c r="U36" s="109">
        <f>Q36/AK36</f>
        <v>0</v>
      </c>
      <c r="V36" s="109">
        <f>Q36/AD36</f>
        <v>0</v>
      </c>
      <c r="W36" s="103">
        <f>O36/AD36</f>
        <v>0</v>
      </c>
      <c r="X36" s="104"/>
      <c r="Y36" s="447" t="e">
        <f t="shared" si="96"/>
        <v>#DIV/0!</v>
      </c>
      <c r="Z36" s="104"/>
      <c r="AA36" s="106"/>
      <c r="AB36" s="107"/>
      <c r="AC36" s="2" t="s">
        <v>9</v>
      </c>
      <c r="AD36" s="426">
        <f t="shared" si="97"/>
        <v>53</v>
      </c>
      <c r="AE36" s="426">
        <f t="shared" si="98"/>
        <v>53</v>
      </c>
      <c r="AF36" s="3"/>
      <c r="AG36" s="2">
        <v>53</v>
      </c>
      <c r="AH36" s="32"/>
      <c r="AI36" s="362"/>
      <c r="AJ36" s="614">
        <v>4076.6</v>
      </c>
      <c r="AK36" s="225">
        <v>4665.17</v>
      </c>
      <c r="AL36" s="492">
        <f t="shared" si="99"/>
        <v>76.916981132075463</v>
      </c>
      <c r="AM36" s="4">
        <f t="shared" si="100"/>
        <v>88.022075471698116</v>
      </c>
      <c r="AN36" s="26"/>
      <c r="AO36" s="26"/>
      <c r="AP36" s="26"/>
      <c r="AQ36" s="39"/>
      <c r="AR36" s="39"/>
      <c r="AS36" s="39"/>
      <c r="AT36" s="39"/>
      <c r="AU36" s="39"/>
      <c r="AV36" s="4"/>
      <c r="AW36" s="37"/>
      <c r="AX36" s="39"/>
      <c r="AY36" s="26"/>
      <c r="AZ36" s="22"/>
      <c r="BA36" s="2"/>
      <c r="BB36" s="118">
        <v>10202184.244999999</v>
      </c>
      <c r="BC36" s="437">
        <f>BB36/AJ36</f>
        <v>2502.6208715596331</v>
      </c>
      <c r="BD36" s="332">
        <f>BB36/AK36</f>
        <v>2186.8837030590521</v>
      </c>
      <c r="BE36" s="334">
        <f>BB36/AD36</f>
        <v>192494.04235849055</v>
      </c>
      <c r="BF36" s="325" t="s">
        <v>843</v>
      </c>
      <c r="BG36" s="325"/>
      <c r="BH36" s="56">
        <v>43816</v>
      </c>
      <c r="BI36" s="89"/>
      <c r="BJ36" s="548"/>
      <c r="BK36" s="548"/>
      <c r="BL36" s="549"/>
      <c r="BM36" s="547">
        <f t="shared" si="101"/>
        <v>0</v>
      </c>
      <c r="BN36" s="490" t="s">
        <v>229</v>
      </c>
      <c r="BO36" s="76"/>
      <c r="BP36" s="99"/>
      <c r="BQ36" s="536">
        <f t="shared" si="168"/>
        <v>0</v>
      </c>
      <c r="BR36" s="529"/>
      <c r="BS36" s="77"/>
      <c r="BT36" s="77"/>
      <c r="BU36" s="151"/>
      <c r="BV36" s="150">
        <f t="shared" si="102"/>
        <v>1096</v>
      </c>
      <c r="BW36" s="373"/>
      <c r="BX36" s="150" t="str">
        <f>IF(Tableau6[[#This Row],[Montant des loyers perçus avant 1e échéance]]&lt;BW36,"oui","non")</f>
        <v>non</v>
      </c>
      <c r="BY36" s="475">
        <f>(BV36-EL36)/30</f>
        <v>-1459.6333333333334</v>
      </c>
      <c r="BZ36" s="373">
        <f>IF((BY36*EO36)&lt;0,"0",BY36*EO36)</f>
        <v>0</v>
      </c>
      <c r="CA36" s="373">
        <f>IF(BW36-BZ36&lt;0,0,Tableau6[[#This Row],[Montant échéance annuelle]]-Tableau6[[#This Row],[Montant des loyers perçus avant 1e échéance]])</f>
        <v>0</v>
      </c>
      <c r="CB36" s="159"/>
      <c r="CC36" s="64"/>
      <c r="CD36" s="64"/>
      <c r="CE36" s="273"/>
      <c r="CF36" s="64"/>
      <c r="CG36" s="64"/>
      <c r="CH36" s="273"/>
      <c r="CI36" s="288"/>
      <c r="CJ36" s="288"/>
      <c r="CK36" s="290"/>
      <c r="CL36" s="288"/>
      <c r="CM36" s="288"/>
      <c r="CN36" s="290"/>
      <c r="CO36" s="288"/>
      <c r="CP36" s="288"/>
      <c r="CQ36" s="290" t="str">
        <f t="shared" si="107"/>
        <v>0</v>
      </c>
      <c r="CR36" s="237"/>
      <c r="CS36" s="286"/>
      <c r="CT36" s="277"/>
      <c r="CU36" s="282"/>
      <c r="CV36" s="279" t="str">
        <f t="shared" si="161"/>
        <v>0</v>
      </c>
      <c r="CW36" s="277"/>
      <c r="CX36" s="382">
        <v>44275</v>
      </c>
      <c r="CY36" s="561"/>
      <c r="CZ36" s="231">
        <f t="shared" si="109"/>
        <v>1475.8333333333333</v>
      </c>
      <c r="DA36" s="279" t="str">
        <f t="shared" si="110"/>
        <v>0</v>
      </c>
      <c r="DB36" s="383">
        <v>16</v>
      </c>
      <c r="DC36" s="127">
        <f t="shared" si="111"/>
        <v>19</v>
      </c>
      <c r="DD36" s="277"/>
      <c r="DE36" s="282">
        <f t="shared" ca="1" si="174"/>
        <v>43998</v>
      </c>
      <c r="DF36" s="279" t="str">
        <f t="shared" ca="1" si="112"/>
        <v>0</v>
      </c>
      <c r="DG36" s="277"/>
      <c r="DH36" s="295">
        <f t="shared" ca="1" si="175"/>
        <v>43998</v>
      </c>
      <c r="DI36" s="280" t="str">
        <f t="shared" ca="1" si="113"/>
        <v>0</v>
      </c>
      <c r="DJ36" s="281"/>
      <c r="DK36" s="282">
        <f t="shared" ca="1" si="176"/>
        <v>43998</v>
      </c>
      <c r="DL36" s="279" t="str">
        <f t="shared" ca="1" si="114"/>
        <v>0</v>
      </c>
      <c r="DM36" s="282"/>
      <c r="DN36" s="282">
        <f t="shared" ca="1" si="177"/>
        <v>43998</v>
      </c>
      <c r="DO36" s="279" t="str">
        <f t="shared" ca="1" si="115"/>
        <v>0</v>
      </c>
      <c r="DP36" s="283"/>
      <c r="DQ36" s="283"/>
      <c r="DR36" s="279" t="str">
        <f t="shared" si="116"/>
        <v>0</v>
      </c>
      <c r="DS36" s="282"/>
      <c r="DT36" s="282">
        <f t="shared" ca="1" si="178"/>
        <v>43998</v>
      </c>
      <c r="DU36" s="279" t="str">
        <f t="shared" ca="1" si="117"/>
        <v>0</v>
      </c>
      <c r="DV36" s="282"/>
      <c r="DW36" s="282">
        <f t="shared" ca="1" si="179"/>
        <v>43998</v>
      </c>
      <c r="DX36" s="279" t="str">
        <f t="shared" ca="1" si="118"/>
        <v>0</v>
      </c>
      <c r="DY36" s="283"/>
      <c r="DZ36" s="283"/>
      <c r="EA36" s="283"/>
      <c r="EB36" s="410">
        <f t="shared" si="119"/>
        <v>44762</v>
      </c>
      <c r="EC36" s="409">
        <f>DATE(YEAR(EB36),MONTH(EB36)+3,DAY(EB36))</f>
        <v>44854</v>
      </c>
      <c r="ED36" s="406">
        <f t="shared" si="120"/>
        <v>3.0666666666666669</v>
      </c>
      <c r="EE36" s="513">
        <f t="shared" ca="1" si="169"/>
        <v>28.533333333333335</v>
      </c>
      <c r="EF36" s="408">
        <f t="shared" ca="1" si="180"/>
        <v>44728</v>
      </c>
      <c r="EG36" s="448"/>
      <c r="EH36" s="448"/>
      <c r="EI36" s="448">
        <f>DATE(YEAR(EC36),MONTH(EC36)+4,DAY(EC36)+2)</f>
        <v>44979</v>
      </c>
      <c r="EJ36" s="312"/>
      <c r="EK36" s="456">
        <f t="shared" si="166"/>
        <v>44793</v>
      </c>
      <c r="EL36" s="409">
        <f t="shared" si="181"/>
        <v>44885</v>
      </c>
      <c r="EM36" s="314"/>
      <c r="EN36" s="404">
        <f>(EL36-EK36)/30</f>
        <v>3.0666666666666669</v>
      </c>
      <c r="EO36" s="394"/>
      <c r="EP36" s="131">
        <f t="shared" si="121"/>
        <v>0</v>
      </c>
      <c r="EQ36" s="60"/>
      <c r="ER36" s="60"/>
      <c r="ES36" s="742">
        <f>(Tableau6[[#This Row],[Date inauguration recalée]]-ER36)/30</f>
        <v>1496.1666666666667</v>
      </c>
      <c r="ET36" s="300"/>
      <c r="EU36" s="300"/>
      <c r="EV36" s="300"/>
      <c r="EW36" s="300"/>
      <c r="EX36" s="415"/>
      <c r="EY36" s="416">
        <f t="shared" si="122"/>
        <v>0</v>
      </c>
      <c r="EZ36" s="302"/>
      <c r="FA36" s="316"/>
      <c r="FB36" s="302"/>
      <c r="FC36" s="302" t="s">
        <v>795</v>
      </c>
      <c r="FD36" s="89">
        <f t="shared" ca="1" si="167"/>
        <v>44728</v>
      </c>
      <c r="FE36" s="63"/>
      <c r="FF36" s="63"/>
      <c r="FG36" s="63"/>
      <c r="FH36" s="63"/>
      <c r="FI36" s="63"/>
      <c r="FJ36" s="22"/>
      <c r="FK36" s="146">
        <f t="shared" si="124"/>
        <v>45219</v>
      </c>
      <c r="FL36" s="146"/>
      <c r="FM36" s="146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451"/>
      <c r="GB36" s="471">
        <f>GD36+GG36+GJ36+HF36+Tableau6[[#This Row],[PRÊT CREDIT D''IMPOT (PM)]]</f>
        <v>10643838</v>
      </c>
      <c r="GC36" s="645">
        <f>GB36</f>
        <v>10643838</v>
      </c>
      <c r="GD36" s="507">
        <f t="shared" si="137"/>
        <v>1431000</v>
      </c>
      <c r="GE36" s="20">
        <f t="shared" si="125"/>
        <v>2281.5541555827549</v>
      </c>
      <c r="GF36" s="20">
        <f t="shared" si="126"/>
        <v>200827.13207547169</v>
      </c>
      <c r="GG36" s="503">
        <v>3276480</v>
      </c>
      <c r="GH36" s="351"/>
      <c r="GI36" s="11">
        <f t="shared" ref="GI36:GI43" si="182">GG36/AD36</f>
        <v>61820.377358490565</v>
      </c>
      <c r="GJ36" s="503">
        <f t="shared" si="127"/>
        <v>5936358</v>
      </c>
      <c r="GK36" s="5">
        <f>GL36+GM36</f>
        <v>5936358</v>
      </c>
      <c r="GL36" s="6">
        <v>1187272</v>
      </c>
      <c r="GM36" s="6">
        <v>4749086</v>
      </c>
      <c r="GN36" s="345">
        <f t="shared" si="128"/>
        <v>112006.75471698113</v>
      </c>
      <c r="GO36" s="5"/>
      <c r="GP36" s="5">
        <v>1431000</v>
      </c>
      <c r="GQ36" s="35"/>
      <c r="GR36" s="18">
        <f t="shared" si="129"/>
        <v>0.13444398533686816</v>
      </c>
      <c r="GS36" s="35"/>
      <c r="GT36" s="35"/>
      <c r="GU36" s="5"/>
      <c r="GV36" s="20">
        <f t="shared" si="170"/>
        <v>27000</v>
      </c>
      <c r="GW36" s="20">
        <f t="shared" si="171"/>
        <v>88820.377358490572</v>
      </c>
      <c r="GX36" s="567"/>
      <c r="GY36" s="567"/>
      <c r="GZ36" s="567">
        <f>(GG36+GP36+GY36)/AD36</f>
        <v>88820.377358490572</v>
      </c>
      <c r="HA36" s="567"/>
      <c r="HB36" s="567">
        <f t="shared" si="172"/>
        <v>88820.377358490572</v>
      </c>
      <c r="HC36" s="568">
        <f t="shared" ref="HC36:HC43" si="183">(GG36+GP36+GY36+HA36)/(GX36+GB36-HD36)</f>
        <v>0.44227279671111114</v>
      </c>
      <c r="HD36" s="567"/>
      <c r="HE36" s="567"/>
      <c r="HF36" s="503"/>
      <c r="HG36" s="633"/>
      <c r="HH36" s="634">
        <f t="shared" si="133"/>
        <v>0</v>
      </c>
      <c r="HI36" s="633">
        <f t="shared" si="173"/>
        <v>10643838</v>
      </c>
      <c r="HJ36" s="633" t="e">
        <f ca="1">IF(EE36&lt;DATEDIF(TODAY(),$HJ$1,"M"),HI36,(HI36/EE36*DATEDIF(TODAY(),$HJ$1,"M")))*0+100000</f>
        <v>#VALUE!</v>
      </c>
      <c r="HK36" s="634" t="e">
        <f ca="1">(HG36+HJ36)/GB36</f>
        <v>#VALUE!</v>
      </c>
      <c r="HL36" s="633"/>
      <c r="HM36" s="633">
        <f t="shared" si="135"/>
        <v>1431000</v>
      </c>
      <c r="HN36" s="633">
        <f t="shared" si="136"/>
        <v>0</v>
      </c>
      <c r="HO36" s="633"/>
      <c r="HP36" s="563"/>
      <c r="HQ36" s="47"/>
      <c r="HR36" s="563"/>
      <c r="HS36" s="563">
        <f>SUM(Tableau6[[#This Row],[GO]:[CARRELAGE]])</f>
        <v>0</v>
      </c>
      <c r="HT36" s="461"/>
      <c r="HU36" s="461"/>
      <c r="HV36" s="461"/>
      <c r="HW36" s="461"/>
      <c r="HX36" s="461"/>
      <c r="HY36" s="461"/>
      <c r="HZ36" s="461"/>
      <c r="IA36" s="461"/>
      <c r="IB36" s="461"/>
      <c r="IC36" s="461"/>
      <c r="ID36" s="461"/>
      <c r="IE36" s="461"/>
      <c r="IF36" s="461"/>
      <c r="IG36" s="563"/>
      <c r="IH36" s="563"/>
      <c r="II36" s="563">
        <f>HP36+HR36+Tableau6[[#This Row],[TRAVAUX BATIS]]+Tableau6[[#This Row],[HONORAIRES]]+IH36</f>
        <v>0</v>
      </c>
      <c r="IJ36" s="654">
        <f>Tableau6[[#This Row],[TOTAL PRP HT]]-Tableau6[[#This Row],[PRP TTC HORS FRAFU]]/1.021</f>
        <v>-10424914.789422136</v>
      </c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</row>
    <row r="37" spans="1:256" ht="29.25" customHeight="1">
      <c r="A37" s="765" t="s">
        <v>879</v>
      </c>
      <c r="B37" s="2" t="s">
        <v>21</v>
      </c>
      <c r="C37" s="2" t="s">
        <v>86</v>
      </c>
      <c r="D37" s="2">
        <v>2020</v>
      </c>
      <c r="E37" s="2" t="s">
        <v>848</v>
      </c>
      <c r="F37" s="2" t="s">
        <v>686</v>
      </c>
      <c r="G37" s="2" t="s">
        <v>586</v>
      </c>
      <c r="H37" s="2" t="s">
        <v>859</v>
      </c>
      <c r="I37" s="22"/>
      <c r="J37" s="22" t="s">
        <v>698</v>
      </c>
      <c r="K37" s="134"/>
      <c r="L37" s="78"/>
      <c r="M37" s="51"/>
      <c r="N37" s="52"/>
      <c r="O37" s="103">
        <v>14000</v>
      </c>
      <c r="P37" s="103">
        <v>894200</v>
      </c>
      <c r="Q37" s="103">
        <v>894200</v>
      </c>
      <c r="R37" s="103">
        <f>P37/AD37</f>
        <v>35768</v>
      </c>
      <c r="S37" s="103">
        <f>P37/O37</f>
        <v>63.871428571428574</v>
      </c>
      <c r="T37" s="109">
        <f>Q37/O37</f>
        <v>63.871428571428574</v>
      </c>
      <c r="U37" s="109">
        <f>Q37/AK37</f>
        <v>603.82607756146638</v>
      </c>
      <c r="V37" s="109">
        <f>Q37/AD37</f>
        <v>35768</v>
      </c>
      <c r="W37" s="103">
        <f>O37/AD37</f>
        <v>560</v>
      </c>
      <c r="X37" s="104"/>
      <c r="Y37" s="447">
        <f t="shared" si="96"/>
        <v>17.857142857142858</v>
      </c>
      <c r="Z37" s="104" t="s">
        <v>699</v>
      </c>
      <c r="AA37" s="106">
        <v>1200</v>
      </c>
      <c r="AB37" s="107">
        <v>0.2</v>
      </c>
      <c r="AC37" s="2" t="s">
        <v>10</v>
      </c>
      <c r="AD37" s="426">
        <f t="shared" si="97"/>
        <v>25</v>
      </c>
      <c r="AE37" s="426">
        <f t="shared" si="98"/>
        <v>25</v>
      </c>
      <c r="AF37" s="3"/>
      <c r="AG37" s="2">
        <v>25</v>
      </c>
      <c r="AH37" s="32"/>
      <c r="AI37" s="362"/>
      <c r="AJ37" s="614">
        <v>1311.46</v>
      </c>
      <c r="AK37" s="225">
        <v>1480.89</v>
      </c>
      <c r="AL37" s="492">
        <f t="shared" si="99"/>
        <v>52.458400000000005</v>
      </c>
      <c r="AM37" s="4">
        <f t="shared" si="100"/>
        <v>59.235600000000005</v>
      </c>
      <c r="AN37" s="26"/>
      <c r="AO37" s="26"/>
      <c r="AP37" s="26"/>
      <c r="AQ37" s="39"/>
      <c r="AR37" s="39"/>
      <c r="AS37" s="39"/>
      <c r="AT37" s="39"/>
      <c r="AU37" s="39"/>
      <c r="AV37" s="4"/>
      <c r="AW37" s="37"/>
      <c r="AX37" s="39"/>
      <c r="AY37" s="26"/>
      <c r="AZ37" s="22"/>
      <c r="BA37" s="2"/>
      <c r="BB37" s="118">
        <v>3473070.3560000001</v>
      </c>
      <c r="BC37" s="437">
        <f>BB37/AJ37</f>
        <v>2648.2472633553443</v>
      </c>
      <c r="BD37" s="332">
        <f>BB37/AK37</f>
        <v>2345.2588348898298</v>
      </c>
      <c r="BE37" s="334">
        <f>BB37/AD37</f>
        <v>138922.81424000001</v>
      </c>
      <c r="BF37" s="325" t="s">
        <v>843</v>
      </c>
      <c r="BG37" s="325"/>
      <c r="BH37" s="56">
        <v>43816</v>
      </c>
      <c r="BI37" s="89"/>
      <c r="BJ37" s="548"/>
      <c r="BK37" s="548"/>
      <c r="BL37" s="549"/>
      <c r="BM37" s="547">
        <f t="shared" si="101"/>
        <v>0</v>
      </c>
      <c r="BN37" s="490" t="s">
        <v>229</v>
      </c>
      <c r="BO37" s="76"/>
      <c r="BP37" s="99"/>
      <c r="BQ37" s="536">
        <f t="shared" si="168"/>
        <v>0</v>
      </c>
      <c r="BR37" s="529"/>
      <c r="BS37" s="77"/>
      <c r="BT37" s="77"/>
      <c r="BU37" s="151"/>
      <c r="BV37" s="150">
        <f t="shared" si="102"/>
        <v>1096</v>
      </c>
      <c r="BW37" s="373"/>
      <c r="BX37" s="150" t="str">
        <f>IF(Tableau6[[#This Row],[Montant des loyers perçus avant 1e échéance]]&lt;BW37,"oui","non")</f>
        <v>non</v>
      </c>
      <c r="BY37" s="475">
        <f>(BV37-EL37)/30</f>
        <v>-1459.6333333333334</v>
      </c>
      <c r="BZ37" s="373">
        <f>IF((BY37*EO37)&lt;0,"0",BY37*EO37)</f>
        <v>0</v>
      </c>
      <c r="CA37" s="373">
        <f>IF(BW37-BZ37&lt;0,0,Tableau6[[#This Row],[Montant échéance annuelle]]-Tableau6[[#This Row],[Montant des loyers perçus avant 1e échéance]])</f>
        <v>0</v>
      </c>
      <c r="CB37" s="159"/>
      <c r="CC37" s="64"/>
      <c r="CD37" s="64"/>
      <c r="CE37" s="273" t="str">
        <f t="shared" ref="CE37:CE68" si="184">IF(AND(CC37&gt;0,CD37&gt;0),CD37-CC37,"0")</f>
        <v>0</v>
      </c>
      <c r="CF37" s="64"/>
      <c r="CG37" s="64"/>
      <c r="CH37" s="273" t="str">
        <f t="shared" ref="CH37:CH68" si="185">IF(AND(CF37&gt;0,CG37&gt;0),CG37-CF37,"0")</f>
        <v>0</v>
      </c>
      <c r="CI37" s="288"/>
      <c r="CJ37" s="288"/>
      <c r="CK37" s="290" t="str">
        <f t="shared" ref="CK37:CK68" si="186">IF(AND(CI37&gt;0,CJ37&gt;0),CJ37-CI37,"0")</f>
        <v>0</v>
      </c>
      <c r="CL37" s="288"/>
      <c r="CM37" s="288"/>
      <c r="CN37" s="290" t="str">
        <f t="shared" ref="CN37:CN68" si="187">IF(AND(CL37&gt;0,CM37&gt;0),CM37-CL37,"0")</f>
        <v>0</v>
      </c>
      <c r="CO37" s="288"/>
      <c r="CP37" s="288"/>
      <c r="CQ37" s="290" t="str">
        <f t="shared" si="107"/>
        <v>0</v>
      </c>
      <c r="CR37" s="237"/>
      <c r="CS37" s="286"/>
      <c r="CT37" s="277"/>
      <c r="CU37" s="282"/>
      <c r="CV37" s="279" t="str">
        <f t="shared" si="161"/>
        <v>0</v>
      </c>
      <c r="CW37" s="277"/>
      <c r="CX37" s="382">
        <v>44275</v>
      </c>
      <c r="CY37" s="178"/>
      <c r="CZ37" s="231">
        <f t="shared" si="109"/>
        <v>1475.8333333333333</v>
      </c>
      <c r="DA37" s="279" t="str">
        <f t="shared" si="110"/>
        <v>0</v>
      </c>
      <c r="DB37" s="383">
        <v>16</v>
      </c>
      <c r="DC37" s="127">
        <f t="shared" si="111"/>
        <v>19</v>
      </c>
      <c r="DD37" s="277"/>
      <c r="DE37" s="282">
        <f t="shared" ca="1" si="174"/>
        <v>43998</v>
      </c>
      <c r="DF37" s="279" t="str">
        <f t="shared" ca="1" si="112"/>
        <v>0</v>
      </c>
      <c r="DG37" s="277"/>
      <c r="DH37" s="295">
        <f t="shared" ca="1" si="175"/>
        <v>43998</v>
      </c>
      <c r="DI37" s="280" t="str">
        <f t="shared" ca="1" si="113"/>
        <v>0</v>
      </c>
      <c r="DJ37" s="281"/>
      <c r="DK37" s="295">
        <f t="shared" ca="1" si="176"/>
        <v>43998</v>
      </c>
      <c r="DL37" s="279" t="str">
        <f t="shared" ca="1" si="114"/>
        <v>0</v>
      </c>
      <c r="DM37" s="282"/>
      <c r="DN37" s="282">
        <f t="shared" ca="1" si="177"/>
        <v>43998</v>
      </c>
      <c r="DO37" s="279" t="str">
        <f t="shared" ca="1" si="115"/>
        <v>0</v>
      </c>
      <c r="DP37" s="283"/>
      <c r="DQ37" s="283"/>
      <c r="DR37" s="279" t="str">
        <f t="shared" si="116"/>
        <v>0</v>
      </c>
      <c r="DS37" s="282"/>
      <c r="DT37" s="282">
        <f t="shared" ca="1" si="178"/>
        <v>43998</v>
      </c>
      <c r="DU37" s="279" t="str">
        <f t="shared" ca="1" si="117"/>
        <v>0</v>
      </c>
      <c r="DV37" s="282"/>
      <c r="DW37" s="282">
        <f t="shared" ca="1" si="179"/>
        <v>43998</v>
      </c>
      <c r="DX37" s="279" t="str">
        <f t="shared" ca="1" si="118"/>
        <v>0</v>
      </c>
      <c r="DY37" s="283"/>
      <c r="DZ37" s="283"/>
      <c r="EA37" s="283"/>
      <c r="EB37" s="410">
        <f t="shared" si="119"/>
        <v>44762</v>
      </c>
      <c r="EC37" s="409">
        <f>DATE(YEAR(EB37),MONTH(EB37)+3,DAY(EB37))</f>
        <v>44854</v>
      </c>
      <c r="ED37" s="406">
        <f t="shared" si="120"/>
        <v>3.0666666666666669</v>
      </c>
      <c r="EE37" s="513">
        <f t="shared" ca="1" si="169"/>
        <v>28.533333333333335</v>
      </c>
      <c r="EF37" s="408">
        <f t="shared" ca="1" si="180"/>
        <v>44728</v>
      </c>
      <c r="EG37" s="448"/>
      <c r="EH37" s="448"/>
      <c r="EI37" s="448">
        <f>DATE(YEAR(EC37),MONTH(EC37)+4,DAY(EC37)+2)</f>
        <v>44979</v>
      </c>
      <c r="EJ37" s="312"/>
      <c r="EK37" s="456">
        <f t="shared" si="166"/>
        <v>44793</v>
      </c>
      <c r="EL37" s="409">
        <f t="shared" si="181"/>
        <v>44885</v>
      </c>
      <c r="EM37" s="314"/>
      <c r="EN37" s="404">
        <f>(EL37-EK37)/30</f>
        <v>3.0666666666666669</v>
      </c>
      <c r="EO37" s="394"/>
      <c r="EP37" s="131">
        <f t="shared" si="121"/>
        <v>0</v>
      </c>
      <c r="EQ37" s="60"/>
      <c r="ER37" s="60"/>
      <c r="ES37" s="742">
        <f>(Tableau6[[#This Row],[Date inauguration recalée]]-ER37)/30</f>
        <v>1496.1666666666667</v>
      </c>
      <c r="ET37" s="300"/>
      <c r="EU37" s="300"/>
      <c r="EV37" s="300"/>
      <c r="EW37" s="300"/>
      <c r="EX37" s="300"/>
      <c r="EY37" s="416">
        <f t="shared" si="122"/>
        <v>0</v>
      </c>
      <c r="EZ37" s="297"/>
      <c r="FA37" s="308"/>
      <c r="FB37" s="297"/>
      <c r="FC37" s="297" t="s">
        <v>795</v>
      </c>
      <c r="FD37" s="89">
        <f t="shared" ca="1" si="167"/>
        <v>44728</v>
      </c>
      <c r="FE37" s="63"/>
      <c r="FF37" s="63"/>
      <c r="FG37" s="63"/>
      <c r="FH37" s="63"/>
      <c r="FI37" s="63"/>
      <c r="FJ37" s="22"/>
      <c r="FK37" s="146">
        <f t="shared" si="124"/>
        <v>45219</v>
      </c>
      <c r="FL37" s="146"/>
      <c r="FM37" s="146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451"/>
      <c r="GB37" s="471">
        <f>GD37+GG37+GJ37+HF37+Tableau6[[#This Row],[PRÊT CREDIT D''IMPOT (PM)]]</f>
        <v>3627519</v>
      </c>
      <c r="GC37" s="645">
        <f>GB37</f>
        <v>3627519</v>
      </c>
      <c r="GD37" s="507">
        <f t="shared" si="137"/>
        <v>725000</v>
      </c>
      <c r="GE37" s="20">
        <f t="shared" si="125"/>
        <v>2449.5533091586813</v>
      </c>
      <c r="GF37" s="20">
        <f t="shared" si="126"/>
        <v>145100.76</v>
      </c>
      <c r="GG37" s="503">
        <v>1029074</v>
      </c>
      <c r="GH37" s="351"/>
      <c r="GI37" s="11">
        <f t="shared" si="182"/>
        <v>41162.959999999999</v>
      </c>
      <c r="GJ37" s="503">
        <f t="shared" si="127"/>
        <v>1873445</v>
      </c>
      <c r="GK37" s="5">
        <f>GL37+GM37</f>
        <v>1873445</v>
      </c>
      <c r="GL37" s="6">
        <v>374689</v>
      </c>
      <c r="GM37" s="6">
        <v>1498756</v>
      </c>
      <c r="GN37" s="345">
        <f t="shared" si="128"/>
        <v>74937.8</v>
      </c>
      <c r="GO37" s="5"/>
      <c r="GP37" s="5">
        <v>725000</v>
      </c>
      <c r="GQ37" s="35"/>
      <c r="GR37" s="18">
        <f t="shared" si="129"/>
        <v>0.19986111719883479</v>
      </c>
      <c r="GS37" s="35"/>
      <c r="GT37" s="35"/>
      <c r="GU37" s="5"/>
      <c r="GV37" s="20">
        <f t="shared" si="170"/>
        <v>29000</v>
      </c>
      <c r="GW37" s="20">
        <f t="shared" si="171"/>
        <v>70162.960000000006</v>
      </c>
      <c r="GX37" s="567"/>
      <c r="GY37" s="567"/>
      <c r="GZ37" s="567">
        <f>(GG37+GP37+GY37)/AD37</f>
        <v>70162.960000000006</v>
      </c>
      <c r="HA37" s="567"/>
      <c r="HB37" s="567">
        <f t="shared" si="172"/>
        <v>70162.960000000006</v>
      </c>
      <c r="HC37" s="568">
        <f t="shared" si="183"/>
        <v>0.48354646798541923</v>
      </c>
      <c r="HD37" s="567"/>
      <c r="HE37" s="567"/>
      <c r="HF37" s="503"/>
      <c r="HG37" s="633"/>
      <c r="HH37" s="634">
        <f t="shared" si="133"/>
        <v>0</v>
      </c>
      <c r="HI37" s="633">
        <f t="shared" si="173"/>
        <v>3627519</v>
      </c>
      <c r="HJ37" s="633" t="e">
        <f ca="1">IF(EE37&lt;DATEDIF(TODAY(),$HJ$1,"M"),HI37,(HI37/EE37*DATEDIF(TODAY(),$HJ$1,"M")))*0+100000</f>
        <v>#VALUE!</v>
      </c>
      <c r="HK37" s="634" t="e">
        <f ca="1">(HG37+HJ37)/GB37</f>
        <v>#VALUE!</v>
      </c>
      <c r="HL37" s="633"/>
      <c r="HM37" s="633">
        <f t="shared" si="135"/>
        <v>725000</v>
      </c>
      <c r="HN37" s="633">
        <f t="shared" si="136"/>
        <v>0</v>
      </c>
      <c r="HO37" s="633"/>
      <c r="HP37" s="563"/>
      <c r="HQ37" s="47"/>
      <c r="HR37" s="563"/>
      <c r="HS37" s="563">
        <f>SUM(Tableau6[[#This Row],[GO]:[CARRELAGE]])</f>
        <v>0</v>
      </c>
      <c r="HT37" s="461"/>
      <c r="HU37" s="461"/>
      <c r="HV37" s="461"/>
      <c r="HW37" s="461"/>
      <c r="HX37" s="461"/>
      <c r="HY37" s="461"/>
      <c r="HZ37" s="461"/>
      <c r="IA37" s="461"/>
      <c r="IB37" s="461"/>
      <c r="IC37" s="461"/>
      <c r="ID37" s="461"/>
      <c r="IE37" s="461"/>
      <c r="IF37" s="461"/>
      <c r="IG37" s="563"/>
      <c r="IH37" s="563"/>
      <c r="II37" s="563">
        <f>HP37+HR37+Tableau6[[#This Row],[TRAVAUX BATIS]]+Tableau6[[#This Row],[HONORAIRES]]+IH37</f>
        <v>0</v>
      </c>
      <c r="IJ37" s="654">
        <f>Tableau6[[#This Row],[TOTAL PRP HT]]-Tableau6[[#This Row],[PRP TTC HORS FRAFU]]/1.021</f>
        <v>-3552907.9333986291</v>
      </c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</row>
    <row r="38" spans="1:256" ht="32.25" customHeight="1">
      <c r="A38" s="765" t="s">
        <v>939</v>
      </c>
      <c r="B38" s="2" t="s">
        <v>21</v>
      </c>
      <c r="C38" s="2" t="s">
        <v>86</v>
      </c>
      <c r="D38" s="2">
        <v>2011</v>
      </c>
      <c r="E38" s="2" t="s">
        <v>81</v>
      </c>
      <c r="F38" s="2"/>
      <c r="G38" s="423"/>
      <c r="H38" s="423"/>
      <c r="I38" s="22"/>
      <c r="J38" s="22"/>
      <c r="K38" s="134"/>
      <c r="L38" s="224"/>
      <c r="M38" s="224"/>
      <c r="N38" s="224"/>
      <c r="O38" s="33"/>
      <c r="P38" s="33"/>
      <c r="Q38" s="33"/>
      <c r="R38" s="33"/>
      <c r="S38" s="33"/>
      <c r="T38" s="33"/>
      <c r="U38" s="33"/>
      <c r="V38" s="33"/>
      <c r="W38" s="33"/>
      <c r="X38" s="104"/>
      <c r="Y38" s="54" t="e">
        <f t="shared" si="96"/>
        <v>#DIV/0!</v>
      </c>
      <c r="Z38" s="104" t="s">
        <v>142</v>
      </c>
      <c r="AA38" s="106"/>
      <c r="AB38" s="106"/>
      <c r="AC38" s="2" t="s">
        <v>10</v>
      </c>
      <c r="AD38" s="426">
        <f t="shared" si="97"/>
        <v>6</v>
      </c>
      <c r="AE38" s="426">
        <f t="shared" si="98"/>
        <v>6</v>
      </c>
      <c r="AF38" s="3"/>
      <c r="AG38" s="2">
        <v>6</v>
      </c>
      <c r="AH38" s="217"/>
      <c r="AI38" s="217"/>
      <c r="AJ38" s="616">
        <v>391.83999999999992</v>
      </c>
      <c r="AK38" s="225">
        <v>470.86</v>
      </c>
      <c r="AL38" s="492">
        <f t="shared" si="99"/>
        <v>65.306666666666658</v>
      </c>
      <c r="AM38" s="4">
        <f t="shared" si="100"/>
        <v>78.476666666666674</v>
      </c>
      <c r="AN38" s="26">
        <v>6</v>
      </c>
      <c r="AO38" s="26">
        <v>4.99</v>
      </c>
      <c r="AP38" s="26">
        <v>391.52</v>
      </c>
      <c r="AQ38" s="26"/>
      <c r="AR38" s="26"/>
      <c r="AS38" s="26"/>
      <c r="AT38" s="26"/>
      <c r="AU38" s="26"/>
      <c r="AV38" s="3"/>
      <c r="AW38" s="37">
        <v>0</v>
      </c>
      <c r="AX38" s="39" t="e">
        <f>AW38/O38</f>
        <v>#DIV/0!</v>
      </c>
      <c r="AY38" s="26"/>
      <c r="AZ38" s="25" t="s">
        <v>386</v>
      </c>
      <c r="BA38" s="468" t="s">
        <v>94</v>
      </c>
      <c r="BB38" s="437">
        <v>1052631.5789473683</v>
      </c>
      <c r="BC38" s="437">
        <f>BB38/AJ38</f>
        <v>2686.3811222625777</v>
      </c>
      <c r="BD38" s="334">
        <f>BB38/AK38</f>
        <v>2235.5510745176239</v>
      </c>
      <c r="BE38" s="334">
        <f>BB38/AD38</f>
        <v>175438.59649122806</v>
      </c>
      <c r="BF38" s="22"/>
      <c r="BG38" s="22"/>
      <c r="BH38" s="89">
        <v>40816</v>
      </c>
      <c r="BI38" s="89"/>
      <c r="BJ38" s="548">
        <v>40632</v>
      </c>
      <c r="BK38" s="548">
        <v>40730</v>
      </c>
      <c r="BL38" s="549">
        <v>42317</v>
      </c>
      <c r="BM38" s="547">
        <f t="shared" si="101"/>
        <v>3.2666666666666666</v>
      </c>
      <c r="BN38" s="490"/>
      <c r="BO38" s="469"/>
      <c r="BP38" s="470"/>
      <c r="BQ38" s="481"/>
      <c r="BR38" s="481"/>
      <c r="BS38" s="55"/>
      <c r="BT38" s="55"/>
      <c r="BU38" s="150">
        <v>41312</v>
      </c>
      <c r="BV38" s="150">
        <f t="shared" si="102"/>
        <v>42407</v>
      </c>
      <c r="BW38" s="150"/>
      <c r="BX38" s="150" t="str">
        <f>IF(Tableau6[[#This Row],[Montant des loyers perçus avant 1e échéance]]&lt;BW38,"oui","non")</f>
        <v>non</v>
      </c>
      <c r="BY38" s="373">
        <f>DATEDIF(EL38,BV38,"M")</f>
        <v>23</v>
      </c>
      <c r="BZ38" s="373">
        <f>BY38*EO38</f>
        <v>57546</v>
      </c>
      <c r="CA38" s="373">
        <f>IF(BW38-BZ38&lt;0,0,Tableau6[[#This Row],[Montant échéance annuelle]]-Tableau6[[#This Row],[Montant des loyers perçus avant 1e échéance]])</f>
        <v>0</v>
      </c>
      <c r="CB38" s="64"/>
      <c r="CC38" s="64"/>
      <c r="CD38" s="64"/>
      <c r="CE38" s="273" t="str">
        <f t="shared" si="184"/>
        <v>0</v>
      </c>
      <c r="CF38" s="64"/>
      <c r="CG38" s="64"/>
      <c r="CH38" s="273" t="str">
        <f t="shared" si="185"/>
        <v>0</v>
      </c>
      <c r="CI38" s="64"/>
      <c r="CJ38" s="64"/>
      <c r="CK38" s="273" t="str">
        <f t="shared" si="186"/>
        <v>0</v>
      </c>
      <c r="CL38" s="64"/>
      <c r="CM38" s="64"/>
      <c r="CN38" s="273" t="str">
        <f t="shared" si="187"/>
        <v>0</v>
      </c>
      <c r="CO38" s="66"/>
      <c r="CP38" s="311"/>
      <c r="CQ38" s="273" t="str">
        <f t="shared" si="107"/>
        <v>0</v>
      </c>
      <c r="CR38" s="239"/>
      <c r="CS38" s="117"/>
      <c r="CT38" s="64"/>
      <c r="CU38" s="117"/>
      <c r="CV38" s="273" t="str">
        <f t="shared" si="161"/>
        <v>0</v>
      </c>
      <c r="CW38" s="64"/>
      <c r="CX38" s="182">
        <v>40898</v>
      </c>
      <c r="CY38" s="175">
        <v>2011</v>
      </c>
      <c r="CZ38" s="232">
        <f t="shared" si="109"/>
        <v>5.6</v>
      </c>
      <c r="DA38" s="273" t="str">
        <f t="shared" si="110"/>
        <v>0</v>
      </c>
      <c r="DB38" s="66">
        <v>22</v>
      </c>
      <c r="DC38" s="66">
        <f t="shared" si="111"/>
        <v>22</v>
      </c>
      <c r="DD38" s="159"/>
      <c r="DE38" s="158"/>
      <c r="DF38" s="381" t="str">
        <f t="shared" si="112"/>
        <v>0</v>
      </c>
      <c r="DG38" s="159"/>
      <c r="DH38" s="336"/>
      <c r="DI38" s="337" t="str">
        <f t="shared" si="113"/>
        <v>0</v>
      </c>
      <c r="DJ38" s="133"/>
      <c r="DK38" s="159"/>
      <c r="DL38" s="381" t="str">
        <f t="shared" si="114"/>
        <v>0</v>
      </c>
      <c r="DM38" s="159"/>
      <c r="DN38" s="159"/>
      <c r="DO38" s="381" t="str">
        <f t="shared" si="115"/>
        <v>0</v>
      </c>
      <c r="DP38" s="159"/>
      <c r="DQ38" s="159"/>
      <c r="DR38" s="381" t="str">
        <f t="shared" si="116"/>
        <v>0</v>
      </c>
      <c r="DS38" s="159"/>
      <c r="DT38" s="159"/>
      <c r="DU38" s="381" t="str">
        <f t="shared" si="117"/>
        <v>0</v>
      </c>
      <c r="DV38" s="159"/>
      <c r="DW38" s="159"/>
      <c r="DX38" s="381" t="str">
        <f t="shared" si="118"/>
        <v>0</v>
      </c>
      <c r="DY38" s="159"/>
      <c r="DZ38" s="159"/>
      <c r="EA38" s="159"/>
      <c r="EB38" s="240">
        <f t="shared" si="119"/>
        <v>41568</v>
      </c>
      <c r="EC38" s="185">
        <v>41568</v>
      </c>
      <c r="ED38" s="402">
        <f t="shared" si="120"/>
        <v>0</v>
      </c>
      <c r="EE38" s="510"/>
      <c r="EF38" s="326"/>
      <c r="EG38" s="67">
        <v>41611</v>
      </c>
      <c r="EH38" s="67" t="s">
        <v>101</v>
      </c>
      <c r="EI38" s="67">
        <v>41683</v>
      </c>
      <c r="EJ38" s="411"/>
      <c r="EK38" s="455">
        <f t="shared" si="166"/>
        <v>41599</v>
      </c>
      <c r="EL38" s="328">
        <v>41683</v>
      </c>
      <c r="EM38" s="324">
        <v>2014</v>
      </c>
      <c r="EN38" s="397">
        <f>(DATEDIF(EK38,EL38,"d"))/30</f>
        <v>2.8</v>
      </c>
      <c r="EO38" s="391">
        <v>2502</v>
      </c>
      <c r="EP38" s="117">
        <f t="shared" si="121"/>
        <v>7005.5999999999995</v>
      </c>
      <c r="EQ38" s="90"/>
      <c r="ER38" s="90"/>
      <c r="ES38" s="738">
        <f>(Tableau6[[#This Row],[Date inauguration recalée]]-ER38)/30</f>
        <v>1389.4333333333334</v>
      </c>
      <c r="ET38" s="296"/>
      <c r="EU38" s="387">
        <f>HF38</f>
        <v>0</v>
      </c>
      <c r="EV38" s="300"/>
      <c r="EW38" s="300"/>
      <c r="EX38" s="300"/>
      <c r="EY38" s="416">
        <f t="shared" si="122"/>
        <v>0</v>
      </c>
      <c r="EZ38" s="297"/>
      <c r="FA38" s="308"/>
      <c r="FB38" s="297"/>
      <c r="FC38" s="297"/>
      <c r="FD38" s="89">
        <f t="shared" si="167"/>
        <v>731</v>
      </c>
      <c r="FE38" s="64"/>
      <c r="FF38" s="64"/>
      <c r="FG38" s="64"/>
      <c r="FH38" s="64"/>
      <c r="FI38" s="64"/>
      <c r="FJ38" s="57"/>
      <c r="FK38" s="64">
        <f t="shared" si="124"/>
        <v>41933</v>
      </c>
      <c r="FL38" s="64"/>
      <c r="FM38" s="375">
        <v>0</v>
      </c>
      <c r="FN38" s="64" t="s">
        <v>212</v>
      </c>
      <c r="FO38" s="64" t="s">
        <v>101</v>
      </c>
      <c r="FP38" s="64"/>
      <c r="FQ38" s="64"/>
      <c r="FR38" s="64"/>
      <c r="FS38" s="64"/>
      <c r="FT38" s="64"/>
      <c r="FU38" s="56">
        <v>42121</v>
      </c>
      <c r="FV38" s="56"/>
      <c r="FW38" s="95"/>
      <c r="FX38" s="95"/>
      <c r="FY38" s="64"/>
      <c r="FZ38" s="64" t="s">
        <v>101</v>
      </c>
      <c r="GA38" s="450"/>
      <c r="GB38" s="471">
        <f>GD38+GG38+GJ38+HF38+Tableau6[[#This Row],[PRÊT CREDIT D''IMPOT (PM)]]</f>
        <v>926283</v>
      </c>
      <c r="GC38" s="644">
        <f>GB38</f>
        <v>926283</v>
      </c>
      <c r="GD38" s="507">
        <f t="shared" si="137"/>
        <v>100000</v>
      </c>
      <c r="GE38" s="20">
        <f t="shared" si="125"/>
        <v>1967.2153081595377</v>
      </c>
      <c r="GF38" s="20">
        <f t="shared" si="126"/>
        <v>154380.5</v>
      </c>
      <c r="GG38" s="507">
        <v>340124</v>
      </c>
      <c r="GH38" s="351"/>
      <c r="GI38" s="11">
        <f t="shared" si="182"/>
        <v>56687.333333333336</v>
      </c>
      <c r="GJ38" s="507">
        <f t="shared" si="127"/>
        <v>486159</v>
      </c>
      <c r="GK38" s="5">
        <f>+GL38+GM38</f>
        <v>486159</v>
      </c>
      <c r="GL38" s="6">
        <v>145848</v>
      </c>
      <c r="GM38" s="6">
        <v>340311</v>
      </c>
      <c r="GN38" s="345">
        <f t="shared" si="128"/>
        <v>81026.5</v>
      </c>
      <c r="GO38" s="5">
        <v>0</v>
      </c>
      <c r="GP38" s="8">
        <v>100000</v>
      </c>
      <c r="GQ38" s="34"/>
      <c r="GR38" s="18">
        <f t="shared" si="129"/>
        <v>0.10795836693537504</v>
      </c>
      <c r="GS38" s="45"/>
      <c r="GT38" s="45"/>
      <c r="GU38" s="8">
        <v>0</v>
      </c>
      <c r="GV38" s="20">
        <f t="shared" si="170"/>
        <v>16666.666666666668</v>
      </c>
      <c r="GW38" s="20">
        <f t="shared" si="171"/>
        <v>73354</v>
      </c>
      <c r="GX38" s="567">
        <v>0</v>
      </c>
      <c r="GY38" s="567">
        <v>0</v>
      </c>
      <c r="GZ38" s="567" t="e">
        <f>(#REF!+#REF!+GY38)/AD38</f>
        <v>#REF!</v>
      </c>
      <c r="HA38" s="567">
        <v>0</v>
      </c>
      <c r="HB38" s="567">
        <f t="shared" si="172"/>
        <v>73354</v>
      </c>
      <c r="HC38" s="568">
        <f t="shared" si="183"/>
        <v>0.47515068289065004</v>
      </c>
      <c r="HD38" s="567"/>
      <c r="HE38" s="567"/>
      <c r="HF38" s="507">
        <v>0</v>
      </c>
      <c r="HG38" s="633"/>
      <c r="HH38" s="634">
        <f t="shared" si="133"/>
        <v>0</v>
      </c>
      <c r="HI38" s="635">
        <f t="shared" si="173"/>
        <v>926283</v>
      </c>
      <c r="HJ38" s="633" t="e">
        <f ca="1">IF(EE38&lt;DATEDIF(TODAY(),$HJ$1,"M"),HI38,(HI38/EE38*DATEDIF(TODAY(),$HJ$1,"M")))</f>
        <v>#VALUE!</v>
      </c>
      <c r="HK38" s="633"/>
      <c r="HL38" s="633"/>
      <c r="HM38" s="633">
        <f t="shared" si="135"/>
        <v>100000</v>
      </c>
      <c r="HN38" s="636">
        <f t="shared" si="136"/>
        <v>0</v>
      </c>
      <c r="HO38" s="636"/>
      <c r="HP38" s="563"/>
      <c r="HQ38" s="47"/>
      <c r="HR38" s="563"/>
      <c r="HS38" s="563">
        <f>SUM(Tableau6[[#This Row],[GO]:[CARRELAGE]])</f>
        <v>0</v>
      </c>
      <c r="HT38" s="461"/>
      <c r="HU38" s="461"/>
      <c r="HV38" s="461"/>
      <c r="HW38" s="461"/>
      <c r="HX38" s="461"/>
      <c r="HY38" s="461"/>
      <c r="HZ38" s="461"/>
      <c r="IA38" s="461"/>
      <c r="IB38" s="461"/>
      <c r="IC38" s="461"/>
      <c r="ID38" s="461"/>
      <c r="IE38" s="461"/>
      <c r="IF38" s="461"/>
      <c r="IG38" s="563"/>
      <c r="IH38" s="563"/>
      <c r="II38" s="563">
        <f>HP38+HR38+Tableau6[[#This Row],[TRAVAUX BATIS]]+Tableau6[[#This Row],[HONORAIRES]]+IH38</f>
        <v>0</v>
      </c>
      <c r="IJ38" s="654">
        <f>Tableau6[[#This Row],[TOTAL PRP HT]]-Tableau6[[#This Row],[PRP TTC HORS FRAFU]]/1.021</f>
        <v>-907231.14593535755</v>
      </c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</row>
    <row r="39" spans="1:256" ht="84.75" customHeight="1">
      <c r="A39" s="770" t="s">
        <v>871</v>
      </c>
      <c r="B39" s="2" t="s">
        <v>21</v>
      </c>
      <c r="C39" s="2" t="s">
        <v>86</v>
      </c>
      <c r="D39" s="2">
        <v>2020</v>
      </c>
      <c r="E39" s="2"/>
      <c r="F39" s="2" t="s">
        <v>870</v>
      </c>
      <c r="G39" s="2" t="s">
        <v>139</v>
      </c>
      <c r="H39" s="778" t="s">
        <v>859</v>
      </c>
      <c r="I39" s="22"/>
      <c r="J39" s="22" t="s">
        <v>814</v>
      </c>
      <c r="K39" s="134" t="s">
        <v>674</v>
      </c>
      <c r="L39" s="78"/>
      <c r="M39" s="51"/>
      <c r="N39" s="52"/>
      <c r="O39" s="103">
        <v>912</v>
      </c>
      <c r="P39" s="103"/>
      <c r="Q39" s="103"/>
      <c r="R39" s="103">
        <f>P39/AD39</f>
        <v>0</v>
      </c>
      <c r="S39" s="103">
        <f>P39/O39</f>
        <v>0</v>
      </c>
      <c r="T39" s="109">
        <f>Q39/O39</f>
        <v>0</v>
      </c>
      <c r="U39" s="109">
        <f>Q39/AK39</f>
        <v>0</v>
      </c>
      <c r="V39" s="109">
        <f>Q39/AD39</f>
        <v>0</v>
      </c>
      <c r="W39" s="103">
        <f>O39/AD39</f>
        <v>30.4</v>
      </c>
      <c r="X39" s="104"/>
      <c r="Y39" s="447">
        <f t="shared" si="96"/>
        <v>328.94736842105266</v>
      </c>
      <c r="Z39" s="104" t="s">
        <v>159</v>
      </c>
      <c r="AA39" s="106">
        <v>520</v>
      </c>
      <c r="AB39" s="107">
        <v>0.1</v>
      </c>
      <c r="AC39" s="2" t="s">
        <v>9</v>
      </c>
      <c r="AD39" s="426">
        <f t="shared" si="97"/>
        <v>30</v>
      </c>
      <c r="AE39" s="426">
        <f t="shared" si="98"/>
        <v>30</v>
      </c>
      <c r="AF39" s="2">
        <v>30</v>
      </c>
      <c r="AG39" s="3"/>
      <c r="AH39" s="32"/>
      <c r="AI39" s="32"/>
      <c r="AJ39" s="615">
        <v>2082.89</v>
      </c>
      <c r="AK39" s="225">
        <v>2457.39</v>
      </c>
      <c r="AL39" s="492">
        <f t="shared" si="99"/>
        <v>69.429666666666662</v>
      </c>
      <c r="AM39" s="4">
        <f t="shared" si="100"/>
        <v>81.912999999999997</v>
      </c>
      <c r="AN39" s="26">
        <v>6.77</v>
      </c>
      <c r="AO39" s="26">
        <v>6.18</v>
      </c>
      <c r="AP39" s="26"/>
      <c r="AQ39" s="39"/>
      <c r="AR39" s="39"/>
      <c r="AS39" s="39"/>
      <c r="AT39" s="39"/>
      <c r="AU39" s="39"/>
      <c r="AV39" s="4"/>
      <c r="AW39" s="37" t="s">
        <v>129</v>
      </c>
      <c r="AX39" s="37" t="s">
        <v>129</v>
      </c>
      <c r="AY39" s="26">
        <v>5.5</v>
      </c>
      <c r="AZ39" s="22" t="s">
        <v>386</v>
      </c>
      <c r="BA39" s="2" t="s">
        <v>94</v>
      </c>
      <c r="BB39" s="118">
        <v>5000788.6536800005</v>
      </c>
      <c r="BC39" s="437">
        <f>BB39/AJ39</f>
        <v>2400.8894630441359</v>
      </c>
      <c r="BD39" s="332">
        <f>BB39/AK39</f>
        <v>2035.0000014975242</v>
      </c>
      <c r="BE39" s="334">
        <f>BB39/AD39</f>
        <v>166692.9551226667</v>
      </c>
      <c r="BF39" s="325"/>
      <c r="BG39" s="325"/>
      <c r="BH39" s="56">
        <v>43816</v>
      </c>
      <c r="BI39" s="89"/>
      <c r="BJ39" s="548"/>
      <c r="BK39" s="548"/>
      <c r="BL39" s="549"/>
      <c r="BM39" s="547">
        <f t="shared" si="101"/>
        <v>0</v>
      </c>
      <c r="BN39" s="490" t="s">
        <v>229</v>
      </c>
      <c r="BO39" s="76"/>
      <c r="BP39" s="99"/>
      <c r="BQ39" s="536">
        <f>(DATEDIF(BO39,BP39,"d"))/30</f>
        <v>0</v>
      </c>
      <c r="BR39" s="529"/>
      <c r="BS39" s="77"/>
      <c r="BT39" s="77"/>
      <c r="BU39" s="151"/>
      <c r="BV39" s="150">
        <f t="shared" si="102"/>
        <v>1096</v>
      </c>
      <c r="BW39" s="373"/>
      <c r="BX39" s="150" t="str">
        <f>IF(Tableau6[[#This Row],[Montant des loyers perçus avant 1e échéance]]&lt;BW39,"oui","non")</f>
        <v>non</v>
      </c>
      <c r="BY39" s="475">
        <f>(BV39-EL39)/30</f>
        <v>-1457.9666666666667</v>
      </c>
      <c r="BZ39" s="373">
        <f>IF((BY39*EO39)&lt;0,"0",BY39*EO39)</f>
        <v>0</v>
      </c>
      <c r="CA39" s="373">
        <f>IF(BW39-BZ39&lt;0,0,Tableau6[[#This Row],[Montant échéance annuelle]]-Tableau6[[#This Row],[Montant des loyers perçus avant 1e échéance]])</f>
        <v>0</v>
      </c>
      <c r="CB39" s="288"/>
      <c r="CC39" s="288">
        <v>43696</v>
      </c>
      <c r="CD39" s="288">
        <v>43706</v>
      </c>
      <c r="CE39" s="290">
        <f t="shared" si="184"/>
        <v>10</v>
      </c>
      <c r="CF39" s="288"/>
      <c r="CG39" s="288"/>
      <c r="CH39" s="290" t="str">
        <f t="shared" si="185"/>
        <v>0</v>
      </c>
      <c r="CI39" s="288"/>
      <c r="CJ39" s="288">
        <f ca="1">IF(CI39&lt;TODAY(),TODAY(),CI39)</f>
        <v>43998</v>
      </c>
      <c r="CK39" s="290" t="str">
        <f t="shared" ca="1" si="186"/>
        <v>0</v>
      </c>
      <c r="CL39" s="291"/>
      <c r="CM39" s="288">
        <f ca="1">IF(CL39&lt;TODAY(),TODAY(),CL39)</f>
        <v>43998</v>
      </c>
      <c r="CN39" s="290" t="str">
        <f t="shared" ca="1" si="187"/>
        <v>0</v>
      </c>
      <c r="CO39" s="288"/>
      <c r="CP39" s="288">
        <f ca="1">IF(CO39&lt;TODAY(),TODAY(),CO39)</f>
        <v>43998</v>
      </c>
      <c r="CQ39" s="290" t="str">
        <f t="shared" ca="1" si="107"/>
        <v>0</v>
      </c>
      <c r="CR39" s="237"/>
      <c r="CS39" s="286"/>
      <c r="CT39" s="277"/>
      <c r="CU39" s="278"/>
      <c r="CV39" s="279" t="str">
        <f t="shared" si="161"/>
        <v>0</v>
      </c>
      <c r="CW39" s="277">
        <v>44228</v>
      </c>
      <c r="CX39" s="382">
        <v>44228</v>
      </c>
      <c r="CY39" s="178"/>
      <c r="CZ39" s="231">
        <f t="shared" si="109"/>
        <v>1474.2666666666667</v>
      </c>
      <c r="DA39" s="279">
        <f t="shared" si="110"/>
        <v>0</v>
      </c>
      <c r="DB39" s="383">
        <v>16</v>
      </c>
      <c r="DC39" s="127">
        <f t="shared" si="111"/>
        <v>19</v>
      </c>
      <c r="DD39" s="277"/>
      <c r="DE39" s="282">
        <f ca="1">IF(DD39&lt;TODAY(),TODAY(),DD39)</f>
        <v>43998</v>
      </c>
      <c r="DF39" s="279" t="str">
        <f t="shared" ca="1" si="112"/>
        <v>0</v>
      </c>
      <c r="DG39" s="277"/>
      <c r="DH39" s="295">
        <f ca="1">IF(DG39&lt;TODAY(),TODAY(),DG39)</f>
        <v>43998</v>
      </c>
      <c r="DI39" s="280" t="str">
        <f t="shared" ca="1" si="113"/>
        <v>0</v>
      </c>
      <c r="DJ39" s="281"/>
      <c r="DK39" s="282">
        <f ca="1">IF(DJ39&lt;TODAY(),TODAY(),DJ39)</f>
        <v>43998</v>
      </c>
      <c r="DL39" s="279" t="str">
        <f t="shared" ca="1" si="114"/>
        <v>0</v>
      </c>
      <c r="DM39" s="282"/>
      <c r="DN39" s="282">
        <f ca="1">IF(DM39&lt;TODAY(),TODAY(),DM39)</f>
        <v>43998</v>
      </c>
      <c r="DO39" s="279" t="str">
        <f t="shared" ca="1" si="115"/>
        <v>0</v>
      </c>
      <c r="DP39" s="283"/>
      <c r="DQ39" s="283"/>
      <c r="DR39" s="279" t="str">
        <f t="shared" si="116"/>
        <v>0</v>
      </c>
      <c r="DS39" s="282"/>
      <c r="DT39" s="282">
        <f ca="1">IF(DS39&lt;TODAY(),TODAY(),DS39)</f>
        <v>43998</v>
      </c>
      <c r="DU39" s="279" t="str">
        <f t="shared" ca="1" si="117"/>
        <v>0</v>
      </c>
      <c r="DV39" s="282"/>
      <c r="DW39" s="282">
        <f ca="1">IF(DV39&lt;TODAY(),TODAY(),DV39)</f>
        <v>43998</v>
      </c>
      <c r="DX39" s="279" t="str">
        <f t="shared" ca="1" si="118"/>
        <v>0</v>
      </c>
      <c r="DY39" s="282"/>
      <c r="DZ39" s="282"/>
      <c r="EA39" s="282"/>
      <c r="EB39" s="410">
        <f t="shared" si="119"/>
        <v>44713</v>
      </c>
      <c r="EC39" s="409">
        <f>DATE(YEAR(EB39),MONTH(EB39)+3,DAY(EB39))</f>
        <v>44805</v>
      </c>
      <c r="ED39" s="406">
        <f t="shared" si="120"/>
        <v>3.0666666666666669</v>
      </c>
      <c r="EE39" s="513">
        <f ca="1">IF(((EC39-TODAY())/30)&lt;0,0,(EC39-TODAY())/30)</f>
        <v>26.9</v>
      </c>
      <c r="EF39" s="408">
        <f ca="1">DATE(YEAR(DH39)+2,MONTH(DH39),DAY(DH39))</f>
        <v>44728</v>
      </c>
      <c r="EG39" s="448"/>
      <c r="EH39" s="448"/>
      <c r="EI39" s="448">
        <f>DATE(YEAR(EC39),MONTH(EC39)+4,DAY(EC39)+2)</f>
        <v>44929</v>
      </c>
      <c r="EJ39" s="312"/>
      <c r="EK39" s="456">
        <f>DATE(YEAR(EB39),MONTH(EB39)+2,DAY(EB39))</f>
        <v>44774</v>
      </c>
      <c r="EL39" s="409">
        <f>DATE(YEAR(EC39),MONTH(EC39)+1,DAY(EC39))</f>
        <v>44835</v>
      </c>
      <c r="EM39" s="314"/>
      <c r="EN39" s="404">
        <f>(EL39-EK39)/30</f>
        <v>2.0333333333333332</v>
      </c>
      <c r="EO39" s="394"/>
      <c r="EP39" s="131">
        <f t="shared" si="121"/>
        <v>0</v>
      </c>
      <c r="EQ39" s="60"/>
      <c r="ER39" s="60"/>
      <c r="ES39" s="742">
        <f>(Tableau6[[#This Row],[Date inauguration recalée]]-ER39)/30</f>
        <v>1494.5</v>
      </c>
      <c r="ET39" s="300"/>
      <c r="EU39" s="300"/>
      <c r="EV39" s="300"/>
      <c r="EW39" s="300"/>
      <c r="EX39" s="300"/>
      <c r="EY39" s="416">
        <f t="shared" si="122"/>
        <v>0</v>
      </c>
      <c r="EZ39" s="297"/>
      <c r="FA39" s="308"/>
      <c r="FB39" s="297"/>
      <c r="FC39" s="308"/>
      <c r="FD39" s="89">
        <f t="shared" ca="1" si="167"/>
        <v>44728</v>
      </c>
      <c r="FE39" s="63"/>
      <c r="FF39" s="63"/>
      <c r="FG39" s="63"/>
      <c r="FH39" s="63"/>
      <c r="FI39" s="63"/>
      <c r="FJ39" s="22"/>
      <c r="FK39" s="146">
        <f t="shared" si="124"/>
        <v>45170</v>
      </c>
      <c r="FL39" s="146"/>
      <c r="FM39" s="146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804"/>
      <c r="GB39" s="471">
        <f>GD39+GG39+GJ39+HF39+Tableau6[[#This Row],[PRÊT CREDIT D''IMPOT (PM)]]</f>
        <v>5222896.6400000006</v>
      </c>
      <c r="GC39" s="645">
        <f>GB39</f>
        <v>5222896.6400000006</v>
      </c>
      <c r="GD39" s="507">
        <f t="shared" si="137"/>
        <v>750000</v>
      </c>
      <c r="GE39" s="20">
        <f t="shared" si="125"/>
        <v>2125.383695709676</v>
      </c>
      <c r="GF39" s="20">
        <f t="shared" si="126"/>
        <v>174096.55466666669</v>
      </c>
      <c r="GG39" s="503">
        <v>1529942</v>
      </c>
      <c r="GH39" s="351"/>
      <c r="GI39" s="349">
        <f t="shared" si="182"/>
        <v>50998.066666666666</v>
      </c>
      <c r="GJ39" s="503">
        <f t="shared" si="127"/>
        <v>2942954.64</v>
      </c>
      <c r="GK39" s="5">
        <f>GL39+GM39</f>
        <v>2942954.64</v>
      </c>
      <c r="GL39" s="6">
        <v>412796.04</v>
      </c>
      <c r="GM39" s="6">
        <v>2530158.6</v>
      </c>
      <c r="GN39" s="345">
        <f t="shared" si="128"/>
        <v>98098.487999999998</v>
      </c>
      <c r="GO39" s="5"/>
      <c r="GP39" s="35">
        <v>750000</v>
      </c>
      <c r="GQ39" s="35"/>
      <c r="GR39" s="18">
        <f t="shared" si="129"/>
        <v>0.14359847641939932</v>
      </c>
      <c r="GS39" s="35"/>
      <c r="GT39" s="35"/>
      <c r="GU39" s="5"/>
      <c r="GV39" s="20">
        <f t="shared" si="170"/>
        <v>25000</v>
      </c>
      <c r="GW39" s="20">
        <f t="shared" si="171"/>
        <v>75998.066666666666</v>
      </c>
      <c r="GX39" s="567"/>
      <c r="GY39" s="567"/>
      <c r="GZ39" s="567">
        <f>(GG39+GP39+GY39)/AD39</f>
        <v>75998.066666666666</v>
      </c>
      <c r="HA39" s="567"/>
      <c r="HB39" s="567">
        <f t="shared" si="172"/>
        <v>75998.066666666666</v>
      </c>
      <c r="HC39" s="568">
        <f t="shared" si="183"/>
        <v>0.43652826336613082</v>
      </c>
      <c r="HD39" s="567"/>
      <c r="HE39" s="567"/>
      <c r="HF39" s="503"/>
      <c r="HG39" s="633"/>
      <c r="HH39" s="634">
        <f t="shared" si="133"/>
        <v>0</v>
      </c>
      <c r="HI39" s="633">
        <f t="shared" si="173"/>
        <v>5222896.6400000006</v>
      </c>
      <c r="HJ39" s="633" t="e">
        <f ca="1">IF(EE39&lt;DATEDIF(TODAY(),$HJ$1,"M"),HI39,(HI39/EE39*DATEDIF(TODAY(),$HJ$1,"M")))*0+100000</f>
        <v>#VALUE!</v>
      </c>
      <c r="HK39" s="634" t="e">
        <f ca="1">(HG39+HJ39)/GB39</f>
        <v>#VALUE!</v>
      </c>
      <c r="HL39" s="633"/>
      <c r="HM39" s="633">
        <f t="shared" si="135"/>
        <v>750000</v>
      </c>
      <c r="HN39" s="633">
        <f t="shared" si="136"/>
        <v>0</v>
      </c>
      <c r="HO39" s="633"/>
      <c r="HP39" s="563"/>
      <c r="HQ39" s="47"/>
      <c r="HR39" s="563"/>
      <c r="HS39" s="563">
        <f>SUM(Tableau6[[#This Row],[GO]:[CARRELAGE]])</f>
        <v>0</v>
      </c>
      <c r="HT39" s="461"/>
      <c r="HU39" s="461"/>
      <c r="HV39" s="461"/>
      <c r="HW39" s="461"/>
      <c r="HX39" s="461"/>
      <c r="HY39" s="461"/>
      <c r="HZ39" s="461"/>
      <c r="IA39" s="461"/>
      <c r="IB39" s="461"/>
      <c r="IC39" s="461"/>
      <c r="ID39" s="461"/>
      <c r="IE39" s="461"/>
      <c r="IF39" s="461"/>
      <c r="IG39" s="563"/>
      <c r="IH39" s="563"/>
      <c r="II39" s="563">
        <f>HP39+HR39+Tableau6[[#This Row],[TRAVAUX BATIS]]+Tableau6[[#This Row],[HONORAIRES]]+IH39</f>
        <v>0</v>
      </c>
      <c r="IJ39" s="654">
        <f>Tableau6[[#This Row],[TOTAL PRP HT]]-Tableau6[[#This Row],[PRP TTC HORS FRAFU]]/1.021</f>
        <v>-5115471.7335945163</v>
      </c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</row>
    <row r="40" spans="1:256" ht="27.75" customHeight="1">
      <c r="A40" s="594" t="s">
        <v>918</v>
      </c>
      <c r="B40" s="2" t="s">
        <v>14</v>
      </c>
      <c r="C40" s="2" t="s">
        <v>86</v>
      </c>
      <c r="D40" s="2">
        <v>2024</v>
      </c>
      <c r="E40" s="2"/>
      <c r="F40" s="2"/>
      <c r="G40" s="2"/>
      <c r="H40" s="778"/>
      <c r="I40" s="22"/>
      <c r="J40" s="22" t="s">
        <v>433</v>
      </c>
      <c r="K40" s="134" t="s">
        <v>627</v>
      </c>
      <c r="L40" s="78"/>
      <c r="M40" s="51"/>
      <c r="N40" s="52"/>
      <c r="O40" s="103">
        <v>7800</v>
      </c>
      <c r="P40" s="103">
        <v>330000</v>
      </c>
      <c r="Q40" s="103">
        <v>330000</v>
      </c>
      <c r="R40" s="103">
        <f>P40/AD40</f>
        <v>22000</v>
      </c>
      <c r="S40" s="103">
        <f>P40/O40</f>
        <v>42.307692307692307</v>
      </c>
      <c r="T40" s="109">
        <f>Q40/O40</f>
        <v>42.307692307692307</v>
      </c>
      <c r="U40" s="109" t="e">
        <f>Q40/AK40</f>
        <v>#DIV/0!</v>
      </c>
      <c r="V40" s="109">
        <f>Q40/AD40</f>
        <v>22000</v>
      </c>
      <c r="W40" s="103">
        <f>O40/AD40</f>
        <v>520</v>
      </c>
      <c r="X40" s="104"/>
      <c r="Y40" s="447">
        <f t="shared" ref="Y40:Y71" si="188">10000*AD40/O40</f>
        <v>19.23076923076923</v>
      </c>
      <c r="Z40" s="104"/>
      <c r="AA40" s="106"/>
      <c r="AB40" s="107"/>
      <c r="AC40" s="2" t="s">
        <v>10</v>
      </c>
      <c r="AD40" s="426">
        <f t="shared" ref="AD40:AD71" si="189">SUM(AF40:AI40)</f>
        <v>15</v>
      </c>
      <c r="AE40" s="426">
        <f t="shared" ref="AE40:AE71" si="190">AD40-AI40</f>
        <v>15</v>
      </c>
      <c r="AF40" s="3"/>
      <c r="AG40" s="2">
        <v>15</v>
      </c>
      <c r="AH40" s="32"/>
      <c r="AI40" s="32"/>
      <c r="AJ40" s="615"/>
      <c r="AK40" s="225"/>
      <c r="AL40" s="492">
        <f t="shared" ref="AL40:AL71" si="191">AJ40/AD40</f>
        <v>0</v>
      </c>
      <c r="AM40" s="4">
        <f t="shared" ref="AM40:AM71" si="192">AK40/AD40</f>
        <v>0</v>
      </c>
      <c r="AN40" s="26"/>
      <c r="AO40" s="26"/>
      <c r="AP40" s="26"/>
      <c r="AQ40" s="39"/>
      <c r="AR40" s="39"/>
      <c r="AS40" s="39"/>
      <c r="AT40" s="39"/>
      <c r="AU40" s="39"/>
      <c r="AV40" s="4"/>
      <c r="AW40" s="37"/>
      <c r="AX40" s="39"/>
      <c r="AY40" s="26"/>
      <c r="AZ40" s="25"/>
      <c r="BA40" s="2"/>
      <c r="BB40" s="22"/>
      <c r="BC40" s="437" t="e">
        <f>BB40/AJ40</f>
        <v>#DIV/0!</v>
      </c>
      <c r="BD40" s="332" t="e">
        <f>BB40/AK40</f>
        <v>#DIV/0!</v>
      </c>
      <c r="BE40" s="334">
        <f>BB40/AD40</f>
        <v>0</v>
      </c>
      <c r="BF40" s="123"/>
      <c r="BG40" s="123"/>
      <c r="BH40" s="89"/>
      <c r="BI40" s="89"/>
      <c r="BJ40" s="548"/>
      <c r="BK40" s="548"/>
      <c r="BL40" s="549"/>
      <c r="BM40" s="547">
        <f t="shared" ref="BM40:BM71" si="193">(DATEDIF(BJ40,BK40,"d"))/30</f>
        <v>0</v>
      </c>
      <c r="BN40" s="490" t="s">
        <v>229</v>
      </c>
      <c r="BO40" s="76"/>
      <c r="BP40" s="99"/>
      <c r="BQ40" s="536">
        <f>(DATEDIF(BO40,BP40,"d"))/30</f>
        <v>0</v>
      </c>
      <c r="BR40" s="529"/>
      <c r="BS40" s="77"/>
      <c r="BT40" s="77"/>
      <c r="BU40" s="151"/>
      <c r="BV40" s="150">
        <f t="shared" ref="BV40:BV71" si="194">DATE(YEAR(BU40),MONTH(BU40)+36,DAY(BU40))</f>
        <v>1096</v>
      </c>
      <c r="BW40" s="373"/>
      <c r="BX40" s="150" t="str">
        <f>IF(Tableau6[[#This Row],[Montant des loyers perçus avant 1e échéance]]&lt;BW40,"oui","non")</f>
        <v>non</v>
      </c>
      <c r="BY40" s="475">
        <f>(BV40-EL40)/30</f>
        <v>-1487.3666666666666</v>
      </c>
      <c r="BZ40" s="373">
        <f>IF((BY40*EO40)&lt;0,"0",BY40*EO40)</f>
        <v>0</v>
      </c>
      <c r="CA40" s="373">
        <f>IF(BW40-BZ40&lt;0,0,Tableau6[[#This Row],[Montant échéance annuelle]]-Tableau6[[#This Row],[Montant des loyers perçus avant 1e échéance]])</f>
        <v>0</v>
      </c>
      <c r="CB40" s="286"/>
      <c r="CC40" s="288"/>
      <c r="CD40" s="288"/>
      <c r="CE40" s="290" t="str">
        <f t="shared" si="184"/>
        <v>0</v>
      </c>
      <c r="CF40" s="288"/>
      <c r="CG40" s="288"/>
      <c r="CH40" s="290" t="str">
        <f t="shared" si="185"/>
        <v>0</v>
      </c>
      <c r="CI40" s="288"/>
      <c r="CJ40" s="288"/>
      <c r="CK40" s="290" t="str">
        <f t="shared" si="186"/>
        <v>0</v>
      </c>
      <c r="CL40" s="288"/>
      <c r="CM40" s="288"/>
      <c r="CN40" s="290" t="str">
        <f t="shared" si="187"/>
        <v>0</v>
      </c>
      <c r="CO40" s="288"/>
      <c r="CP40" s="288"/>
      <c r="CQ40" s="290" t="str">
        <f t="shared" ref="CQ40:CQ71" si="195">IF(AND(CO40&gt;0,CP40&gt;0),CP40-CO40,"0")</f>
        <v>0</v>
      </c>
      <c r="CR40" s="237"/>
      <c r="CS40" s="292"/>
      <c r="CT40" s="277"/>
      <c r="CU40" s="278"/>
      <c r="CV40" s="279" t="str">
        <f t="shared" si="161"/>
        <v>0</v>
      </c>
      <c r="CW40" s="277"/>
      <c r="CX40" s="382">
        <v>45108</v>
      </c>
      <c r="CY40" s="178"/>
      <c r="CZ40" s="231">
        <f t="shared" ref="CZ40:CZ56" si="196">(DATEDIF(BK40,CX40,"d"))/30</f>
        <v>1503.6</v>
      </c>
      <c r="DA40" s="279" t="str">
        <f t="shared" ref="DA40:DA71" si="197">IF(AND(CW40&gt;0,CX40&gt;0),CX40-CW40,"0")</f>
        <v>0</v>
      </c>
      <c r="DB40" s="383">
        <v>18</v>
      </c>
      <c r="DC40" s="127">
        <f t="shared" ref="DC40:DC71" si="198">DATEDIF(CX40,EC40,"M")</f>
        <v>19</v>
      </c>
      <c r="DD40" s="277"/>
      <c r="DE40" s="282">
        <f ca="1">IF(DD40&lt;TODAY(),TODAY(),DD40)</f>
        <v>43998</v>
      </c>
      <c r="DF40" s="279" t="str">
        <f t="shared" ref="DF40:DF71" ca="1" si="199">IF(AND(DD40&gt;0,DE40&gt;0),DE40-DD40,"0")</f>
        <v>0</v>
      </c>
      <c r="DG40" s="277"/>
      <c r="DH40" s="295">
        <f ca="1">IF(DG40&lt;TODAY(),TODAY(),DG40)</f>
        <v>43998</v>
      </c>
      <c r="DI40" s="280" t="str">
        <f t="shared" ref="DI40:DI71" ca="1" si="200">IF(AND(DG40&gt;0,DH40&gt;0),DH40-DG40,"0")</f>
        <v>0</v>
      </c>
      <c r="DJ40" s="281"/>
      <c r="DK40" s="282">
        <f ca="1">IF(DJ40&lt;TODAY(),TODAY(),DJ40)</f>
        <v>43998</v>
      </c>
      <c r="DL40" s="279" t="str">
        <f t="shared" ref="DL40:DL71" ca="1" si="201">IF(AND(DJ40&gt;0,DK40&gt;0),DK40-DJ40,"0")</f>
        <v>0</v>
      </c>
      <c r="DM40" s="282"/>
      <c r="DN40" s="282">
        <f ca="1">IF(DM40&lt;TODAY(),TODAY(),DM40)</f>
        <v>43998</v>
      </c>
      <c r="DO40" s="279" t="str">
        <f t="shared" ref="DO40:DO71" ca="1" si="202">IF(AND(DM40&gt;0,DN40&gt;0),DN40-DM40,"0")</f>
        <v>0</v>
      </c>
      <c r="DP40" s="283"/>
      <c r="DQ40" s="283"/>
      <c r="DR40" s="279" t="str">
        <f t="shared" ref="DR40:DR71" si="203">IF(AND(DP40&gt;0,DQ40&gt;0),DQ40-DP40,"0")</f>
        <v>0</v>
      </c>
      <c r="DS40" s="282"/>
      <c r="DT40" s="282">
        <f ca="1">IF(DS40&lt;TODAY(),TODAY(),DS40)</f>
        <v>43998</v>
      </c>
      <c r="DU40" s="279" t="str">
        <f t="shared" ref="DU40:DU71" ca="1" si="204">IF(AND(DS40&gt;0,DT40&gt;0),DT40-DS40,"0")</f>
        <v>0</v>
      </c>
      <c r="DV40" s="282"/>
      <c r="DW40" s="282">
        <f ca="1">IF(DV40&lt;TODAY(),TODAY(),DV40)</f>
        <v>43998</v>
      </c>
      <c r="DX40" s="279" t="str">
        <f t="shared" ref="DX40:DX71" ca="1" si="205">IF(AND(DV40&gt;0,DW40&gt;0),DW40-DV40,"0")</f>
        <v>0</v>
      </c>
      <c r="DY40" s="282"/>
      <c r="DZ40" s="282"/>
      <c r="EA40" s="283"/>
      <c r="EB40" s="410">
        <f t="shared" ref="EB40:EB69" si="206">DATE(YEAR(CX40),MONTH(CX40)+DB40,DAY(CX40))</f>
        <v>45658</v>
      </c>
      <c r="EC40" s="409">
        <f>DATE(YEAR(EB40),MONTH(EB40)+1,DAY(EB40))</f>
        <v>45689</v>
      </c>
      <c r="ED40" s="406">
        <f t="shared" ref="ED40:ED71" si="207">(EC40-EB40)/30</f>
        <v>1.0333333333333334</v>
      </c>
      <c r="EE40" s="513">
        <f ca="1">IF(((EC40-TODAY())/30)&lt;0,0,(EC40-TODAY())/30)</f>
        <v>56.366666666666667</v>
      </c>
      <c r="EF40" s="408">
        <f ca="1">DATE(YEAR(DH40)+2,MONTH(DH40),DAY(DH40))</f>
        <v>44728</v>
      </c>
      <c r="EG40" s="448"/>
      <c r="EH40" s="448"/>
      <c r="EI40" s="448">
        <f>DATE(YEAR(EC40),MONTH(EC40)+4,DAY(EC40)+2)</f>
        <v>45811</v>
      </c>
      <c r="EJ40" s="242"/>
      <c r="EK40" s="456">
        <f>DATE(YEAR(EB40),MONTH(EB40)+1,DAY(EB40))</f>
        <v>45689</v>
      </c>
      <c r="EL40" s="409">
        <f>DATE(YEAR(EC40),MONTH(EC40)+1,DAY(EC40))</f>
        <v>45717</v>
      </c>
      <c r="EM40" s="314"/>
      <c r="EN40" s="404">
        <f>(EL40-EK40)/30</f>
        <v>0.93333333333333335</v>
      </c>
      <c r="EO40" s="390"/>
      <c r="EP40" s="131">
        <f t="shared" ref="EP40:EP71" si="208">EO40*EN40</f>
        <v>0</v>
      </c>
      <c r="EQ40" s="60"/>
      <c r="ER40" s="60"/>
      <c r="ES40" s="742">
        <f>(Tableau6[[#This Row],[Date inauguration recalée]]-ER40)/30</f>
        <v>1523.9</v>
      </c>
      <c r="ET40" s="300"/>
      <c r="EU40" s="300"/>
      <c r="EV40" s="300"/>
      <c r="EW40" s="300"/>
      <c r="EX40" s="300"/>
      <c r="EY40" s="416" t="e">
        <f t="shared" ref="EY40:EY62" si="209">EX40/GB40</f>
        <v>#DIV/0!</v>
      </c>
      <c r="EZ40" s="297"/>
      <c r="FA40" s="308"/>
      <c r="FB40" s="297"/>
      <c r="FC40" s="297"/>
      <c r="FD40" s="89">
        <f t="shared" ca="1" si="167"/>
        <v>44728</v>
      </c>
      <c r="FE40" s="63"/>
      <c r="FF40" s="63"/>
      <c r="FG40" s="63"/>
      <c r="FH40" s="63"/>
      <c r="FI40" s="63"/>
      <c r="FJ40" s="22"/>
      <c r="FK40" s="146">
        <f t="shared" ref="FK40:FK59" si="210">DATE(YEAR(EC40)+1,MONTH(EC40),DAY(EC40))</f>
        <v>46054</v>
      </c>
      <c r="FL40" s="146"/>
      <c r="FM40" s="146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804"/>
      <c r="GB40" s="471">
        <f>GD40+GG40+GJ40+HF40+Tableau6[[#This Row],[PRÊT CREDIT D''IMPOT (PM)]]</f>
        <v>0</v>
      </c>
      <c r="GC40" s="645">
        <f>GB40</f>
        <v>0</v>
      </c>
      <c r="GD40" s="507">
        <f t="shared" si="137"/>
        <v>0</v>
      </c>
      <c r="GE40" s="20" t="e">
        <f t="shared" ref="GE40:GE71" si="211">GB40/AK40</f>
        <v>#DIV/0!</v>
      </c>
      <c r="GF40" s="20">
        <f t="shared" ref="GF40:GF71" si="212">GB40/AD40</f>
        <v>0</v>
      </c>
      <c r="GG40" s="503"/>
      <c r="GH40" s="351"/>
      <c r="GI40" s="349">
        <f t="shared" si="182"/>
        <v>0</v>
      </c>
      <c r="GJ40" s="503">
        <f t="shared" ref="GJ40:GJ71" si="213">GK40+GO40+GS40</f>
        <v>0</v>
      </c>
      <c r="GK40" s="5">
        <f>GL40+GM40</f>
        <v>0</v>
      </c>
      <c r="GL40" s="6"/>
      <c r="GM40" s="6"/>
      <c r="GN40" s="345">
        <f t="shared" ref="GN40:GN71" si="214">GK40/AD40</f>
        <v>0</v>
      </c>
      <c r="GO40" s="5"/>
      <c r="GP40" s="35"/>
      <c r="GQ40" s="35"/>
      <c r="GR40" s="18" t="e">
        <f t="shared" ref="GR40:GR71" si="215">GP40/GB40</f>
        <v>#DIV/0!</v>
      </c>
      <c r="GS40" s="35"/>
      <c r="GT40" s="35"/>
      <c r="GU40" s="5"/>
      <c r="GV40" s="20">
        <f t="shared" si="170"/>
        <v>0</v>
      </c>
      <c r="GW40" s="20">
        <f t="shared" si="171"/>
        <v>0</v>
      </c>
      <c r="GX40" s="567"/>
      <c r="GY40" s="567"/>
      <c r="GZ40" s="567" t="e">
        <f>(#REF!+#REF!+GY40)/AD40</f>
        <v>#REF!</v>
      </c>
      <c r="HA40" s="567"/>
      <c r="HB40" s="567">
        <f t="shared" si="172"/>
        <v>0</v>
      </c>
      <c r="HC40" s="568" t="e">
        <f t="shared" si="183"/>
        <v>#DIV/0!</v>
      </c>
      <c r="HD40" s="567"/>
      <c r="HE40" s="567"/>
      <c r="HF40" s="503"/>
      <c r="HG40" s="633"/>
      <c r="HH40" s="634" t="e">
        <f t="shared" ref="HH40:HH71" si="216">HG40/GB40</f>
        <v>#DIV/0!</v>
      </c>
      <c r="HI40" s="633">
        <f t="shared" si="173"/>
        <v>0</v>
      </c>
      <c r="HJ40" s="633" t="e">
        <f ca="1">IF(EE40&lt;DATEDIF(TODAY(),$HJ$1,"M"),HI40,(HI40/EE40*DATEDIF(TODAY(),$HJ$1,"M")))</f>
        <v>#VALUE!</v>
      </c>
      <c r="HK40" s="634" t="e">
        <f ca="1">(HG40+HJ40)/GB40</f>
        <v>#VALUE!</v>
      </c>
      <c r="HL40" s="633"/>
      <c r="HM40" s="633">
        <f t="shared" ref="HM40:HM71" si="217">GD40-HL40</f>
        <v>0</v>
      </c>
      <c r="HN40" s="633" t="e">
        <f t="shared" ref="HN40:HN71" si="218">HL40/GD40</f>
        <v>#DIV/0!</v>
      </c>
      <c r="HO40" s="633"/>
      <c r="HP40" s="563"/>
      <c r="HQ40" s="47"/>
      <c r="HR40" s="563"/>
      <c r="HS40" s="563">
        <f>SUM(Tableau6[[#This Row],[GO]:[CARRELAGE]])</f>
        <v>0</v>
      </c>
      <c r="HT40" s="461"/>
      <c r="HU40" s="461"/>
      <c r="HV40" s="461"/>
      <c r="HW40" s="461"/>
      <c r="HX40" s="461"/>
      <c r="HY40" s="461"/>
      <c r="HZ40" s="461"/>
      <c r="IA40" s="461"/>
      <c r="IB40" s="461"/>
      <c r="IC40" s="461"/>
      <c r="ID40" s="461"/>
      <c r="IE40" s="461"/>
      <c r="IF40" s="461"/>
      <c r="IG40" s="563"/>
      <c r="IH40" s="563"/>
      <c r="II40" s="563">
        <f>HP40+HR40+Tableau6[[#This Row],[TRAVAUX BATIS]]+Tableau6[[#This Row],[HONORAIRES]]+IH40</f>
        <v>0</v>
      </c>
      <c r="IJ40" s="654">
        <f>Tableau6[[#This Row],[TOTAL PRP HT]]-Tableau6[[#This Row],[PRP TTC HORS FRAFU]]/1.021</f>
        <v>0</v>
      </c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</row>
    <row r="41" spans="1:256" ht="39.75" customHeight="1">
      <c r="A41" s="765" t="s">
        <v>117</v>
      </c>
      <c r="B41" s="2" t="s">
        <v>58</v>
      </c>
      <c r="C41" s="2" t="s">
        <v>88</v>
      </c>
      <c r="D41" s="2">
        <v>2010</v>
      </c>
      <c r="E41" s="2" t="s">
        <v>118</v>
      </c>
      <c r="F41" s="2" t="s">
        <v>16</v>
      </c>
      <c r="G41" s="423"/>
      <c r="H41" s="2" t="s">
        <v>181</v>
      </c>
      <c r="I41" s="22" t="s">
        <v>94</v>
      </c>
      <c r="J41" s="22"/>
      <c r="K41" s="215" t="s">
        <v>442</v>
      </c>
      <c r="L41" s="224"/>
      <c r="M41" s="224"/>
      <c r="N41" s="224"/>
      <c r="O41" s="103">
        <v>9556</v>
      </c>
      <c r="P41" s="103">
        <v>407560.68000000005</v>
      </c>
      <c r="Q41" s="103">
        <v>222180</v>
      </c>
      <c r="R41" s="103">
        <f>P41/AD41</f>
        <v>15094.840000000002</v>
      </c>
      <c r="S41" s="103">
        <f>P41/O41</f>
        <v>42.649715362076186</v>
      </c>
      <c r="T41" s="103">
        <f>Q41/O41</f>
        <v>23.250313938886563</v>
      </c>
      <c r="U41" s="103">
        <f>Q41/AK41</f>
        <v>100.42124674573334</v>
      </c>
      <c r="V41" s="103">
        <f>Q41/AD41</f>
        <v>8228.8888888888887</v>
      </c>
      <c r="W41" s="103">
        <f>O41/AD41</f>
        <v>353.92592592592592</v>
      </c>
      <c r="X41" s="104"/>
      <c r="Y41" s="444">
        <f t="shared" si="188"/>
        <v>28.25449979070741</v>
      </c>
      <c r="Z41" s="104" t="s">
        <v>158</v>
      </c>
      <c r="AA41" s="106"/>
      <c r="AB41" s="106"/>
      <c r="AC41" s="2" t="s">
        <v>10</v>
      </c>
      <c r="AD41" s="426">
        <f t="shared" si="189"/>
        <v>27</v>
      </c>
      <c r="AE41" s="426">
        <f t="shared" si="190"/>
        <v>27</v>
      </c>
      <c r="AF41" s="472"/>
      <c r="AG41" s="468">
        <v>27</v>
      </c>
      <c r="AH41" s="329"/>
      <c r="AI41" s="329"/>
      <c r="AJ41" s="26">
        <v>2176.829999999999</v>
      </c>
      <c r="AK41" s="225">
        <v>2212.4799999999991</v>
      </c>
      <c r="AL41" s="492">
        <f t="shared" si="191"/>
        <v>80.623333333333292</v>
      </c>
      <c r="AM41" s="4">
        <f t="shared" si="192"/>
        <v>81.943703703703676</v>
      </c>
      <c r="AN41" s="26">
        <v>4.9800000000000004</v>
      </c>
      <c r="AO41" s="26">
        <v>4.9000000000000004</v>
      </c>
      <c r="AP41" s="26">
        <v>401.69</v>
      </c>
      <c r="AQ41" s="39"/>
      <c r="AR41" s="39">
        <v>0.22</v>
      </c>
      <c r="AS41" s="39">
        <v>0.3</v>
      </c>
      <c r="AT41" s="39">
        <v>0.3</v>
      </c>
      <c r="AU41" s="39">
        <v>0.19</v>
      </c>
      <c r="AV41" s="4">
        <v>1400</v>
      </c>
      <c r="AW41" s="37"/>
      <c r="AX41" s="39">
        <f>AW41/O41</f>
        <v>0</v>
      </c>
      <c r="AY41" s="26">
        <v>3</v>
      </c>
      <c r="AZ41" s="25" t="s">
        <v>386</v>
      </c>
      <c r="BA41" s="468" t="s">
        <v>95</v>
      </c>
      <c r="BB41" s="25"/>
      <c r="BC41" s="25"/>
      <c r="BD41" s="25"/>
      <c r="BE41" s="25"/>
      <c r="BF41" s="57"/>
      <c r="BG41" s="57"/>
      <c r="BH41" s="89">
        <v>40816</v>
      </c>
      <c r="BI41" s="89"/>
      <c r="BJ41" s="101">
        <v>40267</v>
      </c>
      <c r="BK41" s="101">
        <v>40491</v>
      </c>
      <c r="BL41" s="49"/>
      <c r="BM41" s="547">
        <f t="shared" si="193"/>
        <v>7.4666666666666668</v>
      </c>
      <c r="BN41" s="490"/>
      <c r="BO41" s="469"/>
      <c r="BP41" s="470"/>
      <c r="BQ41" s="481"/>
      <c r="BR41" s="481"/>
      <c r="BS41" s="55"/>
      <c r="BT41" s="55"/>
      <c r="BU41" s="150">
        <v>41307</v>
      </c>
      <c r="BV41" s="150">
        <f t="shared" si="194"/>
        <v>42402</v>
      </c>
      <c r="BW41" s="150"/>
      <c r="BX41" s="150" t="str">
        <f>IF(Tableau6[[#This Row],[Montant des loyers perçus avant 1e échéance]]&lt;BW41,"oui","non")</f>
        <v>non</v>
      </c>
      <c r="BY41" s="373">
        <f>DATEDIF(EL41,BV41,"M")</f>
        <v>30</v>
      </c>
      <c r="BZ41" s="373">
        <f>BY41*EO41</f>
        <v>333030</v>
      </c>
      <c r="CA41" s="373">
        <f>IF(BW41-BZ41&lt;0,0,Tableau6[[#This Row],[Montant échéance annuelle]]-Tableau6[[#This Row],[Montant des loyers perçus avant 1e échéance]])</f>
        <v>0</v>
      </c>
      <c r="CB41" s="64"/>
      <c r="CC41" s="57"/>
      <c r="CD41" s="57"/>
      <c r="CE41" s="273" t="str">
        <f t="shared" si="184"/>
        <v>0</v>
      </c>
      <c r="CF41" s="64"/>
      <c r="CG41" s="64"/>
      <c r="CH41" s="273" t="str">
        <f t="shared" si="185"/>
        <v>0</v>
      </c>
      <c r="CI41" s="66"/>
      <c r="CJ41" s="64"/>
      <c r="CK41" s="273" t="str">
        <f t="shared" si="186"/>
        <v>0</v>
      </c>
      <c r="CL41" s="66"/>
      <c r="CM41" s="64"/>
      <c r="CN41" s="273" t="str">
        <f t="shared" si="187"/>
        <v>0</v>
      </c>
      <c r="CO41" s="66"/>
      <c r="CP41" s="311"/>
      <c r="CQ41" s="273" t="str">
        <f t="shared" si="195"/>
        <v>0</v>
      </c>
      <c r="CR41" s="239"/>
      <c r="CS41" s="117"/>
      <c r="CT41" s="64"/>
      <c r="CU41" s="117"/>
      <c r="CV41" s="273" t="str">
        <f t="shared" si="161"/>
        <v>0</v>
      </c>
      <c r="CW41" s="64"/>
      <c r="CX41" s="182">
        <v>40721</v>
      </c>
      <c r="CY41" s="175">
        <v>2011</v>
      </c>
      <c r="CZ41" s="232">
        <f t="shared" si="196"/>
        <v>7.666666666666667</v>
      </c>
      <c r="DA41" s="273" t="str">
        <f t="shared" si="197"/>
        <v>0</v>
      </c>
      <c r="DB41" s="66">
        <v>15</v>
      </c>
      <c r="DC41" s="66">
        <f t="shared" si="198"/>
        <v>24</v>
      </c>
      <c r="DD41" s="159"/>
      <c r="DE41" s="158"/>
      <c r="DF41" s="381" t="str">
        <f t="shared" si="199"/>
        <v>0</v>
      </c>
      <c r="DG41" s="159"/>
      <c r="DH41" s="336"/>
      <c r="DI41" s="337" t="str">
        <f t="shared" si="200"/>
        <v>0</v>
      </c>
      <c r="DJ41" s="133"/>
      <c r="DK41" s="159"/>
      <c r="DL41" s="381" t="str">
        <f t="shared" si="201"/>
        <v>0</v>
      </c>
      <c r="DM41" s="158"/>
      <c r="DN41" s="159"/>
      <c r="DO41" s="381" t="str">
        <f t="shared" si="202"/>
        <v>0</v>
      </c>
      <c r="DP41" s="167"/>
      <c r="DQ41" s="167"/>
      <c r="DR41" s="381" t="str">
        <f t="shared" si="203"/>
        <v>0</v>
      </c>
      <c r="DS41" s="167"/>
      <c r="DT41" s="159"/>
      <c r="DU41" s="381" t="str">
        <f t="shared" si="204"/>
        <v>0</v>
      </c>
      <c r="DV41" s="168"/>
      <c r="DW41" s="168"/>
      <c r="DX41" s="381" t="str">
        <f t="shared" si="205"/>
        <v>0</v>
      </c>
      <c r="DY41" s="168"/>
      <c r="DZ41" s="168"/>
      <c r="EA41" s="168"/>
      <c r="EB41" s="327">
        <f t="shared" si="206"/>
        <v>41179</v>
      </c>
      <c r="EC41" s="185">
        <v>41464</v>
      </c>
      <c r="ED41" s="402">
        <f t="shared" si="207"/>
        <v>9.5</v>
      </c>
      <c r="EE41" s="510"/>
      <c r="EF41" s="326"/>
      <c r="EG41" s="56">
        <v>41606</v>
      </c>
      <c r="EH41" s="64" t="s">
        <v>101</v>
      </c>
      <c r="EI41" s="58">
        <v>41481</v>
      </c>
      <c r="EJ41" s="240"/>
      <c r="EK41" s="455">
        <f>DATE(YEAR(EB41),MONTH(EB41)+1,DAY(EB41))</f>
        <v>41209</v>
      </c>
      <c r="EL41" s="185">
        <v>41481</v>
      </c>
      <c r="EM41" s="241">
        <v>2013</v>
      </c>
      <c r="EN41" s="400">
        <f>(DATEDIF(EK41,EL41,"d"))/30</f>
        <v>9.0666666666666664</v>
      </c>
      <c r="EO41" s="391">
        <v>11101</v>
      </c>
      <c r="EP41" s="117">
        <f t="shared" si="208"/>
        <v>100649.06666666667</v>
      </c>
      <c r="EQ41" s="67"/>
      <c r="ER41" s="67"/>
      <c r="ES41" s="737"/>
      <c r="ET41" s="296"/>
      <c r="EU41" s="387">
        <f>HF41</f>
        <v>1409</v>
      </c>
      <c r="EV41" s="300"/>
      <c r="EW41" s="300"/>
      <c r="EX41" s="300"/>
      <c r="EY41" s="416">
        <f t="shared" si="209"/>
        <v>0</v>
      </c>
      <c r="EZ41" s="297"/>
      <c r="FA41" s="308" t="s">
        <v>508</v>
      </c>
      <c r="FB41" s="297"/>
      <c r="FC41" s="297"/>
      <c r="FD41" s="89">
        <f t="shared" si="167"/>
        <v>731</v>
      </c>
      <c r="FE41" s="64"/>
      <c r="FF41" s="64"/>
      <c r="FG41" s="64"/>
      <c r="FH41" s="64"/>
      <c r="FI41" s="64"/>
      <c r="FJ41" s="57"/>
      <c r="FK41" s="56">
        <f t="shared" si="210"/>
        <v>41829</v>
      </c>
      <c r="FL41" s="56"/>
      <c r="FM41" s="375">
        <v>51423</v>
      </c>
      <c r="FN41" s="56" t="s">
        <v>101</v>
      </c>
      <c r="FO41" s="56"/>
      <c r="FP41" s="56"/>
      <c r="FQ41" s="56">
        <v>41926</v>
      </c>
      <c r="FR41" s="56" t="s">
        <v>209</v>
      </c>
      <c r="FS41" s="56"/>
      <c r="FT41" s="56" t="s">
        <v>129</v>
      </c>
      <c r="FU41" s="56" t="s">
        <v>129</v>
      </c>
      <c r="FV41" s="56"/>
      <c r="FW41" s="56"/>
      <c r="FX41" s="56"/>
      <c r="FY41" s="95">
        <v>42114</v>
      </c>
      <c r="FZ41" s="95" t="s">
        <v>101</v>
      </c>
      <c r="GA41" s="450"/>
      <c r="GB41" s="471">
        <f>GD41+GG41+GJ41+HF41+Tableau6[[#This Row],[PRÊT CREDIT D''IMPOT (PM)]]</f>
        <v>3669437</v>
      </c>
      <c r="GC41" s="644">
        <f>GB41+GX41-HD41</f>
        <v>5026473.7537225001</v>
      </c>
      <c r="GD41" s="507">
        <f t="shared" ref="GD41:GD72" si="219">GP41+GQ41+GT41+GU41</f>
        <v>1362028</v>
      </c>
      <c r="GE41" s="20">
        <f t="shared" si="211"/>
        <v>1658.5175911194683</v>
      </c>
      <c r="GF41" s="20">
        <f t="shared" si="212"/>
        <v>135905.07407407407</v>
      </c>
      <c r="GG41" s="507">
        <v>0</v>
      </c>
      <c r="GH41" s="351"/>
      <c r="GI41" s="349">
        <f t="shared" si="182"/>
        <v>0</v>
      </c>
      <c r="GJ41" s="507">
        <f t="shared" si="213"/>
        <v>2306000</v>
      </c>
      <c r="GK41" s="5">
        <f>+GL41+GM41</f>
        <v>2306000</v>
      </c>
      <c r="GL41" s="6">
        <v>511146</v>
      </c>
      <c r="GM41" s="6">
        <v>1794854</v>
      </c>
      <c r="GN41" s="345">
        <f t="shared" si="214"/>
        <v>85407.407407407401</v>
      </c>
      <c r="GO41" s="5"/>
      <c r="GP41" s="8">
        <v>1267528</v>
      </c>
      <c r="GQ41" s="34">
        <v>94500</v>
      </c>
      <c r="GR41" s="18">
        <f t="shared" si="215"/>
        <v>0.34542846763686091</v>
      </c>
      <c r="GS41" s="45"/>
      <c r="GT41" s="45"/>
      <c r="GU41" s="8"/>
      <c r="GV41" s="20">
        <f t="shared" si="170"/>
        <v>46945.481481481482</v>
      </c>
      <c r="GW41" s="20">
        <f t="shared" si="171"/>
        <v>46945.481481481482</v>
      </c>
      <c r="GX41" s="567">
        <v>1627516.7537225003</v>
      </c>
      <c r="GY41" s="567">
        <v>656094.66</v>
      </c>
      <c r="GZ41" s="567">
        <f>(GG41+GP41+GY41)/AD41</f>
        <v>71245.28370370371</v>
      </c>
      <c r="HA41" s="567">
        <v>760751.49324999994</v>
      </c>
      <c r="HB41" s="567">
        <f t="shared" si="172"/>
        <v>99421.264935185187</v>
      </c>
      <c r="HC41" s="568">
        <f t="shared" si="183"/>
        <v>0.53404718392531336</v>
      </c>
      <c r="HD41" s="567">
        <f>222180+48300</f>
        <v>270480</v>
      </c>
      <c r="HE41" s="567"/>
      <c r="HF41" s="507">
        <v>1409</v>
      </c>
      <c r="HG41" s="633"/>
      <c r="HH41" s="634">
        <f t="shared" si="216"/>
        <v>0</v>
      </c>
      <c r="HI41" s="635">
        <f t="shared" si="173"/>
        <v>3669437</v>
      </c>
      <c r="HJ41" s="633" t="e">
        <f ca="1">IF(EE41&lt;DATEDIF(TODAY(),$HJ$1,"M"),HI41,(HI41/EE41*DATEDIF(TODAY(),$HJ$1,"M")))</f>
        <v>#VALUE!</v>
      </c>
      <c r="HK41" s="633"/>
      <c r="HL41" s="633"/>
      <c r="HM41" s="633">
        <f t="shared" si="217"/>
        <v>1362028</v>
      </c>
      <c r="HN41" s="636">
        <f t="shared" si="218"/>
        <v>0</v>
      </c>
      <c r="HO41" s="636"/>
      <c r="HP41" s="563">
        <v>436464</v>
      </c>
      <c r="HQ41" s="47">
        <v>407560.68000000005</v>
      </c>
      <c r="HR41" s="563">
        <f>1056304.66+240805</f>
        <v>1297109.6599999999</v>
      </c>
      <c r="HS41" s="563">
        <f>SUM(Tableau6[[#This Row],[GO]:[CARRELAGE]])</f>
        <v>2346568.4</v>
      </c>
      <c r="HT41" s="461">
        <v>1000827.79</v>
      </c>
      <c r="HU41" s="461">
        <v>358444.61</v>
      </c>
      <c r="HV41" s="461"/>
      <c r="HW41" s="461">
        <v>623711</v>
      </c>
      <c r="HX41" s="461"/>
      <c r="HY41" s="461"/>
      <c r="HZ41" s="461"/>
      <c r="IA41" s="461"/>
      <c r="IB41" s="461"/>
      <c r="IC41" s="461"/>
      <c r="ID41" s="461"/>
      <c r="IE41" s="461"/>
      <c r="IF41" s="461">
        <v>363585</v>
      </c>
      <c r="IG41" s="563"/>
      <c r="IH41" s="563"/>
      <c r="II41" s="563">
        <f>HP41+HR41+Tableau6[[#This Row],[TRAVAUX BATIS]]+Tableau6[[#This Row],[HONORAIRES]]+IH41</f>
        <v>4080142.0599999996</v>
      </c>
      <c r="IJ41" s="654">
        <f>Tableau6[[#This Row],[TOTAL PRP HT]]-Tableau6[[#This Row],[PRP TTC HORS FRAFU]]/1.021</f>
        <v>486178.29898138996</v>
      </c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</row>
    <row r="42" spans="1:256" s="16" customFormat="1" ht="20.149999999999999" customHeight="1">
      <c r="A42" s="765" t="s">
        <v>116</v>
      </c>
      <c r="B42" s="2" t="s">
        <v>58</v>
      </c>
      <c r="C42" s="2" t="s">
        <v>88</v>
      </c>
      <c r="D42" s="2">
        <v>2010</v>
      </c>
      <c r="E42" s="2" t="s">
        <v>120</v>
      </c>
      <c r="F42" s="2" t="s">
        <v>23</v>
      </c>
      <c r="G42" s="423" t="s">
        <v>137</v>
      </c>
      <c r="H42" s="2" t="s">
        <v>181</v>
      </c>
      <c r="I42" s="22"/>
      <c r="J42" s="22"/>
      <c r="K42" s="215" t="s">
        <v>387</v>
      </c>
      <c r="L42" s="224"/>
      <c r="M42" s="224"/>
      <c r="N42" s="224"/>
      <c r="O42" s="103">
        <v>9462</v>
      </c>
      <c r="P42" s="103">
        <v>874165.66</v>
      </c>
      <c r="Q42" s="103">
        <v>262890</v>
      </c>
      <c r="R42" s="103">
        <f>P42/AD42</f>
        <v>29138.855333333333</v>
      </c>
      <c r="S42" s="103">
        <f>P42/O42</f>
        <v>92.386985838089203</v>
      </c>
      <c r="T42" s="103">
        <f>Q42/O42</f>
        <v>27.783766645529486</v>
      </c>
      <c r="U42" s="103">
        <f>Q42/AK42</f>
        <v>117.46438848277958</v>
      </c>
      <c r="V42" s="103">
        <f>Q42/AD42</f>
        <v>8763</v>
      </c>
      <c r="W42" s="103">
        <f>O42/AD42</f>
        <v>315.39999999999998</v>
      </c>
      <c r="X42" s="104">
        <v>379.2</v>
      </c>
      <c r="Y42" s="444">
        <f t="shared" si="188"/>
        <v>31.705770450221941</v>
      </c>
      <c r="Z42" s="104" t="s">
        <v>158</v>
      </c>
      <c r="AA42" s="106"/>
      <c r="AB42" s="106"/>
      <c r="AC42" s="2" t="s">
        <v>10</v>
      </c>
      <c r="AD42" s="426">
        <f t="shared" si="189"/>
        <v>30</v>
      </c>
      <c r="AE42" s="426">
        <f t="shared" si="190"/>
        <v>30</v>
      </c>
      <c r="AF42" s="472"/>
      <c r="AG42" s="784">
        <v>30</v>
      </c>
      <c r="AH42" s="217"/>
      <c r="AI42" s="217"/>
      <c r="AJ42" s="26">
        <v>2229.46</v>
      </c>
      <c r="AK42" s="225">
        <v>2238.04</v>
      </c>
      <c r="AL42" s="492">
        <f t="shared" si="191"/>
        <v>74.315333333333328</v>
      </c>
      <c r="AM42" s="4">
        <f t="shared" si="192"/>
        <v>74.601333333333329</v>
      </c>
      <c r="AN42" s="26">
        <v>5.05</v>
      </c>
      <c r="AO42" s="26">
        <v>5.03</v>
      </c>
      <c r="AP42" s="26">
        <v>375.57</v>
      </c>
      <c r="AQ42" s="39"/>
      <c r="AR42" s="39">
        <v>0.17</v>
      </c>
      <c r="AS42" s="39">
        <v>0.37</v>
      </c>
      <c r="AT42" s="39">
        <v>0.33</v>
      </c>
      <c r="AU42" s="39">
        <v>0.13</v>
      </c>
      <c r="AV42" s="4">
        <v>1419.56</v>
      </c>
      <c r="AW42" s="37">
        <v>664</v>
      </c>
      <c r="AX42" s="39">
        <f>AW42/O42</f>
        <v>7.0175438596491224E-2</v>
      </c>
      <c r="AY42" s="26"/>
      <c r="AZ42" s="25" t="s">
        <v>386</v>
      </c>
      <c r="BA42" s="468" t="s">
        <v>95</v>
      </c>
      <c r="BB42" s="25"/>
      <c r="BC42" s="25"/>
      <c r="BD42" s="25"/>
      <c r="BE42" s="25"/>
      <c r="BF42" s="22"/>
      <c r="BG42" s="22"/>
      <c r="BH42" s="89">
        <v>40816</v>
      </c>
      <c r="BI42" s="89"/>
      <c r="BJ42" s="548">
        <v>40267</v>
      </c>
      <c r="BK42" s="548">
        <v>40491</v>
      </c>
      <c r="BL42" s="549"/>
      <c r="BM42" s="547">
        <f t="shared" si="193"/>
        <v>7.4666666666666668</v>
      </c>
      <c r="BN42" s="490"/>
      <c r="BO42" s="469"/>
      <c r="BP42" s="470"/>
      <c r="BQ42" s="481"/>
      <c r="BR42" s="481"/>
      <c r="BS42" s="55"/>
      <c r="BT42" s="55"/>
      <c r="BU42" s="150">
        <v>41308</v>
      </c>
      <c r="BV42" s="150">
        <f t="shared" si="194"/>
        <v>42403</v>
      </c>
      <c r="BW42" s="150"/>
      <c r="BX42" s="150" t="str">
        <f>IF(Tableau6[[#This Row],[Montant des loyers perçus avant 1e échéance]]&lt;BW42,"oui","non")</f>
        <v>non</v>
      </c>
      <c r="BY42" s="373">
        <f>DATEDIF(EL42,BV42,"M")</f>
        <v>24</v>
      </c>
      <c r="BZ42" s="373">
        <f>BY42*EO42</f>
        <v>286272</v>
      </c>
      <c r="CA42" s="373">
        <f>IF(BW42-BZ42&lt;0,0,Tableau6[[#This Row],[Montant échéance annuelle]]-Tableau6[[#This Row],[Montant des loyers perçus avant 1e échéance]])</f>
        <v>0</v>
      </c>
      <c r="CB42" s="64"/>
      <c r="CC42" s="64"/>
      <c r="CD42" s="64"/>
      <c r="CE42" s="273" t="str">
        <f t="shared" si="184"/>
        <v>0</v>
      </c>
      <c r="CF42" s="64"/>
      <c r="CG42" s="64"/>
      <c r="CH42" s="273" t="str">
        <f t="shared" si="185"/>
        <v>0</v>
      </c>
      <c r="CI42" s="64"/>
      <c r="CJ42" s="64"/>
      <c r="CK42" s="273" t="str">
        <f t="shared" si="186"/>
        <v>0</v>
      </c>
      <c r="CL42" s="64"/>
      <c r="CM42" s="64"/>
      <c r="CN42" s="273" t="str">
        <f t="shared" si="187"/>
        <v>0</v>
      </c>
      <c r="CO42" s="66"/>
      <c r="CP42" s="311"/>
      <c r="CQ42" s="273" t="str">
        <f t="shared" si="195"/>
        <v>0</v>
      </c>
      <c r="CR42" s="239"/>
      <c r="CS42" s="117"/>
      <c r="CT42" s="64"/>
      <c r="CU42" s="117"/>
      <c r="CV42" s="273" t="str">
        <f t="shared" si="161"/>
        <v>0</v>
      </c>
      <c r="CW42" s="64"/>
      <c r="CX42" s="182">
        <v>40945</v>
      </c>
      <c r="CY42" s="175">
        <v>2012</v>
      </c>
      <c r="CZ42" s="232">
        <f t="shared" si="196"/>
        <v>15.133333333333333</v>
      </c>
      <c r="DA42" s="273" t="str">
        <f t="shared" si="197"/>
        <v>0</v>
      </c>
      <c r="DB42" s="66">
        <v>15</v>
      </c>
      <c r="DC42" s="66">
        <f t="shared" si="198"/>
        <v>21</v>
      </c>
      <c r="DD42" s="159"/>
      <c r="DE42" s="158"/>
      <c r="DF42" s="381" t="str">
        <f t="shared" si="199"/>
        <v>0</v>
      </c>
      <c r="DG42" s="159"/>
      <c r="DH42" s="336"/>
      <c r="DI42" s="337" t="str">
        <f t="shared" si="200"/>
        <v>0</v>
      </c>
      <c r="DJ42" s="133"/>
      <c r="DK42" s="159"/>
      <c r="DL42" s="381" t="str">
        <f t="shared" si="201"/>
        <v>0</v>
      </c>
      <c r="DM42" s="158"/>
      <c r="DN42" s="159"/>
      <c r="DO42" s="381" t="str">
        <f t="shared" si="202"/>
        <v>0</v>
      </c>
      <c r="DP42" s="167"/>
      <c r="DQ42" s="167"/>
      <c r="DR42" s="381" t="str">
        <f t="shared" si="203"/>
        <v>0</v>
      </c>
      <c r="DS42" s="167"/>
      <c r="DT42" s="168"/>
      <c r="DU42" s="381" t="str">
        <f t="shared" si="204"/>
        <v>0</v>
      </c>
      <c r="DV42" s="159"/>
      <c r="DW42" s="159"/>
      <c r="DX42" s="381" t="str">
        <f t="shared" si="205"/>
        <v>0</v>
      </c>
      <c r="DY42" s="168"/>
      <c r="DZ42" s="168"/>
      <c r="EA42" s="168"/>
      <c r="EB42" s="327">
        <f t="shared" si="206"/>
        <v>41400</v>
      </c>
      <c r="EC42" s="185">
        <v>41601</v>
      </c>
      <c r="ED42" s="402">
        <f t="shared" si="207"/>
        <v>6.7</v>
      </c>
      <c r="EE42" s="510"/>
      <c r="EF42" s="326"/>
      <c r="EG42" s="67">
        <v>41669</v>
      </c>
      <c r="EH42" s="64" t="s">
        <v>101</v>
      </c>
      <c r="EI42" s="90">
        <v>41663</v>
      </c>
      <c r="EJ42" s="651"/>
      <c r="EK42" s="455">
        <f>DATE(YEAR(EB42),MONTH(EB42)+1,DAY(EB42))</f>
        <v>41431</v>
      </c>
      <c r="EL42" s="328">
        <v>41663</v>
      </c>
      <c r="EM42" s="324">
        <v>2014</v>
      </c>
      <c r="EN42" s="397">
        <f>(DATEDIF(EK42,EL42,"d"))/30</f>
        <v>7.7333333333333334</v>
      </c>
      <c r="EO42" s="391">
        <v>11928</v>
      </c>
      <c r="EP42" s="117">
        <f t="shared" si="208"/>
        <v>92243.199999999997</v>
      </c>
      <c r="EQ42" s="90"/>
      <c r="ER42" s="90"/>
      <c r="ES42" s="738"/>
      <c r="ET42" s="296"/>
      <c r="EU42" s="387">
        <f>HF42</f>
        <v>70784</v>
      </c>
      <c r="EV42" s="300"/>
      <c r="EW42" s="300"/>
      <c r="EX42" s="300"/>
      <c r="EY42" s="416">
        <f t="shared" si="209"/>
        <v>0</v>
      </c>
      <c r="EZ42" s="297"/>
      <c r="FA42" s="308" t="s">
        <v>514</v>
      </c>
      <c r="FB42" s="297"/>
      <c r="FC42" s="297"/>
      <c r="FD42" s="89">
        <f t="shared" si="167"/>
        <v>731</v>
      </c>
      <c r="FE42" s="64"/>
      <c r="FF42" s="64"/>
      <c r="FG42" s="64" t="s">
        <v>101</v>
      </c>
      <c r="FH42" s="64" t="s">
        <v>101</v>
      </c>
      <c r="FI42" s="64"/>
      <c r="FJ42" s="56">
        <v>42697</v>
      </c>
      <c r="FK42" s="56">
        <f t="shared" si="210"/>
        <v>41966</v>
      </c>
      <c r="FL42" s="56"/>
      <c r="FM42" s="375">
        <v>59348.24</v>
      </c>
      <c r="FN42" s="56" t="s">
        <v>101</v>
      </c>
      <c r="FO42" s="56"/>
      <c r="FP42" s="56"/>
      <c r="FQ42" s="56">
        <v>41925</v>
      </c>
      <c r="FR42" s="56">
        <v>41928</v>
      </c>
      <c r="FS42" s="56"/>
      <c r="FT42" s="56"/>
      <c r="FU42" s="56" t="s">
        <v>129</v>
      </c>
      <c r="FV42" s="56"/>
      <c r="FW42" s="56"/>
      <c r="FX42" s="56"/>
      <c r="FY42" s="56"/>
      <c r="FZ42" s="56" t="s">
        <v>101</v>
      </c>
      <c r="GA42" s="450"/>
      <c r="GB42" s="471">
        <f>GD42+GG42+GJ42+HF42+Tableau6[[#This Row],[PRÊT CREDIT D''IMPOT (PM)]]</f>
        <v>3911389</v>
      </c>
      <c r="GC42" s="644">
        <f>GB42</f>
        <v>3911389</v>
      </c>
      <c r="GD42" s="507">
        <f t="shared" si="219"/>
        <v>1359605</v>
      </c>
      <c r="GE42" s="20">
        <f t="shared" si="211"/>
        <v>1747.6850279709031</v>
      </c>
      <c r="GF42" s="20">
        <f t="shared" si="212"/>
        <v>130379.63333333333</v>
      </c>
      <c r="GG42" s="507">
        <v>0</v>
      </c>
      <c r="GH42" s="351"/>
      <c r="GI42" s="349">
        <f t="shared" si="182"/>
        <v>0</v>
      </c>
      <c r="GJ42" s="507">
        <f t="shared" si="213"/>
        <v>2481000</v>
      </c>
      <c r="GK42" s="5">
        <f>+GL42+GM42</f>
        <v>2481000</v>
      </c>
      <c r="GL42" s="6">
        <v>486094</v>
      </c>
      <c r="GM42" s="6">
        <v>1994906</v>
      </c>
      <c r="GN42" s="345">
        <f t="shared" si="214"/>
        <v>82700</v>
      </c>
      <c r="GO42" s="5"/>
      <c r="GP42" s="8">
        <v>1359605</v>
      </c>
      <c r="GQ42" s="34"/>
      <c r="GR42" s="18">
        <f t="shared" si="215"/>
        <v>0.34760158092176463</v>
      </c>
      <c r="GS42" s="45"/>
      <c r="GT42" s="45"/>
      <c r="GU42" s="8"/>
      <c r="GV42" s="20">
        <f t="shared" si="170"/>
        <v>45320.166666666664</v>
      </c>
      <c r="GW42" s="20">
        <f t="shared" si="171"/>
        <v>45320.166666666664</v>
      </c>
      <c r="GX42" s="567">
        <v>2106869</v>
      </c>
      <c r="GY42" s="567">
        <v>550000</v>
      </c>
      <c r="GZ42" s="567">
        <f>(GG42+GP42+GY42)/AD42</f>
        <v>63653.5</v>
      </c>
      <c r="HA42" s="567">
        <v>1220907.39295</v>
      </c>
      <c r="HB42" s="567">
        <f t="shared" si="172"/>
        <v>104350.41309833335</v>
      </c>
      <c r="HC42" s="568">
        <f t="shared" si="183"/>
        <v>0.5439291445742479</v>
      </c>
      <c r="HD42" s="567">
        <v>262890</v>
      </c>
      <c r="HE42" s="567"/>
      <c r="HF42" s="507">
        <v>70784</v>
      </c>
      <c r="HG42" s="633"/>
      <c r="HH42" s="634">
        <f t="shared" si="216"/>
        <v>0</v>
      </c>
      <c r="HI42" s="635">
        <f t="shared" si="173"/>
        <v>3911389</v>
      </c>
      <c r="HJ42" s="633" t="e">
        <f ca="1">IF(EE42&lt;DATEDIF(TODAY(),$HJ$1,"M"),HI42,(HI42/EE42*DATEDIF(TODAY(),$HJ$1,"M")))</f>
        <v>#VALUE!</v>
      </c>
      <c r="HK42" s="633"/>
      <c r="HL42" s="633"/>
      <c r="HM42" s="633">
        <f t="shared" si="217"/>
        <v>1359605</v>
      </c>
      <c r="HN42" s="636">
        <f t="shared" si="218"/>
        <v>0</v>
      </c>
      <c r="HO42" s="636"/>
      <c r="HP42" s="563"/>
      <c r="HQ42" s="47"/>
      <c r="HR42" s="563"/>
      <c r="HS42" s="563">
        <f>SUM(Tableau6[[#This Row],[GO]:[CARRELAGE]])</f>
        <v>0</v>
      </c>
      <c r="HT42" s="461"/>
      <c r="HU42" s="461"/>
      <c r="HV42" s="461"/>
      <c r="HW42" s="461"/>
      <c r="HX42" s="461"/>
      <c r="HY42" s="461"/>
      <c r="HZ42" s="461"/>
      <c r="IA42" s="461"/>
      <c r="IB42" s="461"/>
      <c r="IC42" s="461"/>
      <c r="ID42" s="461"/>
      <c r="IE42" s="461"/>
      <c r="IF42" s="461"/>
      <c r="IG42" s="563"/>
      <c r="IH42" s="563"/>
      <c r="II42" s="563">
        <f>HP42+HR42+Tableau6[[#This Row],[TRAVAUX BATIS]]+Tableau6[[#This Row],[HONORAIRES]]+IH42</f>
        <v>0</v>
      </c>
      <c r="IJ42" s="654">
        <f>Tableau6[[#This Row],[TOTAL PRP HT]]-Tableau6[[#This Row],[PRP TTC HORS FRAFU]]/1.021</f>
        <v>-3830939.2752203727</v>
      </c>
    </row>
    <row r="43" spans="1:256" ht="27.75" customHeight="1">
      <c r="A43" s="770" t="s">
        <v>882</v>
      </c>
      <c r="B43" s="2" t="s">
        <v>21</v>
      </c>
      <c r="C43" s="2" t="s">
        <v>86</v>
      </c>
      <c r="D43" s="2">
        <v>2020</v>
      </c>
      <c r="E43" s="2" t="s">
        <v>852</v>
      </c>
      <c r="F43" s="2" t="s">
        <v>40</v>
      </c>
      <c r="G43" s="2" t="s">
        <v>450</v>
      </c>
      <c r="H43" s="778" t="s">
        <v>859</v>
      </c>
      <c r="I43" s="22"/>
      <c r="J43" s="22" t="s">
        <v>815</v>
      </c>
      <c r="K43" s="134"/>
      <c r="L43" s="832"/>
      <c r="M43" s="833"/>
      <c r="N43" s="834"/>
      <c r="O43" s="154">
        <v>2150</v>
      </c>
      <c r="P43" s="154">
        <v>397000</v>
      </c>
      <c r="Q43" s="154">
        <v>397000</v>
      </c>
      <c r="R43" s="154">
        <f>P43/AD43</f>
        <v>9022.7272727272721</v>
      </c>
      <c r="S43" s="154">
        <f>P43/O43</f>
        <v>184.65116279069767</v>
      </c>
      <c r="T43" s="575">
        <f>Q43/O43</f>
        <v>184.65116279069767</v>
      </c>
      <c r="U43" s="575">
        <f>Q43/AK43</f>
        <v>99.476308602069707</v>
      </c>
      <c r="V43" s="575">
        <f>Q43/AD43</f>
        <v>9022.7272727272721</v>
      </c>
      <c r="W43" s="154">
        <f>O43/AD43</f>
        <v>48.863636363636367</v>
      </c>
      <c r="X43" s="576"/>
      <c r="Y43" s="577">
        <f t="shared" si="188"/>
        <v>204.65116279069767</v>
      </c>
      <c r="Z43" s="576" t="s">
        <v>159</v>
      </c>
      <c r="AA43" s="835">
        <v>520</v>
      </c>
      <c r="AB43" s="836">
        <v>0.1</v>
      </c>
      <c r="AC43" s="2" t="s">
        <v>293</v>
      </c>
      <c r="AD43" s="426">
        <f t="shared" si="189"/>
        <v>44</v>
      </c>
      <c r="AE43" s="426">
        <f t="shared" si="190"/>
        <v>44</v>
      </c>
      <c r="AF43" s="3"/>
      <c r="AG43" s="3"/>
      <c r="AH43" s="22">
        <v>44</v>
      </c>
      <c r="AI43" s="32"/>
      <c r="AJ43" s="618">
        <v>3427.7</v>
      </c>
      <c r="AK43" s="225">
        <v>3990.9</v>
      </c>
      <c r="AL43" s="492">
        <f t="shared" si="191"/>
        <v>77.902272727272717</v>
      </c>
      <c r="AM43" s="4">
        <f t="shared" si="192"/>
        <v>90.702272727272728</v>
      </c>
      <c r="AN43" s="26">
        <v>9.14</v>
      </c>
      <c r="AO43" s="26"/>
      <c r="AP43" s="26">
        <f>36476.83/Tableau6[[#This Row],[N]]</f>
        <v>829.01886363636368</v>
      </c>
      <c r="AQ43" s="589"/>
      <c r="AR43" s="39">
        <f>4/Tableau6[[#This Row],[N]]</f>
        <v>9.0909090909090912E-2</v>
      </c>
      <c r="AS43" s="589">
        <f>36/Tableau6[[#This Row],[N]]</f>
        <v>0.81818181818181823</v>
      </c>
      <c r="AT43" s="589">
        <f>4/Tableau6[[#This Row],[N]]</f>
        <v>9.0909090909090912E-2</v>
      </c>
      <c r="AU43" s="589"/>
      <c r="AV43" s="4"/>
      <c r="AW43" s="37" t="s">
        <v>129</v>
      </c>
      <c r="AX43" s="37" t="s">
        <v>129</v>
      </c>
      <c r="AY43" s="26"/>
      <c r="AZ43" s="22" t="s">
        <v>386</v>
      </c>
      <c r="BA43" s="2" t="s">
        <v>94</v>
      </c>
      <c r="BB43" s="118">
        <v>8370000</v>
      </c>
      <c r="BC43" s="437">
        <f>BB43/AJ43</f>
        <v>2441.8706421215393</v>
      </c>
      <c r="BD43" s="332">
        <f>BB43/AK43</f>
        <v>2097.2712921897314</v>
      </c>
      <c r="BE43" s="334">
        <f>BB43/AD43</f>
        <v>190227.27272727274</v>
      </c>
      <c r="BF43" s="325" t="s">
        <v>829</v>
      </c>
      <c r="BG43" s="325"/>
      <c r="BH43" s="56">
        <v>43816</v>
      </c>
      <c r="BI43" s="89"/>
      <c r="BJ43" s="548">
        <v>43927</v>
      </c>
      <c r="BK43" s="548">
        <v>43993</v>
      </c>
      <c r="BL43" s="549">
        <v>43993</v>
      </c>
      <c r="BM43" s="547">
        <f t="shared" si="193"/>
        <v>2.2000000000000002</v>
      </c>
      <c r="BN43" s="490" t="s">
        <v>229</v>
      </c>
      <c r="BO43" s="786" t="s">
        <v>960</v>
      </c>
      <c r="BP43" s="99"/>
      <c r="BQ43" s="590" t="e">
        <f>(DATEDIF(BO43,BP43,"d"))/30</f>
        <v>#VALUE!</v>
      </c>
      <c r="BR43" s="529"/>
      <c r="BS43" s="77"/>
      <c r="BT43" s="77"/>
      <c r="BU43" s="151"/>
      <c r="BV43" s="150">
        <f t="shared" si="194"/>
        <v>1096</v>
      </c>
      <c r="BW43" s="373"/>
      <c r="BX43" s="150" t="str">
        <f>IF(Tableau6[[#This Row],[Montant des loyers perçus avant 1e échéance]]&lt;BW43,"oui","non")</f>
        <v>non</v>
      </c>
      <c r="BY43" s="475">
        <f>(BV43-EL43)/30</f>
        <v>-1457.9666666666667</v>
      </c>
      <c r="BZ43" s="373">
        <f>IF((BY43*EO43)&lt;0,"0",BY43*EO43)</f>
        <v>0</v>
      </c>
      <c r="CA43" s="373">
        <f>IF(BW43-BZ43&lt;0,0,Tableau6[[#This Row],[Montant échéance annuelle]]-Tableau6[[#This Row],[Montant des loyers perçus avant 1e échéance]])</f>
        <v>0</v>
      </c>
      <c r="CB43" s="288"/>
      <c r="CC43" s="288">
        <v>43696</v>
      </c>
      <c r="CD43" s="288">
        <v>43706</v>
      </c>
      <c r="CE43" s="290">
        <f t="shared" si="184"/>
        <v>10</v>
      </c>
      <c r="CF43" s="288"/>
      <c r="CG43" s="288"/>
      <c r="CH43" s="290" t="str">
        <f t="shared" si="185"/>
        <v>0</v>
      </c>
      <c r="CI43" s="288"/>
      <c r="CJ43" s="288">
        <f ca="1">IF(CI43&lt;TODAY(),TODAY(),CI43)</f>
        <v>43998</v>
      </c>
      <c r="CK43" s="290" t="str">
        <f t="shared" ca="1" si="186"/>
        <v>0</v>
      </c>
      <c r="CL43" s="291"/>
      <c r="CM43" s="288">
        <f ca="1">IF(CL43&lt;TODAY(),TODAY(),CL43)</f>
        <v>43998</v>
      </c>
      <c r="CN43" s="290" t="str">
        <f t="shared" ca="1" si="187"/>
        <v>0</v>
      </c>
      <c r="CO43" s="288"/>
      <c r="CP43" s="288">
        <f ca="1">IF(CO43&lt;TODAY(),TODAY(),CO43)</f>
        <v>43998</v>
      </c>
      <c r="CQ43" s="290" t="str">
        <f t="shared" ca="1" si="195"/>
        <v>0</v>
      </c>
      <c r="CR43" s="237"/>
      <c r="CS43" s="286"/>
      <c r="CT43" s="277"/>
      <c r="CU43" s="278"/>
      <c r="CV43" s="279" t="str">
        <f t="shared" si="161"/>
        <v>0</v>
      </c>
      <c r="CW43" s="277">
        <v>44228</v>
      </c>
      <c r="CX43" s="382">
        <v>44228</v>
      </c>
      <c r="CY43" s="178"/>
      <c r="CZ43" s="231">
        <f t="shared" si="196"/>
        <v>7.833333333333333</v>
      </c>
      <c r="DA43" s="279">
        <f t="shared" si="197"/>
        <v>0</v>
      </c>
      <c r="DB43" s="383">
        <v>16</v>
      </c>
      <c r="DC43" s="127">
        <f t="shared" si="198"/>
        <v>19</v>
      </c>
      <c r="DD43" s="277"/>
      <c r="DE43" s="282">
        <f ca="1">IF(DD43&lt;TODAY(),TODAY(),DD43)</f>
        <v>43998</v>
      </c>
      <c r="DF43" s="279" t="str">
        <f t="shared" ca="1" si="199"/>
        <v>0</v>
      </c>
      <c r="DG43" s="277"/>
      <c r="DH43" s="295">
        <f ca="1">IF(DG43&lt;TODAY(),TODAY(),DG43)</f>
        <v>43998</v>
      </c>
      <c r="DI43" s="280" t="str">
        <f t="shared" ca="1" si="200"/>
        <v>0</v>
      </c>
      <c r="DJ43" s="281"/>
      <c r="DK43" s="282">
        <f ca="1">IF(DJ43&lt;TODAY(),TODAY(),DJ43)</f>
        <v>43998</v>
      </c>
      <c r="DL43" s="279" t="str">
        <f t="shared" ca="1" si="201"/>
        <v>0</v>
      </c>
      <c r="DM43" s="282"/>
      <c r="DN43" s="282">
        <f ca="1">IF(DM43&lt;TODAY(),TODAY(),DM43)</f>
        <v>43998</v>
      </c>
      <c r="DO43" s="279" t="str">
        <f t="shared" ca="1" si="202"/>
        <v>0</v>
      </c>
      <c r="DP43" s="283"/>
      <c r="DQ43" s="283"/>
      <c r="DR43" s="279" t="str">
        <f t="shared" si="203"/>
        <v>0</v>
      </c>
      <c r="DS43" s="282"/>
      <c r="DT43" s="282">
        <f ca="1">IF(DS43&lt;TODAY(),TODAY(),DS43)</f>
        <v>43998</v>
      </c>
      <c r="DU43" s="279" t="str">
        <f t="shared" ca="1" si="204"/>
        <v>0</v>
      </c>
      <c r="DV43" s="282"/>
      <c r="DW43" s="282">
        <f ca="1">IF(DV43&lt;TODAY(),TODAY(),DV43)</f>
        <v>43998</v>
      </c>
      <c r="DX43" s="279" t="str">
        <f t="shared" ca="1" si="205"/>
        <v>0</v>
      </c>
      <c r="DY43" s="282"/>
      <c r="DZ43" s="282"/>
      <c r="EA43" s="282"/>
      <c r="EB43" s="410">
        <f t="shared" si="206"/>
        <v>44713</v>
      </c>
      <c r="EC43" s="409">
        <f>DATE(YEAR(EB43),MONTH(EB43)+3,DAY(EB43))</f>
        <v>44805</v>
      </c>
      <c r="ED43" s="406">
        <f t="shared" si="207"/>
        <v>3.0666666666666669</v>
      </c>
      <c r="EE43" s="513">
        <f ca="1">IF(((EC43-TODAY())/30)&lt;0,0,(EC43-TODAY())/30)</f>
        <v>26.9</v>
      </c>
      <c r="EF43" s="408">
        <f ca="1">DATE(YEAR(DH43)+2,MONTH(DH43),DAY(DH43))</f>
        <v>44728</v>
      </c>
      <c r="EG43" s="448"/>
      <c r="EH43" s="448"/>
      <c r="EI43" s="448">
        <f>DATE(YEAR(EC43),MONTH(EC43)+4,DAY(EC43)+2)</f>
        <v>44929</v>
      </c>
      <c r="EJ43" s="242"/>
      <c r="EK43" s="456">
        <f>DATE(YEAR(EB43),MONTH(EB43)+2,DAY(EB43))</f>
        <v>44774</v>
      </c>
      <c r="EL43" s="409">
        <f>DATE(YEAR(EC43),MONTH(EC43)+1,DAY(EC43))</f>
        <v>44835</v>
      </c>
      <c r="EM43" s="314"/>
      <c r="EN43" s="404">
        <f>(EL43-EK43)/30</f>
        <v>2.0333333333333332</v>
      </c>
      <c r="EO43" s="394"/>
      <c r="EP43" s="802">
        <f t="shared" si="208"/>
        <v>0</v>
      </c>
      <c r="EQ43" s="60"/>
      <c r="ER43" s="60"/>
      <c r="ES43" s="742">
        <f>(Tableau6[[#This Row],[Date inauguration recalée]]-ER43)/30</f>
        <v>1494.5</v>
      </c>
      <c r="ET43" s="300"/>
      <c r="EU43" s="300"/>
      <c r="EV43" s="300"/>
      <c r="EW43" s="300"/>
      <c r="EX43" s="300"/>
      <c r="EY43" s="591">
        <f t="shared" si="209"/>
        <v>0</v>
      </c>
      <c r="EZ43" s="297"/>
      <c r="FA43" s="308"/>
      <c r="FB43" s="297"/>
      <c r="FC43" s="308"/>
      <c r="FD43" s="89">
        <f t="shared" ca="1" si="167"/>
        <v>44728</v>
      </c>
      <c r="FE43" s="63"/>
      <c r="FF43" s="63"/>
      <c r="FG43" s="63"/>
      <c r="FH43" s="63"/>
      <c r="FI43" s="63"/>
      <c r="FJ43" s="22"/>
      <c r="FK43" s="146">
        <f t="shared" si="210"/>
        <v>45170</v>
      </c>
      <c r="FL43" s="146"/>
      <c r="FM43" s="146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451"/>
      <c r="GB43" s="471">
        <f>GD43+GG43+GJ43+HF43+Tableau6[[#This Row],[PRÊT CREDIT D''IMPOT (PM)]]</f>
        <v>8734583</v>
      </c>
      <c r="GC43" s="645">
        <f>GB43</f>
        <v>8734583</v>
      </c>
      <c r="GD43" s="507">
        <f t="shared" si="219"/>
        <v>0</v>
      </c>
      <c r="GE43" s="20">
        <f t="shared" si="211"/>
        <v>2188.624871582851</v>
      </c>
      <c r="GF43" s="20">
        <f t="shared" si="212"/>
        <v>198513.25</v>
      </c>
      <c r="GG43" s="503">
        <v>3124155</v>
      </c>
      <c r="GH43" s="351"/>
      <c r="GI43" s="349">
        <f t="shared" si="182"/>
        <v>71003.522727272721</v>
      </c>
      <c r="GJ43" s="503">
        <f t="shared" si="213"/>
        <v>5610428</v>
      </c>
      <c r="GK43" s="5">
        <f>GL43+GM43</f>
        <v>4541983</v>
      </c>
      <c r="GL43" s="6">
        <v>581781</v>
      </c>
      <c r="GM43" s="6">
        <f>3960202</f>
        <v>3960202</v>
      </c>
      <c r="GN43" s="345">
        <f t="shared" si="214"/>
        <v>103226.88636363637</v>
      </c>
      <c r="GO43" s="5">
        <v>1068445</v>
      </c>
      <c r="GP43" s="5"/>
      <c r="GQ43" s="578"/>
      <c r="GR43" s="18">
        <f t="shared" si="215"/>
        <v>0</v>
      </c>
      <c r="GS43" s="578"/>
      <c r="GT43" s="578"/>
      <c r="GU43" s="838"/>
      <c r="GV43" s="20">
        <f t="shared" si="170"/>
        <v>0</v>
      </c>
      <c r="GW43" s="20">
        <f t="shared" si="171"/>
        <v>71003.522727272721</v>
      </c>
      <c r="GX43" s="567"/>
      <c r="GY43" s="567"/>
      <c r="GZ43" s="567">
        <f>(GG43+GP43+GY43)/AD43</f>
        <v>71003.522727272721</v>
      </c>
      <c r="HA43" s="567"/>
      <c r="HB43" s="567">
        <f t="shared" si="172"/>
        <v>71003.522727272721</v>
      </c>
      <c r="HC43" s="592">
        <f t="shared" si="183"/>
        <v>0.35767649125321727</v>
      </c>
      <c r="HD43" s="567"/>
      <c r="HE43" s="567"/>
      <c r="HF43" s="503"/>
      <c r="HG43" s="633"/>
      <c r="HH43" s="641">
        <f t="shared" si="216"/>
        <v>0</v>
      </c>
      <c r="HI43" s="633">
        <f t="shared" si="173"/>
        <v>8734583</v>
      </c>
      <c r="HJ43" s="633" t="e">
        <f ca="1">IF(EE43&lt;DATEDIF(TODAY(),$HJ$1,"M"),HI43,(HI43/EE43*DATEDIF(TODAY(),$HJ$1,"M")))*0+100000</f>
        <v>#VALUE!</v>
      </c>
      <c r="HK43" s="641" t="e">
        <f ca="1">(HG43+HJ43)/GB43</f>
        <v>#VALUE!</v>
      </c>
      <c r="HL43" s="633"/>
      <c r="HM43" s="633">
        <f t="shared" si="217"/>
        <v>0</v>
      </c>
      <c r="HN43" s="633" t="e">
        <f t="shared" si="218"/>
        <v>#DIV/0!</v>
      </c>
      <c r="HO43" s="633"/>
      <c r="HP43" s="563"/>
      <c r="HQ43" s="47"/>
      <c r="HR43" s="563"/>
      <c r="HS43" s="563">
        <f>SUM(Tableau6[[#This Row],[GO]:[CARRELAGE]])</f>
        <v>0</v>
      </c>
      <c r="HT43" s="461"/>
      <c r="HU43" s="461"/>
      <c r="HV43" s="461"/>
      <c r="HW43" s="461"/>
      <c r="HX43" s="461"/>
      <c r="HY43" s="461"/>
      <c r="HZ43" s="461"/>
      <c r="IA43" s="461"/>
      <c r="IB43" s="461"/>
      <c r="IC43" s="461"/>
      <c r="ID43" s="461"/>
      <c r="IE43" s="461"/>
      <c r="IF43" s="461"/>
      <c r="IG43" s="563"/>
      <c r="IH43" s="563"/>
      <c r="II43" s="563">
        <f>HP43+HR43+Tableau6[[#This Row],[TRAVAUX BATIS]]+Tableau6[[#This Row],[HONORAIRES]]+IH43</f>
        <v>0</v>
      </c>
      <c r="IJ43" s="654">
        <f>Tableau6[[#This Row],[TOTAL PRP HT]]-Tableau6[[#This Row],[PRP TTC HORS FRAFU]]/1.021</f>
        <v>-8554929.4809010774</v>
      </c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</row>
    <row r="44" spans="1:256" ht="81" customHeight="1">
      <c r="A44" s="772" t="s">
        <v>900</v>
      </c>
      <c r="B44" s="2" t="s">
        <v>14</v>
      </c>
      <c r="C44" s="2" t="s">
        <v>86</v>
      </c>
      <c r="D44" s="2">
        <v>2017</v>
      </c>
      <c r="E44" s="2"/>
      <c r="F44" s="2" t="s">
        <v>301</v>
      </c>
      <c r="G44" s="2" t="s">
        <v>586</v>
      </c>
      <c r="H44" s="2" t="s">
        <v>134</v>
      </c>
      <c r="I44" s="22"/>
      <c r="J44" s="22" t="s">
        <v>303</v>
      </c>
      <c r="K44" s="134" t="s">
        <v>360</v>
      </c>
      <c r="L44" s="78" t="s">
        <v>43</v>
      </c>
      <c r="M44" s="51" t="s">
        <v>331</v>
      </c>
      <c r="N44" s="52">
        <v>34851</v>
      </c>
      <c r="O44" s="117"/>
      <c r="P44" s="117"/>
      <c r="Q44" s="117"/>
      <c r="R44" s="117"/>
      <c r="S44" s="117"/>
      <c r="T44" s="330"/>
      <c r="U44" s="330"/>
      <c r="V44" s="330"/>
      <c r="W44" s="117"/>
      <c r="X44" s="104"/>
      <c r="Y44" s="447" t="e">
        <f t="shared" si="188"/>
        <v>#DIV/0!</v>
      </c>
      <c r="Z44" s="104"/>
      <c r="AA44" s="106"/>
      <c r="AB44" s="107"/>
      <c r="AC44" s="2" t="s">
        <v>300</v>
      </c>
      <c r="AD44" s="426">
        <f t="shared" si="189"/>
        <v>10</v>
      </c>
      <c r="AE44" s="426">
        <f t="shared" si="190"/>
        <v>0</v>
      </c>
      <c r="AF44" s="3"/>
      <c r="AG44" s="3"/>
      <c r="AH44" s="32"/>
      <c r="AI44" s="94">
        <v>10</v>
      </c>
      <c r="AJ44" s="614"/>
      <c r="AK44" s="225"/>
      <c r="AL44" s="492">
        <f t="shared" si="191"/>
        <v>0</v>
      </c>
      <c r="AM44" s="4">
        <f t="shared" si="192"/>
        <v>0</v>
      </c>
      <c r="AN44" s="26"/>
      <c r="AO44" s="26"/>
      <c r="AP44" s="26"/>
      <c r="AQ44" s="39"/>
      <c r="AR44" s="39"/>
      <c r="AS44" s="39"/>
      <c r="AT44" s="39"/>
      <c r="AU44" s="39"/>
      <c r="AV44" s="4"/>
      <c r="AW44" s="37"/>
      <c r="AX44" s="39"/>
      <c r="AY44" s="26"/>
      <c r="AZ44" s="22"/>
      <c r="BA44" s="2"/>
      <c r="BB44" s="22"/>
      <c r="BC44" s="22"/>
      <c r="BD44" s="22"/>
      <c r="BE44" s="22"/>
      <c r="BF44" s="22"/>
      <c r="BG44" s="22"/>
      <c r="BH44" s="22"/>
      <c r="BI44" s="22"/>
      <c r="BJ44" s="548">
        <v>42824</v>
      </c>
      <c r="BK44" s="548">
        <v>43005</v>
      </c>
      <c r="BL44" s="549"/>
      <c r="BM44" s="547">
        <f t="shared" si="193"/>
        <v>6.0333333333333332</v>
      </c>
      <c r="BN44" s="490"/>
      <c r="BO44" s="76">
        <v>43081</v>
      </c>
      <c r="BP44" s="99">
        <v>43235</v>
      </c>
      <c r="BQ44" s="537">
        <f>(DATEDIF(BO44,BP44,"d"))/30</f>
        <v>5.1333333333333337</v>
      </c>
      <c r="BR44" s="529">
        <v>78082</v>
      </c>
      <c r="BS44" s="77">
        <f>DATE(YEAR(BP44),MONTH(BP44)+3,DAY(BP44))</f>
        <v>43327</v>
      </c>
      <c r="BT44" s="77"/>
      <c r="BU44" s="151">
        <v>43344</v>
      </c>
      <c r="BV44" s="150">
        <f t="shared" si="194"/>
        <v>44440</v>
      </c>
      <c r="BW44" s="373"/>
      <c r="BX44" s="150" t="str">
        <f>IF(Tableau6[[#This Row],[Montant des loyers perçus avant 1e échéance]]&lt;BW44,"oui","non")</f>
        <v>non</v>
      </c>
      <c r="BY44" s="474"/>
      <c r="BZ44" s="474"/>
      <c r="CA44" s="474"/>
      <c r="CB44" s="159">
        <v>42773</v>
      </c>
      <c r="CC44" s="64"/>
      <c r="CD44" s="64"/>
      <c r="CE44" s="273" t="str">
        <f t="shared" si="184"/>
        <v>0</v>
      </c>
      <c r="CF44" s="64">
        <v>42874</v>
      </c>
      <c r="CG44" s="64">
        <v>42879</v>
      </c>
      <c r="CH44" s="273">
        <f t="shared" si="185"/>
        <v>5</v>
      </c>
      <c r="CI44" s="159">
        <v>42877</v>
      </c>
      <c r="CJ44" s="159">
        <v>42853</v>
      </c>
      <c r="CK44" s="273">
        <f t="shared" si="186"/>
        <v>-24</v>
      </c>
      <c r="CL44" s="288">
        <v>42879</v>
      </c>
      <c r="CM44" s="286">
        <f ca="1">IF(CL44&lt;TODAY(),TODAY(),CL44)</f>
        <v>43998</v>
      </c>
      <c r="CN44" s="273">
        <f t="shared" ca="1" si="187"/>
        <v>1119</v>
      </c>
      <c r="CO44" s="288">
        <v>42962</v>
      </c>
      <c r="CP44" s="288">
        <f ca="1">IF(CO44&lt;TODAY(),TODAY(),CO44)</f>
        <v>43998</v>
      </c>
      <c r="CQ44" s="273">
        <f t="shared" ca="1" si="195"/>
        <v>1036</v>
      </c>
      <c r="CR44" s="237"/>
      <c r="CS44" s="293">
        <v>43249</v>
      </c>
      <c r="CT44" s="284">
        <v>43045</v>
      </c>
      <c r="CU44" s="282">
        <f ca="1">IF(CT44&lt;TODAY(),TODAY(),CT44)</f>
        <v>43998</v>
      </c>
      <c r="CV44" s="279">
        <f t="shared" ca="1" si="161"/>
        <v>953</v>
      </c>
      <c r="CW44" s="284">
        <v>43049</v>
      </c>
      <c r="CX44" s="229">
        <v>43362</v>
      </c>
      <c r="CY44" s="230">
        <v>2018</v>
      </c>
      <c r="CZ44" s="235">
        <f t="shared" si="196"/>
        <v>11.9</v>
      </c>
      <c r="DA44" s="279">
        <f t="shared" si="197"/>
        <v>313</v>
      </c>
      <c r="DB44" s="133">
        <v>12</v>
      </c>
      <c r="DC44" s="59">
        <f t="shared" si="198"/>
        <v>8</v>
      </c>
      <c r="DD44" s="277"/>
      <c r="DE44" s="282">
        <f ca="1">IF(DD44&lt;TODAY(),TODAY(),DD44)</f>
        <v>43998</v>
      </c>
      <c r="DF44" s="279" t="str">
        <f t="shared" ca="1" si="199"/>
        <v>0</v>
      </c>
      <c r="DG44" s="277"/>
      <c r="DH44" s="295">
        <f ca="1">IF(DG44&lt;TODAY(),TODAY(),DG44)</f>
        <v>43998</v>
      </c>
      <c r="DI44" s="337" t="str">
        <f t="shared" ca="1" si="200"/>
        <v>0</v>
      </c>
      <c r="DJ44" s="282"/>
      <c r="DK44" s="282">
        <f ca="1">IF(DJ44&lt;TODAY(),TODAY(),DJ44)</f>
        <v>43998</v>
      </c>
      <c r="DL44" s="279" t="str">
        <f t="shared" ca="1" si="201"/>
        <v>0</v>
      </c>
      <c r="DM44" s="282">
        <v>43499</v>
      </c>
      <c r="DN44" s="282">
        <f ca="1">IF(DM44&lt;TODAY(),TODAY(),DM44)</f>
        <v>43998</v>
      </c>
      <c r="DO44" s="279">
        <f t="shared" ca="1" si="202"/>
        <v>499</v>
      </c>
      <c r="DP44" s="283"/>
      <c r="DQ44" s="283"/>
      <c r="DR44" s="279" t="str">
        <f t="shared" si="203"/>
        <v>0</v>
      </c>
      <c r="DS44" s="282"/>
      <c r="DT44" s="282">
        <f ca="1">IF(DS44&lt;TODAY(),TODAY(),DS44)</f>
        <v>43998</v>
      </c>
      <c r="DU44" s="279" t="str">
        <f t="shared" ca="1" si="204"/>
        <v>0</v>
      </c>
      <c r="DV44" s="282">
        <v>43576</v>
      </c>
      <c r="DW44" s="282">
        <f ca="1">IF(DV44&lt;TODAY(),TODAY(),DV44)</f>
        <v>43998</v>
      </c>
      <c r="DX44" s="279">
        <f t="shared" ca="1" si="205"/>
        <v>422</v>
      </c>
      <c r="DY44" s="282"/>
      <c r="DZ44" s="282"/>
      <c r="EA44" s="282"/>
      <c r="EB44" s="410">
        <f t="shared" si="206"/>
        <v>43727</v>
      </c>
      <c r="EC44" s="183">
        <v>43621</v>
      </c>
      <c r="ED44" s="406">
        <f t="shared" si="207"/>
        <v>-3.5333333333333332</v>
      </c>
      <c r="EE44" s="513">
        <f ca="1">IF(((EC44-TODAY())/30)&lt;0,0,(EC44-TODAY())/30)</f>
        <v>0</v>
      </c>
      <c r="EF44" s="509"/>
      <c r="EG44" s="448"/>
      <c r="EH44" s="448"/>
      <c r="EI44" s="91"/>
      <c r="EJ44" s="242"/>
      <c r="EK44" s="456">
        <f t="shared" ref="EK44:EK69" si="220">DATE(YEAR(EB44),MONTH(EB44)+1,DAY(EB44))</f>
        <v>43757</v>
      </c>
      <c r="EL44" s="183">
        <f>EC44</f>
        <v>43621</v>
      </c>
      <c r="EM44" s="230">
        <v>2019</v>
      </c>
      <c r="EN44" s="404">
        <f>(EL44-EK44)/30</f>
        <v>-4.5333333333333332</v>
      </c>
      <c r="EO44" s="395"/>
      <c r="EP44" s="29">
        <f t="shared" si="208"/>
        <v>0</v>
      </c>
      <c r="EQ44" s="60"/>
      <c r="ER44" s="60"/>
      <c r="ES44" s="742"/>
      <c r="ET44" s="300">
        <v>0</v>
      </c>
      <c r="EU44" s="300">
        <v>35542.79</v>
      </c>
      <c r="EV44" s="300">
        <v>17638</v>
      </c>
      <c r="EW44" s="300">
        <v>14427</v>
      </c>
      <c r="EX44" s="300"/>
      <c r="EY44" s="416">
        <f t="shared" si="209"/>
        <v>0</v>
      </c>
      <c r="EZ44" s="297"/>
      <c r="FA44" s="308"/>
      <c r="FB44" s="546" t="s">
        <v>662</v>
      </c>
      <c r="FC44" s="357" t="s">
        <v>804</v>
      </c>
      <c r="FD44" s="89">
        <f t="shared" ca="1" si="167"/>
        <v>44728</v>
      </c>
      <c r="FE44" s="63"/>
      <c r="FF44" s="63"/>
      <c r="FG44" s="63"/>
      <c r="FH44" s="63"/>
      <c r="FI44" s="63"/>
      <c r="FJ44" s="22"/>
      <c r="FK44" s="146">
        <f t="shared" si="210"/>
        <v>43987</v>
      </c>
      <c r="FL44" s="146"/>
      <c r="FM44" s="146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451"/>
      <c r="GB44" s="471">
        <f>GD44+GG44+GJ44+HF44+Tableau6[[#This Row],[PRÊT CREDIT D''IMPOT (PM)]]</f>
        <v>347036</v>
      </c>
      <c r="GC44" s="645"/>
      <c r="GD44" s="507">
        <f t="shared" si="219"/>
        <v>19880</v>
      </c>
      <c r="GE44" s="20" t="e">
        <f t="shared" si="211"/>
        <v>#DIV/0!</v>
      </c>
      <c r="GF44" s="20">
        <f t="shared" si="212"/>
        <v>34703.599999999999</v>
      </c>
      <c r="GG44" s="503"/>
      <c r="GH44" s="351"/>
      <c r="GI44" s="349" t="e">
        <f>#REF!/AD44</f>
        <v>#REF!</v>
      </c>
      <c r="GJ44" s="503">
        <f t="shared" si="213"/>
        <v>327156</v>
      </c>
      <c r="GK44" s="5">
        <v>177156</v>
      </c>
      <c r="GL44" s="213"/>
      <c r="GM44" s="213"/>
      <c r="GN44" s="345">
        <f t="shared" si="214"/>
        <v>17715.599999999999</v>
      </c>
      <c r="GO44" s="485">
        <v>150000</v>
      </c>
      <c r="GP44" s="5">
        <v>18200</v>
      </c>
      <c r="GQ44" s="35"/>
      <c r="GR44" s="18">
        <f t="shared" si="215"/>
        <v>5.2444126834103669E-2</v>
      </c>
      <c r="GS44" s="35"/>
      <c r="GT44" s="35"/>
      <c r="GU44" s="5">
        <v>1680</v>
      </c>
      <c r="GV44" s="20">
        <f t="shared" si="170"/>
        <v>1820</v>
      </c>
      <c r="GW44" s="20">
        <f t="shared" si="171"/>
        <v>1820</v>
      </c>
      <c r="GX44" s="567"/>
      <c r="GY44" s="567"/>
      <c r="GZ44" s="567" t="e">
        <f>(#REF!+#REF!+GY44)/AD44</f>
        <v>#REF!</v>
      </c>
      <c r="HA44" s="567"/>
      <c r="HB44" s="567">
        <f t="shared" si="172"/>
        <v>1820</v>
      </c>
      <c r="HC44" s="568" t="e">
        <f>(#REF!+#REF!+GY44+HA44)/(GX44+#REF!-HD44)</f>
        <v>#REF!</v>
      </c>
      <c r="HD44" s="567"/>
      <c r="HE44" s="567"/>
      <c r="HF44" s="503"/>
      <c r="HG44" s="633">
        <v>49386.413229999991</v>
      </c>
      <c r="HH44" s="634">
        <f t="shared" si="216"/>
        <v>0.14230919336898762</v>
      </c>
      <c r="HI44" s="633">
        <f t="shared" si="173"/>
        <v>297649.58676999999</v>
      </c>
      <c r="HJ44" s="633" t="e">
        <f t="shared" ref="HJ44:HJ72" ca="1" si="221">IF(EE44&lt;DATEDIF(TODAY(),$HJ$1,"M"),HI44,(HI44/EE44*DATEDIF(TODAY(),$HJ$1,"M")))</f>
        <v>#VALUE!</v>
      </c>
      <c r="HK44" s="634" t="e">
        <f ca="1">(HG44+HJ44)/GB44</f>
        <v>#VALUE!</v>
      </c>
      <c r="HL44" s="633"/>
      <c r="HM44" s="633">
        <f t="shared" si="217"/>
        <v>19880</v>
      </c>
      <c r="HN44" s="633">
        <f t="shared" si="218"/>
        <v>0</v>
      </c>
      <c r="HO44" s="633"/>
      <c r="HP44" s="563"/>
      <c r="HQ44" s="47"/>
      <c r="HR44" s="563"/>
      <c r="HS44" s="563">
        <f>SUM(Tableau6[[#This Row],[GO]:[CARRELAGE]])</f>
        <v>0</v>
      </c>
      <c r="HT44" s="461"/>
      <c r="HU44" s="461"/>
      <c r="HV44" s="461"/>
      <c r="HW44" s="461"/>
      <c r="HX44" s="461"/>
      <c r="HY44" s="461"/>
      <c r="HZ44" s="461"/>
      <c r="IA44" s="461"/>
      <c r="IB44" s="461"/>
      <c r="IC44" s="461"/>
      <c r="ID44" s="461"/>
      <c r="IE44" s="461"/>
      <c r="IF44" s="461"/>
      <c r="IG44" s="563"/>
      <c r="IH44" s="563"/>
      <c r="II44" s="563">
        <f>HP44+HR44+Tableau6[[#This Row],[TRAVAUX BATIS]]+Tableau6[[#This Row],[HONORAIRES]]+IH44</f>
        <v>0</v>
      </c>
      <c r="IJ44" s="654">
        <f>Tableau6[[#This Row],[TOTAL PRP HT]]-Tableau6[[#This Row],[PRP TTC HORS FRAFU]]/1.021</f>
        <v>-339898.13907933404</v>
      </c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</row>
    <row r="45" spans="1:256" ht="32.25" customHeight="1">
      <c r="A45" s="42" t="s">
        <v>199</v>
      </c>
      <c r="B45" s="2" t="s">
        <v>25</v>
      </c>
      <c r="C45" s="2" t="s">
        <v>88</v>
      </c>
      <c r="D45" s="10">
        <v>2014</v>
      </c>
      <c r="E45" s="2" t="s">
        <v>127</v>
      </c>
      <c r="F45" s="10" t="s">
        <v>40</v>
      </c>
      <c r="G45" s="423" t="s">
        <v>139</v>
      </c>
      <c r="H45" s="10" t="s">
        <v>181</v>
      </c>
      <c r="I45" s="23" t="s">
        <v>94</v>
      </c>
      <c r="J45" s="22"/>
      <c r="K45" s="134"/>
      <c r="L45" s="78" t="s">
        <v>43</v>
      </c>
      <c r="M45" s="51" t="s">
        <v>108</v>
      </c>
      <c r="N45" s="52"/>
      <c r="O45" s="109">
        <v>1500</v>
      </c>
      <c r="P45" s="109">
        <f>Q45</f>
        <v>128915</v>
      </c>
      <c r="Q45" s="109">
        <v>128915</v>
      </c>
      <c r="R45" s="103">
        <f>P45/AD45</f>
        <v>8057.1875</v>
      </c>
      <c r="S45" s="109">
        <f>P45/O45</f>
        <v>85.943333333333328</v>
      </c>
      <c r="T45" s="109">
        <f>Q45/O45</f>
        <v>85.943333333333328</v>
      </c>
      <c r="U45" s="109">
        <f>Q45/AK45</f>
        <v>91.134345662255399</v>
      </c>
      <c r="V45" s="109">
        <f>Q45/AD45</f>
        <v>8057.1875</v>
      </c>
      <c r="W45" s="103">
        <f>O45/AD45</f>
        <v>93.75</v>
      </c>
      <c r="X45" s="112"/>
      <c r="Y45" s="445">
        <f t="shared" si="188"/>
        <v>106.66666666666667</v>
      </c>
      <c r="Z45" s="112"/>
      <c r="AA45" s="605">
        <v>90</v>
      </c>
      <c r="AB45" s="606"/>
      <c r="AC45" s="2" t="s">
        <v>10</v>
      </c>
      <c r="AD45" s="426">
        <f t="shared" si="189"/>
        <v>16</v>
      </c>
      <c r="AE45" s="426">
        <f t="shared" si="190"/>
        <v>16</v>
      </c>
      <c r="AF45" s="3"/>
      <c r="AG45" s="2">
        <v>16</v>
      </c>
      <c r="AH45" s="32"/>
      <c r="AI45" s="32"/>
      <c r="AJ45" s="614">
        <v>1223.02</v>
      </c>
      <c r="AK45" s="225">
        <v>1414.56</v>
      </c>
      <c r="AL45" s="492">
        <f t="shared" si="191"/>
        <v>76.438749999999999</v>
      </c>
      <c r="AM45" s="4">
        <f t="shared" si="192"/>
        <v>88.41</v>
      </c>
      <c r="AN45" s="26">
        <v>5.88</v>
      </c>
      <c r="AO45" s="26">
        <v>5.08</v>
      </c>
      <c r="AP45" s="26">
        <v>449.55</v>
      </c>
      <c r="AQ45" s="40">
        <f>2/AD45</f>
        <v>0.125</v>
      </c>
      <c r="AR45" s="40">
        <f>2/AD45</f>
        <v>0.125</v>
      </c>
      <c r="AS45" s="40">
        <f>6/AD45</f>
        <v>0.375</v>
      </c>
      <c r="AT45" s="40">
        <f>5/AD45</f>
        <v>0.3125</v>
      </c>
      <c r="AU45" s="40">
        <f>1/AD45</f>
        <v>6.25E-2</v>
      </c>
      <c r="AV45" s="600"/>
      <c r="AW45" s="38">
        <v>0</v>
      </c>
      <c r="AX45" s="40">
        <f>AW45/O45</f>
        <v>0</v>
      </c>
      <c r="AY45" s="27">
        <v>2.5</v>
      </c>
      <c r="AZ45" s="25" t="s">
        <v>386</v>
      </c>
      <c r="BA45" s="10" t="s">
        <v>94</v>
      </c>
      <c r="BB45" s="23"/>
      <c r="BC45" s="23"/>
      <c r="BD45" s="23"/>
      <c r="BE45" s="23"/>
      <c r="BF45" s="160">
        <v>41667</v>
      </c>
      <c r="BG45" s="160"/>
      <c r="BH45" s="160">
        <v>41781</v>
      </c>
      <c r="BI45" s="160"/>
      <c r="BJ45" s="548">
        <v>41728</v>
      </c>
      <c r="BK45" s="548">
        <v>41929</v>
      </c>
      <c r="BL45" s="549"/>
      <c r="BM45" s="547">
        <f t="shared" si="193"/>
        <v>6.7</v>
      </c>
      <c r="BN45" s="490"/>
      <c r="BO45" s="76">
        <v>42017</v>
      </c>
      <c r="BP45" s="99">
        <v>42027</v>
      </c>
      <c r="BQ45" s="536">
        <f>(DATEDIF(BO45,BP45,"d"))/30</f>
        <v>0.33333333333333331</v>
      </c>
      <c r="BR45" s="526"/>
      <c r="BS45" s="79">
        <v>42116</v>
      </c>
      <c r="BT45" s="79">
        <v>42074</v>
      </c>
      <c r="BU45" s="150">
        <v>42125</v>
      </c>
      <c r="BV45" s="150">
        <f t="shared" si="194"/>
        <v>43221</v>
      </c>
      <c r="BW45" s="373">
        <f>39763+6477</f>
        <v>46240</v>
      </c>
      <c r="BX45" s="150" t="str">
        <f>IF(Tableau6[[#This Row],[Montant des loyers perçus avant 1e échéance]]&lt;BW45,"oui","non")</f>
        <v>non</v>
      </c>
      <c r="BY45" s="475">
        <f>(BV45-EL45)/30</f>
        <v>8.8000000000000007</v>
      </c>
      <c r="BZ45" s="373">
        <f t="shared" ref="BZ45:BZ53" si="222">IF((BY45*EO45)&lt;0,"0",BY45*EO45)</f>
        <v>65209.779725532273</v>
      </c>
      <c r="CA45" s="373">
        <f>IF(BW45-BZ45&lt;0,0,Tableau6[[#This Row],[Montant échéance annuelle]]-Tableau6[[#This Row],[Montant des loyers perçus avant 1e échéance]])</f>
        <v>0</v>
      </c>
      <c r="CB45" s="64"/>
      <c r="CC45" s="64"/>
      <c r="CD45" s="64"/>
      <c r="CE45" s="273" t="str">
        <f t="shared" si="184"/>
        <v>0</v>
      </c>
      <c r="CF45" s="64"/>
      <c r="CG45" s="64"/>
      <c r="CH45" s="273" t="str">
        <f t="shared" si="185"/>
        <v>0</v>
      </c>
      <c r="CI45" s="64"/>
      <c r="CJ45" s="64"/>
      <c r="CK45" s="273" t="str">
        <f t="shared" si="186"/>
        <v>0</v>
      </c>
      <c r="CL45" s="64"/>
      <c r="CM45" s="64"/>
      <c r="CN45" s="273" t="str">
        <f t="shared" si="187"/>
        <v>0</v>
      </c>
      <c r="CO45" s="66"/>
      <c r="CP45" s="311"/>
      <c r="CQ45" s="273" t="str">
        <f t="shared" si="195"/>
        <v>0</v>
      </c>
      <c r="CR45" s="238"/>
      <c r="CS45" s="117"/>
      <c r="CT45" s="64"/>
      <c r="CU45" s="117"/>
      <c r="CV45" s="273" t="str">
        <f t="shared" si="161"/>
        <v>0</v>
      </c>
      <c r="CW45" s="64"/>
      <c r="CX45" s="181">
        <v>42488</v>
      </c>
      <c r="CY45" s="177">
        <v>2016</v>
      </c>
      <c r="CZ45" s="233">
        <f t="shared" si="196"/>
        <v>18.633333333333333</v>
      </c>
      <c r="DA45" s="273" t="str">
        <f t="shared" si="197"/>
        <v>0</v>
      </c>
      <c r="DB45" s="59">
        <v>13</v>
      </c>
      <c r="DC45" s="59">
        <f t="shared" si="198"/>
        <v>14</v>
      </c>
      <c r="DD45" s="64"/>
      <c r="DE45" s="117"/>
      <c r="DF45" s="273" t="str">
        <f t="shared" si="199"/>
        <v>0</v>
      </c>
      <c r="DG45" s="64"/>
      <c r="DH45" s="309"/>
      <c r="DI45" s="276" t="str">
        <f t="shared" si="200"/>
        <v>0</v>
      </c>
      <c r="DJ45" s="66"/>
      <c r="DK45" s="159"/>
      <c r="DL45" s="273" t="str">
        <f t="shared" si="201"/>
        <v>0</v>
      </c>
      <c r="DM45" s="64"/>
      <c r="DN45" s="64"/>
      <c r="DO45" s="273" t="str">
        <f t="shared" si="202"/>
        <v>0</v>
      </c>
      <c r="DP45" s="64"/>
      <c r="DQ45" s="64"/>
      <c r="DR45" s="273" t="str">
        <f t="shared" si="203"/>
        <v>0</v>
      </c>
      <c r="DS45" s="64"/>
      <c r="DT45" s="64"/>
      <c r="DU45" s="273" t="str">
        <f t="shared" si="204"/>
        <v>0</v>
      </c>
      <c r="DV45" s="64"/>
      <c r="DW45" s="64"/>
      <c r="DX45" s="273" t="str">
        <f t="shared" si="205"/>
        <v>0</v>
      </c>
      <c r="DY45" s="64"/>
      <c r="DZ45" s="64"/>
      <c r="EA45" s="64"/>
      <c r="EB45" s="313">
        <f t="shared" si="206"/>
        <v>42883</v>
      </c>
      <c r="EC45" s="181">
        <v>42921</v>
      </c>
      <c r="ED45" s="401">
        <f t="shared" si="207"/>
        <v>1.2666666666666666</v>
      </c>
      <c r="EE45" s="511"/>
      <c r="EF45" s="240"/>
      <c r="EG45" s="58">
        <v>42928</v>
      </c>
      <c r="EH45" s="58">
        <v>42702</v>
      </c>
      <c r="EI45" s="58">
        <v>42942</v>
      </c>
      <c r="EJ45" s="823"/>
      <c r="EK45" s="455">
        <f t="shared" si="220"/>
        <v>42914</v>
      </c>
      <c r="EL45" s="183">
        <v>42957</v>
      </c>
      <c r="EM45" s="177">
        <v>2017</v>
      </c>
      <c r="EN45" s="398">
        <f t="shared" ref="EN45:EN53" si="223">(DATEDIF(EK45,EL45,"d"))/30</f>
        <v>1.4333333333333333</v>
      </c>
      <c r="EO45" s="233">
        <f>88922.4268984531/12</f>
        <v>7410.2022415377578</v>
      </c>
      <c r="EP45" s="158">
        <f t="shared" si="208"/>
        <v>10621.289879537453</v>
      </c>
      <c r="EQ45" s="218">
        <v>42901</v>
      </c>
      <c r="ER45" s="218"/>
      <c r="ES45" s="133"/>
      <c r="ET45" s="296">
        <v>0</v>
      </c>
      <c r="EU45" s="296">
        <v>0</v>
      </c>
      <c r="EV45" s="300"/>
      <c r="EW45" s="300"/>
      <c r="EX45" s="300">
        <v>12993.96</v>
      </c>
      <c r="EY45" s="416">
        <f t="shared" si="209"/>
        <v>4.665640564888658E-3</v>
      </c>
      <c r="EZ45" s="301"/>
      <c r="FA45" s="315" t="s">
        <v>524</v>
      </c>
      <c r="FB45" s="301"/>
      <c r="FC45" s="301"/>
      <c r="FD45" s="89">
        <f t="shared" si="167"/>
        <v>731</v>
      </c>
      <c r="FE45" s="121" t="s">
        <v>101</v>
      </c>
      <c r="FF45" s="121" t="s">
        <v>101</v>
      </c>
      <c r="FG45" s="98" t="s">
        <v>101</v>
      </c>
      <c r="FH45" s="64" t="s">
        <v>101</v>
      </c>
      <c r="FI45" s="159">
        <v>43146</v>
      </c>
      <c r="FJ45" s="160">
        <v>43194</v>
      </c>
      <c r="FK45" s="159">
        <f t="shared" si="210"/>
        <v>43286</v>
      </c>
      <c r="FL45" s="159"/>
      <c r="FM45" s="375">
        <v>9694</v>
      </c>
      <c r="FN45" s="159">
        <v>43056</v>
      </c>
      <c r="FO45" s="159">
        <v>43059</v>
      </c>
      <c r="FP45" s="159"/>
      <c r="FQ45" s="159"/>
      <c r="FR45" s="159"/>
      <c r="FS45" s="160">
        <v>43180</v>
      </c>
      <c r="FT45" s="23"/>
      <c r="FU45" s="436">
        <v>43336</v>
      </c>
      <c r="FV45" s="23"/>
      <c r="FW45" s="119" t="s">
        <v>101</v>
      </c>
      <c r="FX45" s="119" t="s">
        <v>101</v>
      </c>
      <c r="FY45" s="119" t="s">
        <v>101</v>
      </c>
      <c r="FZ45" s="95" t="s">
        <v>101</v>
      </c>
      <c r="GA45" s="332">
        <v>2681224</v>
      </c>
      <c r="GB45" s="471">
        <f>GD45+GG45+GJ45+HF45+Tableau6[[#This Row],[PRÊT CREDIT D''IMPOT (PM)]]</f>
        <v>2785032.37</v>
      </c>
      <c r="GC45" s="644">
        <f t="shared" ref="GC45:GC53" si="224">GB45</f>
        <v>2785032.37</v>
      </c>
      <c r="GD45" s="507">
        <f t="shared" si="219"/>
        <v>325055</v>
      </c>
      <c r="GE45" s="20">
        <f t="shared" si="211"/>
        <v>1968.832972797195</v>
      </c>
      <c r="GF45" s="20">
        <f t="shared" si="212"/>
        <v>174064.52312500001</v>
      </c>
      <c r="GG45" s="508">
        <v>863024</v>
      </c>
      <c r="GH45" s="351"/>
      <c r="GI45" s="349">
        <f t="shared" ref="GI45:GI83" si="225">GG45/AD45</f>
        <v>53939</v>
      </c>
      <c r="GJ45" s="508">
        <f t="shared" si="213"/>
        <v>1596953.37</v>
      </c>
      <c r="GK45" s="5">
        <f>GL45+GM45</f>
        <v>1596953.37</v>
      </c>
      <c r="GL45" s="599">
        <v>242605.3</v>
      </c>
      <c r="GM45" s="599">
        <v>1354348.07</v>
      </c>
      <c r="GN45" s="345">
        <f t="shared" si="214"/>
        <v>99809.585625000007</v>
      </c>
      <c r="GO45" s="485"/>
      <c r="GP45" s="485">
        <f>144000*0+320000</f>
        <v>320000</v>
      </c>
      <c r="GQ45" s="36">
        <v>0</v>
      </c>
      <c r="GR45" s="18">
        <f t="shared" si="215"/>
        <v>0.1148999212529799</v>
      </c>
      <c r="GS45" s="35"/>
      <c r="GT45" s="35"/>
      <c r="GU45" s="485">
        <v>5055</v>
      </c>
      <c r="GV45" s="41">
        <f t="shared" si="170"/>
        <v>20000</v>
      </c>
      <c r="GW45" s="41">
        <f t="shared" si="171"/>
        <v>73939</v>
      </c>
      <c r="GX45" s="567">
        <v>0</v>
      </c>
      <c r="GY45" s="567">
        <v>0</v>
      </c>
      <c r="GZ45" s="567" t="e">
        <f>(#REF!+#REF!+GY45)/AD45</f>
        <v>#REF!</v>
      </c>
      <c r="HA45" s="567">
        <v>0</v>
      </c>
      <c r="HB45" s="567">
        <f t="shared" si="172"/>
        <v>73939</v>
      </c>
      <c r="HC45" s="568">
        <f>(GG45+GP45+GY45+HA45)/(GX45+GB45-HD45)</f>
        <v>0.42477926387620407</v>
      </c>
      <c r="HD45" s="567">
        <v>0</v>
      </c>
      <c r="HE45" s="567"/>
      <c r="HF45" s="508">
        <v>0</v>
      </c>
      <c r="HG45" s="639"/>
      <c r="HH45" s="634">
        <f t="shared" si="216"/>
        <v>0</v>
      </c>
      <c r="HI45" s="635">
        <f t="shared" si="173"/>
        <v>2785032.37</v>
      </c>
      <c r="HJ45" s="633" t="e">
        <f t="shared" ca="1" si="221"/>
        <v>#VALUE!</v>
      </c>
      <c r="HK45" s="633"/>
      <c r="HL45" s="639"/>
      <c r="HM45" s="633">
        <f t="shared" si="217"/>
        <v>325055</v>
      </c>
      <c r="HN45" s="636">
        <f t="shared" si="218"/>
        <v>0</v>
      </c>
      <c r="HO45" s="636"/>
      <c r="HP45" s="563"/>
      <c r="HQ45" s="47"/>
      <c r="HR45" s="563"/>
      <c r="HS45" s="563">
        <f>SUM(Tableau6[[#This Row],[GO]:[CARRELAGE]])</f>
        <v>0</v>
      </c>
      <c r="HT45" s="461"/>
      <c r="HU45" s="461"/>
      <c r="HV45" s="461"/>
      <c r="HW45" s="461"/>
      <c r="HX45" s="461"/>
      <c r="HY45" s="461"/>
      <c r="HZ45" s="461"/>
      <c r="IA45" s="461"/>
      <c r="IB45" s="461"/>
      <c r="IC45" s="461"/>
      <c r="ID45" s="461"/>
      <c r="IE45" s="461"/>
      <c r="IF45" s="461"/>
      <c r="IG45" s="563"/>
      <c r="IH45" s="563"/>
      <c r="II45" s="563">
        <f>HP45+HR45+Tableau6[[#This Row],[TRAVAUX BATIS]]+Tableau6[[#This Row],[HONORAIRES]]+IH45</f>
        <v>0</v>
      </c>
      <c r="IJ45" s="654">
        <f>Tableau6[[#This Row],[TOTAL PRP HT]]-Tableau6[[#This Row],[PRP TTC HORS FRAFU]]/1.021</f>
        <v>-2727749.6278158673</v>
      </c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</row>
    <row r="46" spans="1:256" ht="27" customHeight="1">
      <c r="A46" s="765" t="s">
        <v>84</v>
      </c>
      <c r="B46" s="2" t="s">
        <v>20</v>
      </c>
      <c r="C46" s="2" t="s">
        <v>87</v>
      </c>
      <c r="D46" s="2">
        <v>2011</v>
      </c>
      <c r="E46" s="2" t="s">
        <v>80</v>
      </c>
      <c r="F46" s="2"/>
      <c r="G46" s="423"/>
      <c r="H46" s="22" t="s">
        <v>181</v>
      </c>
      <c r="I46" s="22"/>
      <c r="J46" s="22"/>
      <c r="K46" s="215" t="s">
        <v>422</v>
      </c>
      <c r="L46" s="224"/>
      <c r="M46" s="224"/>
      <c r="N46" s="224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 t="e">
        <f t="shared" si="188"/>
        <v>#DIV/0!</v>
      </c>
      <c r="Z46" s="33"/>
      <c r="AA46" s="106"/>
      <c r="AB46" s="106"/>
      <c r="AC46" s="2" t="s">
        <v>10</v>
      </c>
      <c r="AD46" s="426">
        <f t="shared" si="189"/>
        <v>16</v>
      </c>
      <c r="AE46" s="426">
        <f t="shared" si="190"/>
        <v>16</v>
      </c>
      <c r="AF46" s="3"/>
      <c r="AG46" s="2">
        <v>16</v>
      </c>
      <c r="AH46" s="217"/>
      <c r="AI46" s="217"/>
      <c r="AJ46" s="616">
        <v>1252.9999999999998</v>
      </c>
      <c r="AK46" s="225">
        <v>1432.77</v>
      </c>
      <c r="AL46" s="492">
        <f t="shared" si="191"/>
        <v>78.312499999999986</v>
      </c>
      <c r="AM46" s="4">
        <f t="shared" si="192"/>
        <v>89.548124999999999</v>
      </c>
      <c r="AN46" s="26">
        <v>5.51</v>
      </c>
      <c r="AO46" s="26">
        <v>4.82</v>
      </c>
      <c r="AP46" s="26">
        <v>431</v>
      </c>
      <c r="AQ46" s="26"/>
      <c r="AR46" s="26"/>
      <c r="AS46" s="26"/>
      <c r="AT46" s="26"/>
      <c r="AU46" s="26"/>
      <c r="AV46" s="3"/>
      <c r="AW46" s="87"/>
      <c r="AX46" s="54"/>
      <c r="AY46" s="26">
        <v>2.5</v>
      </c>
      <c r="AZ46" s="25" t="s">
        <v>386</v>
      </c>
      <c r="BA46" s="468" t="s">
        <v>94</v>
      </c>
      <c r="BB46" s="25"/>
      <c r="BC46" s="25"/>
      <c r="BD46" s="25"/>
      <c r="BE46" s="25"/>
      <c r="BF46" s="22"/>
      <c r="BG46" s="22"/>
      <c r="BH46" s="89">
        <v>40816</v>
      </c>
      <c r="BI46" s="89"/>
      <c r="BJ46" s="548">
        <v>40632</v>
      </c>
      <c r="BK46" s="548">
        <v>40722</v>
      </c>
      <c r="BL46" s="549">
        <v>42291</v>
      </c>
      <c r="BM46" s="547">
        <f t="shared" si="193"/>
        <v>3</v>
      </c>
      <c r="BN46" s="490"/>
      <c r="BO46" s="469"/>
      <c r="BP46" s="470"/>
      <c r="BQ46" s="481"/>
      <c r="BR46" s="481"/>
      <c r="BS46" s="55"/>
      <c r="BT46" s="55"/>
      <c r="BU46" s="150">
        <v>41313</v>
      </c>
      <c r="BV46" s="150">
        <f t="shared" si="194"/>
        <v>42408</v>
      </c>
      <c r="BW46" s="150"/>
      <c r="BX46" s="150" t="str">
        <f>IF(Tableau6[[#This Row],[Montant des loyers perçus avant 1e échéance]]&lt;BW46,"oui","non")</f>
        <v>non</v>
      </c>
      <c r="BY46" s="373">
        <f>DATEDIF(EL46,BV46,"M")</f>
        <v>23</v>
      </c>
      <c r="BZ46" s="373">
        <f t="shared" si="222"/>
        <v>163530</v>
      </c>
      <c r="CA46" s="373">
        <f>IF(BW46-BZ46&lt;0,0,Tableau6[[#This Row],[Montant échéance annuelle]]-Tableau6[[#This Row],[Montant des loyers perçus avant 1e échéance]])</f>
        <v>0</v>
      </c>
      <c r="CB46" s="64"/>
      <c r="CC46" s="64"/>
      <c r="CD46" s="64"/>
      <c r="CE46" s="273" t="str">
        <f t="shared" si="184"/>
        <v>0</v>
      </c>
      <c r="CF46" s="64"/>
      <c r="CG46" s="64"/>
      <c r="CH46" s="273" t="str">
        <f t="shared" si="185"/>
        <v>0</v>
      </c>
      <c r="CI46" s="64"/>
      <c r="CJ46" s="64"/>
      <c r="CK46" s="273" t="str">
        <f t="shared" si="186"/>
        <v>0</v>
      </c>
      <c r="CL46" s="64"/>
      <c r="CM46" s="64"/>
      <c r="CN46" s="273" t="str">
        <f t="shared" si="187"/>
        <v>0</v>
      </c>
      <c r="CO46" s="66"/>
      <c r="CP46" s="311"/>
      <c r="CQ46" s="273" t="str">
        <f t="shared" si="195"/>
        <v>0</v>
      </c>
      <c r="CR46" s="239"/>
      <c r="CS46" s="117"/>
      <c r="CT46" s="64"/>
      <c r="CU46" s="117"/>
      <c r="CV46" s="273" t="str">
        <f t="shared" si="161"/>
        <v>0</v>
      </c>
      <c r="CW46" s="64"/>
      <c r="CX46" s="182">
        <v>40940</v>
      </c>
      <c r="CY46" s="175">
        <v>2012</v>
      </c>
      <c r="CZ46" s="232">
        <f t="shared" si="196"/>
        <v>7.2666666666666666</v>
      </c>
      <c r="DA46" s="273" t="str">
        <f t="shared" si="197"/>
        <v>0</v>
      </c>
      <c r="DB46" s="66">
        <v>13</v>
      </c>
      <c r="DC46" s="66">
        <f t="shared" si="198"/>
        <v>24</v>
      </c>
      <c r="DD46" s="159"/>
      <c r="DE46" s="158"/>
      <c r="DF46" s="381" t="str">
        <f t="shared" si="199"/>
        <v>0</v>
      </c>
      <c r="DG46" s="159"/>
      <c r="DH46" s="336"/>
      <c r="DI46" s="337" t="str">
        <f t="shared" si="200"/>
        <v>0</v>
      </c>
      <c r="DJ46" s="133"/>
      <c r="DK46" s="336"/>
      <c r="DL46" s="381" t="str">
        <f t="shared" si="201"/>
        <v>0</v>
      </c>
      <c r="DM46" s="159"/>
      <c r="DN46" s="159"/>
      <c r="DO46" s="381" t="str">
        <f t="shared" si="202"/>
        <v>0</v>
      </c>
      <c r="DP46" s="159"/>
      <c r="DQ46" s="159"/>
      <c r="DR46" s="381" t="str">
        <f t="shared" si="203"/>
        <v>0</v>
      </c>
      <c r="DS46" s="159"/>
      <c r="DT46" s="159"/>
      <c r="DU46" s="381" t="str">
        <f t="shared" si="204"/>
        <v>0</v>
      </c>
      <c r="DV46" s="159"/>
      <c r="DW46" s="159"/>
      <c r="DX46" s="381" t="str">
        <f t="shared" si="205"/>
        <v>0</v>
      </c>
      <c r="DY46" s="159"/>
      <c r="DZ46" s="159"/>
      <c r="EA46" s="159"/>
      <c r="EB46" s="240">
        <f t="shared" si="206"/>
        <v>41334</v>
      </c>
      <c r="EC46" s="185">
        <v>41688</v>
      </c>
      <c r="ED46" s="402">
        <f t="shared" si="207"/>
        <v>11.8</v>
      </c>
      <c r="EE46" s="510"/>
      <c r="EF46" s="326"/>
      <c r="EG46" s="67">
        <v>41689</v>
      </c>
      <c r="EH46" s="67" t="s">
        <v>101</v>
      </c>
      <c r="EI46" s="67">
        <v>41696</v>
      </c>
      <c r="EJ46" s="326"/>
      <c r="EK46" s="455">
        <f t="shared" si="220"/>
        <v>41365</v>
      </c>
      <c r="EL46" s="185">
        <v>41696</v>
      </c>
      <c r="EM46" s="324">
        <v>2014</v>
      </c>
      <c r="EN46" s="396">
        <f t="shared" si="223"/>
        <v>11.033333333333333</v>
      </c>
      <c r="EO46" s="391">
        <v>7110</v>
      </c>
      <c r="EP46" s="117">
        <f t="shared" si="208"/>
        <v>78447</v>
      </c>
      <c r="EQ46" s="67"/>
      <c r="ER46" s="67"/>
      <c r="ES46" s="737"/>
      <c r="ET46" s="296"/>
      <c r="EU46" s="387">
        <f>HF46</f>
        <v>0</v>
      </c>
      <c r="EV46" s="300"/>
      <c r="EW46" s="300"/>
      <c r="EX46" s="300"/>
      <c r="EY46" s="416">
        <f t="shared" si="209"/>
        <v>0</v>
      </c>
      <c r="EZ46" s="297"/>
      <c r="FA46" s="308"/>
      <c r="FB46" s="297"/>
      <c r="FC46" s="297"/>
      <c r="FD46" s="89">
        <f t="shared" si="167"/>
        <v>731</v>
      </c>
      <c r="FE46" s="64"/>
      <c r="FF46" s="64"/>
      <c r="FG46" s="64"/>
      <c r="FH46" s="64"/>
      <c r="FI46" s="64">
        <v>41787</v>
      </c>
      <c r="FJ46" s="56">
        <v>42059</v>
      </c>
      <c r="FK46" s="64">
        <f t="shared" si="210"/>
        <v>42053</v>
      </c>
      <c r="FL46" s="64"/>
      <c r="FM46" s="375">
        <v>35103.575989752957</v>
      </c>
      <c r="FN46" s="64" t="s">
        <v>101</v>
      </c>
      <c r="FO46" s="64"/>
      <c r="FP46" s="64"/>
      <c r="FQ46" s="64">
        <v>41919</v>
      </c>
      <c r="FR46" s="64">
        <v>41921</v>
      </c>
      <c r="FS46" s="64"/>
      <c r="FT46" s="64" t="s">
        <v>101</v>
      </c>
      <c r="FU46" s="56">
        <v>42290</v>
      </c>
      <c r="FV46" s="56"/>
      <c r="FW46" s="56"/>
      <c r="FX46" s="56"/>
      <c r="FY46" s="95" t="s">
        <v>101</v>
      </c>
      <c r="FZ46" s="95" t="s">
        <v>101</v>
      </c>
      <c r="GA46" s="450"/>
      <c r="GB46" s="471">
        <f>GD46+GG46+GJ46+HF46+Tableau6[[#This Row],[PRÊT CREDIT D''IMPOT (PM)]]</f>
        <v>2817333</v>
      </c>
      <c r="GC46" s="644">
        <f t="shared" si="224"/>
        <v>2817333</v>
      </c>
      <c r="GD46" s="507">
        <f t="shared" si="219"/>
        <v>433682</v>
      </c>
      <c r="GE46" s="20">
        <f t="shared" si="211"/>
        <v>1966.3539856362152</v>
      </c>
      <c r="GF46" s="20">
        <f t="shared" si="212"/>
        <v>176083.3125</v>
      </c>
      <c r="GG46" s="507">
        <v>853424</v>
      </c>
      <c r="GH46" s="351"/>
      <c r="GI46" s="349">
        <f t="shared" si="225"/>
        <v>53339</v>
      </c>
      <c r="GJ46" s="507">
        <f t="shared" si="213"/>
        <v>1530227</v>
      </c>
      <c r="GK46" s="5">
        <f>+GL46+GM46</f>
        <v>1530227</v>
      </c>
      <c r="GL46" s="6">
        <v>304961</v>
      </c>
      <c r="GM46" s="6">
        <v>1225266</v>
      </c>
      <c r="GN46" s="345">
        <f t="shared" si="214"/>
        <v>95639.1875</v>
      </c>
      <c r="GO46" s="5">
        <v>0</v>
      </c>
      <c r="GP46" s="8">
        <v>380000</v>
      </c>
      <c r="GQ46" s="34"/>
      <c r="GR46" s="18">
        <f t="shared" si="215"/>
        <v>0.13487933446277028</v>
      </c>
      <c r="GS46" s="35"/>
      <c r="GT46" s="35"/>
      <c r="GU46" s="8">
        <v>53682</v>
      </c>
      <c r="GV46" s="20">
        <f t="shared" si="170"/>
        <v>23750</v>
      </c>
      <c r="GW46" s="20">
        <f t="shared" si="171"/>
        <v>77089</v>
      </c>
      <c r="GX46" s="567">
        <v>0</v>
      </c>
      <c r="GY46" s="567">
        <v>0</v>
      </c>
      <c r="GZ46" s="567" t="e">
        <f>(#REF!+#REF!+GY46)/AD46</f>
        <v>#REF!</v>
      </c>
      <c r="HA46" s="567">
        <v>0</v>
      </c>
      <c r="HB46" s="567">
        <f t="shared" si="172"/>
        <v>77089</v>
      </c>
      <c r="HC46" s="568">
        <f>(GG46+GP46+GY46+HA46)/(GX46+GB46-HD46)</f>
        <v>0.46171877778297693</v>
      </c>
      <c r="HD46" s="567">
        <v>145958</v>
      </c>
      <c r="HE46" s="567"/>
      <c r="HF46" s="507">
        <v>0</v>
      </c>
      <c r="HG46" s="633"/>
      <c r="HH46" s="634">
        <f t="shared" si="216"/>
        <v>0</v>
      </c>
      <c r="HI46" s="635">
        <f t="shared" si="173"/>
        <v>2817333</v>
      </c>
      <c r="HJ46" s="633" t="e">
        <f t="shared" ca="1" si="221"/>
        <v>#VALUE!</v>
      </c>
      <c r="HK46" s="633"/>
      <c r="HL46" s="633"/>
      <c r="HM46" s="633">
        <f t="shared" si="217"/>
        <v>433682</v>
      </c>
      <c r="HN46" s="636">
        <f t="shared" si="218"/>
        <v>0</v>
      </c>
      <c r="HO46" s="636"/>
      <c r="HP46" s="563"/>
      <c r="HQ46" s="47"/>
      <c r="HR46" s="563"/>
      <c r="HS46" s="563">
        <f>SUM(Tableau6[[#This Row],[GO]:[CARRELAGE]])</f>
        <v>0</v>
      </c>
      <c r="HT46" s="461"/>
      <c r="HU46" s="461"/>
      <c r="HV46" s="461"/>
      <c r="HW46" s="461"/>
      <c r="HX46" s="461"/>
      <c r="HY46" s="461"/>
      <c r="HZ46" s="461"/>
      <c r="IA46" s="461"/>
      <c r="IB46" s="461"/>
      <c r="IC46" s="461"/>
      <c r="ID46" s="461"/>
      <c r="IE46" s="461"/>
      <c r="IF46" s="461"/>
      <c r="IG46" s="563"/>
      <c r="IH46" s="563"/>
      <c r="II46" s="563">
        <f>HP46+HR46+Tableau6[[#This Row],[TRAVAUX BATIS]]+Tableau6[[#This Row],[HONORAIRES]]+IH46</f>
        <v>0</v>
      </c>
      <c r="IJ46" s="654">
        <f>Tableau6[[#This Row],[TOTAL PRP HT]]-Tableau6[[#This Row],[PRP TTC HORS FRAFU]]/1.021</f>
        <v>-2759385.8961802158</v>
      </c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</row>
    <row r="47" spans="1:256" ht="42.75" customHeight="1">
      <c r="A47" s="765" t="s">
        <v>83</v>
      </c>
      <c r="B47" s="2" t="s">
        <v>20</v>
      </c>
      <c r="C47" s="2" t="s">
        <v>87</v>
      </c>
      <c r="D47" s="2">
        <v>2011</v>
      </c>
      <c r="E47" s="2" t="s">
        <v>80</v>
      </c>
      <c r="F47" s="2"/>
      <c r="G47" s="423"/>
      <c r="H47" s="423"/>
      <c r="I47" s="22"/>
      <c r="J47" s="22"/>
      <c r="K47" s="215" t="s">
        <v>422</v>
      </c>
      <c r="L47" s="224"/>
      <c r="M47" s="224"/>
      <c r="N47" s="224"/>
      <c r="O47" s="103">
        <v>8131</v>
      </c>
      <c r="P47" s="103">
        <v>227747.25</v>
      </c>
      <c r="Q47" s="103">
        <v>178042</v>
      </c>
      <c r="R47" s="103" t="e">
        <f>P47/(AD47+#REF!)</f>
        <v>#REF!</v>
      </c>
      <c r="S47" s="103">
        <f t="shared" ref="S47:S52" si="226">P47/O47</f>
        <v>28.009746648628706</v>
      </c>
      <c r="T47" s="103">
        <f t="shared" ref="T47:T52" si="227">Q47/O47</f>
        <v>21.896691673840856</v>
      </c>
      <c r="U47" s="103" t="e">
        <f>Q47/(AK47+#REF!)</f>
        <v>#REF!</v>
      </c>
      <c r="V47" s="103" t="e">
        <f>Q47/(AD47+#REF!)</f>
        <v>#REF!</v>
      </c>
      <c r="W47" s="103" t="e">
        <f>O47/(AD47+#REF!)</f>
        <v>#REF!</v>
      </c>
      <c r="X47" s="104">
        <v>1079</v>
      </c>
      <c r="Y47" s="444">
        <f t="shared" si="188"/>
        <v>4.9194441028163816</v>
      </c>
      <c r="Z47" s="104" t="s">
        <v>158</v>
      </c>
      <c r="AA47" s="106"/>
      <c r="AB47" s="106"/>
      <c r="AC47" s="2" t="s">
        <v>9</v>
      </c>
      <c r="AD47" s="426">
        <f t="shared" si="189"/>
        <v>4</v>
      </c>
      <c r="AE47" s="426">
        <f t="shared" si="190"/>
        <v>4</v>
      </c>
      <c r="AF47" s="2">
        <v>4</v>
      </c>
      <c r="AG47" s="472"/>
      <c r="AH47" s="217"/>
      <c r="AI47" s="217"/>
      <c r="AJ47" s="27">
        <v>276.40999999999997</v>
      </c>
      <c r="AK47" s="225">
        <v>317.76</v>
      </c>
      <c r="AL47" s="492">
        <f t="shared" si="191"/>
        <v>69.102499999999992</v>
      </c>
      <c r="AM47" s="4">
        <f t="shared" si="192"/>
        <v>79.44</v>
      </c>
      <c r="AN47" s="26">
        <v>7.15</v>
      </c>
      <c r="AO47" s="26">
        <v>6.22</v>
      </c>
      <c r="AP47" s="26">
        <v>494</v>
      </c>
      <c r="AQ47" s="26"/>
      <c r="AR47" s="26"/>
      <c r="AS47" s="26"/>
      <c r="AT47" s="26"/>
      <c r="AU47" s="26"/>
      <c r="AV47" s="4">
        <f>830+889+461</f>
        <v>2180</v>
      </c>
      <c r="AW47" s="37">
        <v>850</v>
      </c>
      <c r="AX47" s="39">
        <f>AW47/O47</f>
        <v>0.10453818718484811</v>
      </c>
      <c r="AY47" s="26">
        <v>2.5</v>
      </c>
      <c r="AZ47" s="25" t="s">
        <v>386</v>
      </c>
      <c r="BA47" s="468" t="s">
        <v>94</v>
      </c>
      <c r="BB47" s="25"/>
      <c r="BC47" s="25"/>
      <c r="BD47" s="25"/>
      <c r="BE47" s="25"/>
      <c r="BF47" s="22"/>
      <c r="BG47" s="22"/>
      <c r="BH47" s="89">
        <v>40816</v>
      </c>
      <c r="BI47" s="89"/>
      <c r="BJ47" s="548">
        <v>40632</v>
      </c>
      <c r="BK47" s="548">
        <v>40730</v>
      </c>
      <c r="BL47" s="549">
        <v>42291</v>
      </c>
      <c r="BM47" s="547">
        <f t="shared" si="193"/>
        <v>3.2666666666666666</v>
      </c>
      <c r="BN47" s="490"/>
      <c r="BO47" s="469"/>
      <c r="BP47" s="470"/>
      <c r="BQ47" s="481"/>
      <c r="BR47" s="481"/>
      <c r="BS47" s="55"/>
      <c r="BT47" s="55"/>
      <c r="BU47" s="150">
        <v>41314</v>
      </c>
      <c r="BV47" s="150">
        <f t="shared" si="194"/>
        <v>42409</v>
      </c>
      <c r="BW47" s="150"/>
      <c r="BX47" s="150" t="str">
        <f>IF(Tableau6[[#This Row],[Montant des loyers perçus avant 1e échéance]]&lt;BW47,"oui","non")</f>
        <v>non</v>
      </c>
      <c r="BY47" s="373">
        <f>DATEDIF(EL47,BV47,"M")</f>
        <v>23</v>
      </c>
      <c r="BZ47" s="373">
        <f t="shared" si="222"/>
        <v>46805</v>
      </c>
      <c r="CA47" s="373">
        <f>IF(BW47-BZ47&lt;0,0,Tableau6[[#This Row],[Montant échéance annuelle]]-Tableau6[[#This Row],[Montant des loyers perçus avant 1e échéance]])</f>
        <v>0</v>
      </c>
      <c r="CB47" s="64"/>
      <c r="CC47" s="64"/>
      <c r="CD47" s="64"/>
      <c r="CE47" s="273" t="str">
        <f t="shared" si="184"/>
        <v>0</v>
      </c>
      <c r="CF47" s="64"/>
      <c r="CG47" s="64"/>
      <c r="CH47" s="273" t="str">
        <f t="shared" si="185"/>
        <v>0</v>
      </c>
      <c r="CI47" s="64"/>
      <c r="CJ47" s="64"/>
      <c r="CK47" s="273" t="str">
        <f t="shared" si="186"/>
        <v>0</v>
      </c>
      <c r="CL47" s="64"/>
      <c r="CM47" s="64"/>
      <c r="CN47" s="273" t="str">
        <f t="shared" si="187"/>
        <v>0</v>
      </c>
      <c r="CO47" s="66"/>
      <c r="CP47" s="311"/>
      <c r="CQ47" s="273" t="str">
        <f t="shared" si="195"/>
        <v>0</v>
      </c>
      <c r="CR47" s="239"/>
      <c r="CS47" s="117"/>
      <c r="CT47" s="64"/>
      <c r="CU47" s="117"/>
      <c r="CV47" s="273" t="str">
        <f t="shared" si="161"/>
        <v>0</v>
      </c>
      <c r="CW47" s="64"/>
      <c r="CX47" s="182">
        <v>40940</v>
      </c>
      <c r="CY47" s="175">
        <v>2012</v>
      </c>
      <c r="CZ47" s="232">
        <f t="shared" si="196"/>
        <v>7</v>
      </c>
      <c r="DA47" s="273" t="str">
        <f t="shared" si="197"/>
        <v>0</v>
      </c>
      <c r="DB47" s="66">
        <v>13</v>
      </c>
      <c r="DC47" s="66">
        <f t="shared" si="198"/>
        <v>24</v>
      </c>
      <c r="DD47" s="159"/>
      <c r="DE47" s="158"/>
      <c r="DF47" s="381" t="str">
        <f t="shared" si="199"/>
        <v>0</v>
      </c>
      <c r="DG47" s="159"/>
      <c r="DH47" s="336"/>
      <c r="DI47" s="337" t="str">
        <f t="shared" si="200"/>
        <v>0</v>
      </c>
      <c r="DJ47" s="133"/>
      <c r="DK47" s="159"/>
      <c r="DL47" s="381" t="str">
        <f t="shared" si="201"/>
        <v>0</v>
      </c>
      <c r="DM47" s="159"/>
      <c r="DN47" s="159"/>
      <c r="DO47" s="381" t="str">
        <f t="shared" si="202"/>
        <v>0</v>
      </c>
      <c r="DP47" s="159"/>
      <c r="DQ47" s="159"/>
      <c r="DR47" s="381" t="str">
        <f t="shared" si="203"/>
        <v>0</v>
      </c>
      <c r="DS47" s="159"/>
      <c r="DT47" s="159"/>
      <c r="DU47" s="381" t="str">
        <f t="shared" si="204"/>
        <v>0</v>
      </c>
      <c r="DV47" s="159"/>
      <c r="DW47" s="159"/>
      <c r="DX47" s="381" t="str">
        <f t="shared" si="205"/>
        <v>0</v>
      </c>
      <c r="DY47" s="159"/>
      <c r="DZ47" s="159"/>
      <c r="EA47" s="159"/>
      <c r="EB47" s="240">
        <f t="shared" si="206"/>
        <v>41334</v>
      </c>
      <c r="EC47" s="185">
        <v>41688</v>
      </c>
      <c r="ED47" s="402">
        <f t="shared" si="207"/>
        <v>11.8</v>
      </c>
      <c r="EE47" s="510"/>
      <c r="EF47" s="326"/>
      <c r="EG47" s="67">
        <v>41689</v>
      </c>
      <c r="EH47" s="67" t="s">
        <v>101</v>
      </c>
      <c r="EI47" s="67">
        <v>41696</v>
      </c>
      <c r="EJ47" s="326"/>
      <c r="EK47" s="455">
        <f t="shared" si="220"/>
        <v>41365</v>
      </c>
      <c r="EL47" s="185">
        <v>41696</v>
      </c>
      <c r="EM47" s="324">
        <v>2014</v>
      </c>
      <c r="EN47" s="396">
        <f t="shared" si="223"/>
        <v>11.033333333333333</v>
      </c>
      <c r="EO47" s="391">
        <v>2035</v>
      </c>
      <c r="EP47" s="117">
        <f t="shared" si="208"/>
        <v>22452.833333333332</v>
      </c>
      <c r="EQ47" s="67"/>
      <c r="ER47" s="67"/>
      <c r="ES47" s="737"/>
      <c r="ET47" s="296"/>
      <c r="EU47" s="387">
        <f>HF47</f>
        <v>0</v>
      </c>
      <c r="EV47" s="300"/>
      <c r="EW47" s="300"/>
      <c r="EX47" s="300"/>
      <c r="EY47" s="416">
        <f t="shared" si="209"/>
        <v>0</v>
      </c>
      <c r="EZ47" s="301"/>
      <c r="FA47" s="315"/>
      <c r="FB47" s="301"/>
      <c r="FC47" s="301"/>
      <c r="FD47" s="89">
        <f t="shared" si="167"/>
        <v>731</v>
      </c>
      <c r="FE47" s="64"/>
      <c r="FF47" s="64"/>
      <c r="FG47" s="64"/>
      <c r="FH47" s="64"/>
      <c r="FI47" s="64">
        <v>41787</v>
      </c>
      <c r="FJ47" s="56">
        <v>42059</v>
      </c>
      <c r="FK47" s="64">
        <f t="shared" si="210"/>
        <v>42053</v>
      </c>
      <c r="FL47" s="64"/>
      <c r="FM47" s="375">
        <v>7942.4140102470437</v>
      </c>
      <c r="FN47" s="64" t="s">
        <v>101</v>
      </c>
      <c r="FO47" s="64"/>
      <c r="FP47" s="64"/>
      <c r="FQ47" s="64">
        <v>41919</v>
      </c>
      <c r="FR47" s="64">
        <v>41921</v>
      </c>
      <c r="FS47" s="64"/>
      <c r="FT47" s="64" t="s">
        <v>101</v>
      </c>
      <c r="FU47" s="56">
        <v>42290</v>
      </c>
      <c r="FV47" s="56"/>
      <c r="FW47" s="56"/>
      <c r="FX47" s="56"/>
      <c r="FY47" s="64"/>
      <c r="FZ47" s="64" t="s">
        <v>101</v>
      </c>
      <c r="GA47" s="450"/>
      <c r="GB47" s="471">
        <f>GD47+GG47+GJ47+HF47+Tableau6[[#This Row],[PRÊT CREDIT D''IMPOT (PM)]]</f>
        <v>642137</v>
      </c>
      <c r="GC47" s="644">
        <f t="shared" si="224"/>
        <v>642137</v>
      </c>
      <c r="GD47" s="507">
        <f t="shared" si="219"/>
        <v>131725</v>
      </c>
      <c r="GE47" s="20">
        <f t="shared" si="211"/>
        <v>2020.8238922457201</v>
      </c>
      <c r="GF47" s="20">
        <f t="shared" si="212"/>
        <v>160534.25</v>
      </c>
      <c r="GG47" s="507">
        <v>75000</v>
      </c>
      <c r="GH47" s="351"/>
      <c r="GI47" s="349">
        <f t="shared" si="225"/>
        <v>18750</v>
      </c>
      <c r="GJ47" s="507">
        <f t="shared" si="213"/>
        <v>435412</v>
      </c>
      <c r="GK47" s="5">
        <f>+GL47+GM47</f>
        <v>335412</v>
      </c>
      <c r="GL47" s="6">
        <v>85556</v>
      </c>
      <c r="GM47" s="6">
        <v>249856</v>
      </c>
      <c r="GN47" s="345">
        <f t="shared" si="214"/>
        <v>83853</v>
      </c>
      <c r="GO47" s="5">
        <v>100000</v>
      </c>
      <c r="GP47" s="8">
        <v>119398</v>
      </c>
      <c r="GQ47" s="34"/>
      <c r="GR47" s="18">
        <f t="shared" si="215"/>
        <v>0.18593851467833189</v>
      </c>
      <c r="GS47" s="35"/>
      <c r="GT47" s="35"/>
      <c r="GU47" s="8">
        <v>12327</v>
      </c>
      <c r="GV47" s="20">
        <f t="shared" si="170"/>
        <v>29849.5</v>
      </c>
      <c r="GW47" s="20">
        <f t="shared" si="171"/>
        <v>48599.5</v>
      </c>
      <c r="GX47" s="567">
        <v>1087937.9071325003</v>
      </c>
      <c r="GY47" s="567">
        <v>400000</v>
      </c>
      <c r="GZ47" s="567" t="e">
        <f>(#REF!+#REF!+GY47)/AD47</f>
        <v>#REF!</v>
      </c>
      <c r="HA47" s="567">
        <v>474274.71</v>
      </c>
      <c r="HB47" s="567">
        <f t="shared" si="172"/>
        <v>267168.17749999999</v>
      </c>
      <c r="HC47" s="568">
        <f>(GG47+GP47+GY47+HA47)/(GX47+GB47-HD47)</f>
        <v>0.62937481320481981</v>
      </c>
      <c r="HD47" s="567">
        <v>32084</v>
      </c>
      <c r="HE47" s="567"/>
      <c r="HF47" s="507">
        <v>0</v>
      </c>
      <c r="HG47" s="633"/>
      <c r="HH47" s="634">
        <f t="shared" si="216"/>
        <v>0</v>
      </c>
      <c r="HI47" s="635">
        <f t="shared" si="173"/>
        <v>642137</v>
      </c>
      <c r="HJ47" s="633" t="e">
        <f t="shared" ca="1" si="221"/>
        <v>#VALUE!</v>
      </c>
      <c r="HK47" s="633"/>
      <c r="HL47" s="633"/>
      <c r="HM47" s="633">
        <f t="shared" si="217"/>
        <v>131725</v>
      </c>
      <c r="HN47" s="636">
        <f t="shared" si="218"/>
        <v>0</v>
      </c>
      <c r="HO47" s="636"/>
      <c r="HP47" s="563"/>
      <c r="HQ47" s="47"/>
      <c r="HR47" s="563"/>
      <c r="HS47" s="563">
        <f>SUM(Tableau6[[#This Row],[GO]:[CARRELAGE]])</f>
        <v>0</v>
      </c>
      <c r="HT47" s="461"/>
      <c r="HU47" s="461"/>
      <c r="HV47" s="461"/>
      <c r="HW47" s="461"/>
      <c r="HX47" s="461"/>
      <c r="HY47" s="461"/>
      <c r="HZ47" s="461"/>
      <c r="IA47" s="461"/>
      <c r="IB47" s="461"/>
      <c r="IC47" s="461"/>
      <c r="ID47" s="461"/>
      <c r="IE47" s="461"/>
      <c r="IF47" s="461"/>
      <c r="IG47" s="563"/>
      <c r="IH47" s="563"/>
      <c r="II47" s="563">
        <f>HP47+HR47+Tableau6[[#This Row],[TRAVAUX BATIS]]+Tableau6[[#This Row],[HONORAIRES]]+IH47</f>
        <v>0</v>
      </c>
      <c r="IJ47" s="654">
        <f>Tableau6[[#This Row],[TOTAL PRP HT]]-Tableau6[[#This Row],[PRP TTC HORS FRAFU]]/1.021</f>
        <v>-628929.48090107739</v>
      </c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</row>
    <row r="48" spans="1:256" ht="45" customHeight="1">
      <c r="A48" s="603" t="s">
        <v>647</v>
      </c>
      <c r="B48" s="2" t="s">
        <v>189</v>
      </c>
      <c r="C48" s="2" t="s">
        <v>88</v>
      </c>
      <c r="D48" s="2">
        <v>2016</v>
      </c>
      <c r="E48" s="2" t="s">
        <v>392</v>
      </c>
      <c r="F48" s="2" t="s">
        <v>40</v>
      </c>
      <c r="G48" s="2" t="s">
        <v>860</v>
      </c>
      <c r="H48" s="2" t="s">
        <v>181</v>
      </c>
      <c r="I48" s="22"/>
      <c r="J48" s="22" t="s">
        <v>687</v>
      </c>
      <c r="K48" s="134"/>
      <c r="L48" s="78"/>
      <c r="M48" s="51"/>
      <c r="N48" s="52"/>
      <c r="O48" s="103">
        <v>807</v>
      </c>
      <c r="P48" s="103">
        <v>250272</v>
      </c>
      <c r="Q48" s="103">
        <v>250272</v>
      </c>
      <c r="R48" s="103">
        <f>P48/AD48</f>
        <v>10881.391304347826</v>
      </c>
      <c r="S48" s="103">
        <f t="shared" si="226"/>
        <v>310.12639405204459</v>
      </c>
      <c r="T48" s="109">
        <f t="shared" si="227"/>
        <v>310.12639405204459</v>
      </c>
      <c r="U48" s="109">
        <f>Q48/AK48</f>
        <v>162.92583213441748</v>
      </c>
      <c r="V48" s="109">
        <f>Q48/AD48</f>
        <v>10881.391304347826</v>
      </c>
      <c r="W48" s="103">
        <f>O48/AD48</f>
        <v>35.086956521739133</v>
      </c>
      <c r="X48" s="104"/>
      <c r="Y48" s="447">
        <f t="shared" si="188"/>
        <v>285.00619578686491</v>
      </c>
      <c r="Z48" s="104"/>
      <c r="AA48" s="106">
        <v>270</v>
      </c>
      <c r="AB48" s="107"/>
      <c r="AC48" s="2" t="s">
        <v>10</v>
      </c>
      <c r="AD48" s="426">
        <f t="shared" si="189"/>
        <v>23</v>
      </c>
      <c r="AE48" s="426">
        <f t="shared" si="190"/>
        <v>23</v>
      </c>
      <c r="AF48" s="3"/>
      <c r="AG48" s="2">
        <v>23</v>
      </c>
      <c r="AH48" s="32"/>
      <c r="AI48" s="32"/>
      <c r="AJ48" s="614">
        <v>1332.5</v>
      </c>
      <c r="AK48" s="225">
        <v>1536.11</v>
      </c>
      <c r="AL48" s="492">
        <f t="shared" si="191"/>
        <v>57.934782608695649</v>
      </c>
      <c r="AM48" s="4">
        <f t="shared" si="192"/>
        <v>66.787391304347821</v>
      </c>
      <c r="AN48" s="26">
        <v>6.4</v>
      </c>
      <c r="AO48" s="26">
        <v>5.55</v>
      </c>
      <c r="AP48" s="26">
        <v>370.82</v>
      </c>
      <c r="AQ48" s="39"/>
      <c r="AR48" s="39"/>
      <c r="AS48" s="39"/>
      <c r="AT48" s="39"/>
      <c r="AU48" s="39"/>
      <c r="AV48" s="4"/>
      <c r="AW48" s="37"/>
      <c r="AX48" s="39"/>
      <c r="AY48" s="26">
        <v>4</v>
      </c>
      <c r="AZ48" s="25" t="s">
        <v>386</v>
      </c>
      <c r="BA48" s="2" t="s">
        <v>94</v>
      </c>
      <c r="BB48" s="28">
        <v>2973918</v>
      </c>
      <c r="BC48" s="437">
        <f>BB48/AJ48</f>
        <v>2231.8333958724202</v>
      </c>
      <c r="BD48" s="438">
        <f>BB48/AK48</f>
        <v>1936.0058849952154</v>
      </c>
      <c r="BE48" s="334">
        <f>BB48/AD48</f>
        <v>129300.78260869565</v>
      </c>
      <c r="BF48" s="122"/>
      <c r="BG48" s="122"/>
      <c r="BH48" s="122"/>
      <c r="BI48" s="122"/>
      <c r="BJ48" s="548">
        <v>42459</v>
      </c>
      <c r="BK48" s="548">
        <v>42543</v>
      </c>
      <c r="BL48" s="549"/>
      <c r="BM48" s="547">
        <f t="shared" si="193"/>
        <v>2.8</v>
      </c>
      <c r="BN48" s="490"/>
      <c r="BO48" s="76">
        <v>42606</v>
      </c>
      <c r="BP48" s="99">
        <v>42620</v>
      </c>
      <c r="BQ48" s="536">
        <f>(DATEDIF(BO48,BP48,"d"))/30</f>
        <v>0.46666666666666667</v>
      </c>
      <c r="BR48" s="100"/>
      <c r="BS48" s="77">
        <v>42711</v>
      </c>
      <c r="BT48" s="77">
        <v>42654</v>
      </c>
      <c r="BU48" s="151">
        <v>42736</v>
      </c>
      <c r="BV48" s="150">
        <f t="shared" si="194"/>
        <v>43831</v>
      </c>
      <c r="BW48" s="373">
        <f>41656+6870</f>
        <v>48526</v>
      </c>
      <c r="BX48" s="150" t="str">
        <f>IF(Tableau6[[#This Row],[Montant des loyers perçus avant 1e échéance]]&lt;BW48,"oui","non")</f>
        <v>non</v>
      </c>
      <c r="BY48" s="373">
        <f t="shared" ref="BY48:BY53" si="228">(BV48-EL48)/30</f>
        <v>19.633333333333333</v>
      </c>
      <c r="BZ48" s="373">
        <f t="shared" si="222"/>
        <v>184339.87998276405</v>
      </c>
      <c r="CA48" s="373">
        <f>IF(BW48-BZ48&lt;0,0,Tableau6[[#This Row],[Montant échéance annuelle]]-Tableau6[[#This Row],[Montant des loyers perçus avant 1e échéance]])</f>
        <v>0</v>
      </c>
      <c r="CB48" s="64"/>
      <c r="CC48" s="64"/>
      <c r="CD48" s="64"/>
      <c r="CE48" s="273" t="str">
        <f t="shared" si="184"/>
        <v>0</v>
      </c>
      <c r="CF48" s="64">
        <v>42041</v>
      </c>
      <c r="CG48" s="64">
        <v>42041</v>
      </c>
      <c r="CH48" s="273">
        <f t="shared" si="185"/>
        <v>0</v>
      </c>
      <c r="CI48" s="64"/>
      <c r="CJ48" s="64"/>
      <c r="CK48" s="273" t="str">
        <f t="shared" si="186"/>
        <v>0</v>
      </c>
      <c r="CL48" s="64"/>
      <c r="CM48" s="64"/>
      <c r="CN48" s="273" t="str">
        <f t="shared" si="187"/>
        <v>0</v>
      </c>
      <c r="CO48" s="64"/>
      <c r="CP48" s="64"/>
      <c r="CQ48" s="273" t="str">
        <f t="shared" si="195"/>
        <v>0</v>
      </c>
      <c r="CR48" s="483"/>
      <c r="CS48" s="159"/>
      <c r="CT48" s="159"/>
      <c r="CU48" s="117"/>
      <c r="CV48" s="294" t="str">
        <f t="shared" si="161"/>
        <v>0</v>
      </c>
      <c r="CW48" s="159">
        <v>42741</v>
      </c>
      <c r="CX48" s="229">
        <v>42583</v>
      </c>
      <c r="CY48" s="484">
        <v>2016</v>
      </c>
      <c r="CZ48" s="449">
        <f t="shared" si="196"/>
        <v>1.3333333333333333</v>
      </c>
      <c r="DA48" s="294">
        <f t="shared" si="197"/>
        <v>-158</v>
      </c>
      <c r="DB48" s="128">
        <v>18</v>
      </c>
      <c r="DC48" s="59">
        <f t="shared" si="198"/>
        <v>20</v>
      </c>
      <c r="DD48" s="226"/>
      <c r="DE48" s="64"/>
      <c r="DF48" s="294" t="str">
        <f t="shared" si="199"/>
        <v>0</v>
      </c>
      <c r="DG48" s="159">
        <v>42712</v>
      </c>
      <c r="DH48" s="309">
        <v>42712</v>
      </c>
      <c r="DI48" s="310">
        <f t="shared" si="200"/>
        <v>0</v>
      </c>
      <c r="DJ48" s="64"/>
      <c r="DK48" s="309">
        <v>42994</v>
      </c>
      <c r="DL48" s="273" t="str">
        <f t="shared" si="201"/>
        <v>0</v>
      </c>
      <c r="DM48" s="64"/>
      <c r="DN48" s="64">
        <v>43024</v>
      </c>
      <c r="DO48" s="273" t="str">
        <f t="shared" si="202"/>
        <v>0</v>
      </c>
      <c r="DP48" s="64">
        <v>42946</v>
      </c>
      <c r="DQ48" s="64">
        <v>43053</v>
      </c>
      <c r="DR48" s="273">
        <f t="shared" si="203"/>
        <v>107</v>
      </c>
      <c r="DS48" s="64">
        <v>42977</v>
      </c>
      <c r="DT48" s="64">
        <v>43053</v>
      </c>
      <c r="DU48" s="273">
        <f t="shared" si="204"/>
        <v>76</v>
      </c>
      <c r="DV48" s="64">
        <v>43189</v>
      </c>
      <c r="DW48" s="64">
        <f ca="1">IF(DV48&lt;TODAY(),TODAY(),DV48)</f>
        <v>43998</v>
      </c>
      <c r="DX48" s="273">
        <f t="shared" ca="1" si="205"/>
        <v>809</v>
      </c>
      <c r="DY48" s="64">
        <v>43203</v>
      </c>
      <c r="DZ48" s="64">
        <v>43203</v>
      </c>
      <c r="EA48" s="64">
        <v>43203</v>
      </c>
      <c r="EB48" s="327">
        <f t="shared" si="206"/>
        <v>43132</v>
      </c>
      <c r="EC48" s="323">
        <v>43210</v>
      </c>
      <c r="ED48" s="401">
        <f t="shared" si="207"/>
        <v>2.6</v>
      </c>
      <c r="EE48" s="511">
        <f ca="1">IF(((EC48-TODAY())/30)&lt;0,0,(EC48-TODAY())/30)</f>
        <v>0</v>
      </c>
      <c r="EF48" s="240"/>
      <c r="EG48" s="125">
        <v>43210</v>
      </c>
      <c r="EH48" s="160">
        <v>43024</v>
      </c>
      <c r="EI48" s="58" t="s">
        <v>101</v>
      </c>
      <c r="EJ48" s="240"/>
      <c r="EK48" s="455">
        <f t="shared" si="220"/>
        <v>43160</v>
      </c>
      <c r="EL48" s="229">
        <v>43242</v>
      </c>
      <c r="EM48" s="230">
        <v>2018</v>
      </c>
      <c r="EN48" s="399">
        <f t="shared" si="223"/>
        <v>2.7333333333333334</v>
      </c>
      <c r="EO48" s="389">
        <v>9389.1280127044502</v>
      </c>
      <c r="EP48" s="158">
        <f t="shared" si="208"/>
        <v>25663.616568058831</v>
      </c>
      <c r="EQ48" s="159">
        <v>43181</v>
      </c>
      <c r="ER48" s="159">
        <v>43396</v>
      </c>
      <c r="ES48" s="133">
        <f>(Tableau6[[#This Row],[Date inauguration recalée]]-ER48)/30</f>
        <v>-5.1333333333333337</v>
      </c>
      <c r="ET48" s="300">
        <v>0</v>
      </c>
      <c r="EU48" s="300">
        <v>0</v>
      </c>
      <c r="EV48" s="300">
        <v>0</v>
      </c>
      <c r="EW48" s="300"/>
      <c r="EX48" s="300">
        <v>0</v>
      </c>
      <c r="EY48" s="416">
        <f t="shared" si="209"/>
        <v>0</v>
      </c>
      <c r="EZ48" s="297" t="s">
        <v>500</v>
      </c>
      <c r="FA48" s="356"/>
      <c r="FB48" s="356"/>
      <c r="FC48" s="357"/>
      <c r="FD48" s="89">
        <f t="shared" si="167"/>
        <v>43442</v>
      </c>
      <c r="FE48" s="64" t="s">
        <v>101</v>
      </c>
      <c r="FF48" s="64" t="s">
        <v>101</v>
      </c>
      <c r="FG48" s="64" t="s">
        <v>101</v>
      </c>
      <c r="FH48" s="64" t="s">
        <v>101</v>
      </c>
      <c r="FI48" s="64">
        <v>43334</v>
      </c>
      <c r="FJ48" s="57" t="s">
        <v>101</v>
      </c>
      <c r="FK48" s="159">
        <f t="shared" si="210"/>
        <v>43575</v>
      </c>
      <c r="FL48" s="159"/>
      <c r="FM48" s="380"/>
      <c r="FN48" s="22"/>
      <c r="FO48" s="22" t="s">
        <v>101</v>
      </c>
      <c r="FP48" s="22"/>
      <c r="FQ48" s="22"/>
      <c r="FR48" s="22"/>
      <c r="FS48" s="22"/>
      <c r="FT48" s="22"/>
      <c r="FU48" s="88" t="s">
        <v>666</v>
      </c>
      <c r="FV48" s="22"/>
      <c r="FW48" s="56">
        <v>43315</v>
      </c>
      <c r="FX48" s="22"/>
      <c r="FY48" s="119">
        <v>43671</v>
      </c>
      <c r="FZ48" s="22"/>
      <c r="GA48" s="451"/>
      <c r="GB48" s="471">
        <f>GD48+GG48+GJ48+HF48+Tableau6[[#This Row],[PRÊT CREDIT D''IMPOT (PM)]]</f>
        <v>3202767</v>
      </c>
      <c r="GC48" s="644">
        <f t="shared" si="224"/>
        <v>3202767</v>
      </c>
      <c r="GD48" s="507">
        <f t="shared" si="219"/>
        <v>529000</v>
      </c>
      <c r="GE48" s="20">
        <f t="shared" si="211"/>
        <v>2084.9854502607236</v>
      </c>
      <c r="GF48" s="20">
        <f t="shared" si="212"/>
        <v>139250.73913043478</v>
      </c>
      <c r="GG48" s="507">
        <v>901691</v>
      </c>
      <c r="GH48" s="478"/>
      <c r="GI48" s="11">
        <f t="shared" si="225"/>
        <v>39203.956521739128</v>
      </c>
      <c r="GJ48" s="507">
        <f t="shared" si="213"/>
        <v>1772076</v>
      </c>
      <c r="GK48" s="5">
        <f>GL48+GM48</f>
        <v>1772076</v>
      </c>
      <c r="GL48" s="6">
        <v>296327</v>
      </c>
      <c r="GM48" s="6">
        <v>1475749</v>
      </c>
      <c r="GN48" s="345">
        <f t="shared" si="214"/>
        <v>77046.782608695648</v>
      </c>
      <c r="GO48" s="5"/>
      <c r="GP48" s="5">
        <v>529000</v>
      </c>
      <c r="GQ48" s="35"/>
      <c r="GR48" s="18">
        <f t="shared" si="215"/>
        <v>0.16516967984246123</v>
      </c>
      <c r="GS48" s="45"/>
      <c r="GT48" s="45"/>
      <c r="GU48" s="5"/>
      <c r="GV48" s="20">
        <f t="shared" si="170"/>
        <v>23000</v>
      </c>
      <c r="GW48" s="20">
        <f t="shared" si="171"/>
        <v>62203.956521739128</v>
      </c>
      <c r="GX48" s="567"/>
      <c r="GY48" s="567"/>
      <c r="GZ48" s="567" t="e">
        <f>(#REF!+#REF!+GY48)/AD48</f>
        <v>#REF!</v>
      </c>
      <c r="HA48" s="567"/>
      <c r="HB48" s="567">
        <f t="shared" si="172"/>
        <v>62203.956521739128</v>
      </c>
      <c r="HC48" s="568" t="e">
        <f>(#REF!+#REF!+GY48+HA48)/(GX48+#REF!-HD48)</f>
        <v>#REF!</v>
      </c>
      <c r="HD48" s="567"/>
      <c r="HE48" s="567"/>
      <c r="HF48" s="507"/>
      <c r="HG48" s="637">
        <v>3202766.9997900003</v>
      </c>
      <c r="HH48" s="634">
        <f t="shared" si="216"/>
        <v>0.99999999993443178</v>
      </c>
      <c r="HI48" s="635">
        <f t="shared" si="173"/>
        <v>2.0999973639845848E-4</v>
      </c>
      <c r="HJ48" s="633" t="e">
        <f t="shared" ca="1" si="221"/>
        <v>#VALUE!</v>
      </c>
      <c r="HK48" s="634" t="e">
        <f ca="1">(HJ48+HG48)/GB48</f>
        <v>#VALUE!</v>
      </c>
      <c r="HL48" s="633">
        <f>'[1]GLOBAL OPERATION'!$AG$44</f>
        <v>2949865</v>
      </c>
      <c r="HM48" s="633">
        <f t="shared" si="217"/>
        <v>-2420865</v>
      </c>
      <c r="HN48" s="634">
        <f t="shared" si="218"/>
        <v>5.5763043478260865</v>
      </c>
      <c r="HO48" s="634"/>
      <c r="HP48" s="563"/>
      <c r="HQ48" s="47"/>
      <c r="HR48" s="563"/>
      <c r="HS48" s="563">
        <f>SUM(Tableau6[[#This Row],[GO]:[CARRELAGE]])</f>
        <v>0</v>
      </c>
      <c r="HT48" s="461"/>
      <c r="HU48" s="461"/>
      <c r="HV48" s="461"/>
      <c r="HW48" s="461"/>
      <c r="HX48" s="461"/>
      <c r="HY48" s="461"/>
      <c r="HZ48" s="461"/>
      <c r="IA48" s="461"/>
      <c r="IB48" s="461"/>
      <c r="IC48" s="461"/>
      <c r="ID48" s="461"/>
      <c r="IE48" s="461"/>
      <c r="IF48" s="461"/>
      <c r="IG48" s="563"/>
      <c r="IH48" s="563"/>
      <c r="II48" s="563">
        <f>HP48+HR48+Tableau6[[#This Row],[TRAVAUX BATIS]]+Tableau6[[#This Row],[HONORAIRES]]+IH48</f>
        <v>0</v>
      </c>
      <c r="IJ48" s="654">
        <f>Tableau6[[#This Row],[TOTAL PRP HT]]-Tableau6[[#This Row],[PRP TTC HORS FRAFU]]/1.021</f>
        <v>-3136892.2624877575</v>
      </c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</row>
    <row r="49" spans="1:256" ht="51.75" customHeight="1">
      <c r="A49" s="360" t="s">
        <v>55</v>
      </c>
      <c r="B49" s="2" t="s">
        <v>21</v>
      </c>
      <c r="C49" s="2" t="s">
        <v>86</v>
      </c>
      <c r="D49" s="22">
        <v>2012</v>
      </c>
      <c r="E49" s="22" t="s">
        <v>63</v>
      </c>
      <c r="F49" s="22"/>
      <c r="G49" s="57" t="s">
        <v>139</v>
      </c>
      <c r="H49" s="22" t="s">
        <v>181</v>
      </c>
      <c r="I49" s="22"/>
      <c r="J49" s="22"/>
      <c r="K49" s="134"/>
      <c r="L49" s="780"/>
      <c r="M49" s="780"/>
      <c r="N49" s="780"/>
      <c r="O49" s="103">
        <v>7275</v>
      </c>
      <c r="P49" s="103">
        <f>Q49</f>
        <v>773000</v>
      </c>
      <c r="Q49" s="103">
        <v>773000</v>
      </c>
      <c r="R49" s="103">
        <f>P49/AD49</f>
        <v>9202.3809523809523</v>
      </c>
      <c r="S49" s="103">
        <f t="shared" si="226"/>
        <v>106.25429553264605</v>
      </c>
      <c r="T49" s="103">
        <f t="shared" si="227"/>
        <v>106.25429553264605</v>
      </c>
      <c r="U49" s="103">
        <f>Q49/AK49</f>
        <v>168.94476183815397</v>
      </c>
      <c r="V49" s="103">
        <f>Q49/AD49</f>
        <v>9202.3809523809523</v>
      </c>
      <c r="W49" s="103">
        <f>O49/AD49</f>
        <v>86.607142857142861</v>
      </c>
      <c r="X49" s="103"/>
      <c r="Y49" s="444">
        <f t="shared" si="188"/>
        <v>115.4639175257732</v>
      </c>
      <c r="Z49" s="104" t="s">
        <v>142</v>
      </c>
      <c r="AA49" s="104">
        <v>530</v>
      </c>
      <c r="AB49" s="105">
        <v>0.1</v>
      </c>
      <c r="AC49" s="22" t="s">
        <v>9</v>
      </c>
      <c r="AD49" s="426">
        <f t="shared" si="189"/>
        <v>84</v>
      </c>
      <c r="AE49" s="426">
        <f t="shared" si="190"/>
        <v>84</v>
      </c>
      <c r="AF49" s="22">
        <v>84</v>
      </c>
      <c r="AG49" s="32"/>
      <c r="AH49" s="217"/>
      <c r="AI49" s="217"/>
      <c r="AJ49" s="26">
        <v>4463.57</v>
      </c>
      <c r="AK49" s="222">
        <v>4575.46</v>
      </c>
      <c r="AL49" s="492">
        <f t="shared" si="191"/>
        <v>53.137738095238092</v>
      </c>
      <c r="AM49" s="26">
        <f t="shared" si="192"/>
        <v>54.469761904761903</v>
      </c>
      <c r="AN49" s="26">
        <v>7.3159053994896448</v>
      </c>
      <c r="AO49" s="26">
        <v>7.1369995287905477</v>
      </c>
      <c r="AP49" s="26">
        <v>388.75066504761912</v>
      </c>
      <c r="AQ49" s="28"/>
      <c r="AR49" s="28"/>
      <c r="AS49" s="28"/>
      <c r="AT49" s="28"/>
      <c r="AU49" s="28"/>
      <c r="AV49" s="26">
        <v>2038</v>
      </c>
      <c r="AW49" s="37">
        <v>0</v>
      </c>
      <c r="AX49" s="39">
        <f>AW49/O49</f>
        <v>0</v>
      </c>
      <c r="AY49" s="26">
        <v>4</v>
      </c>
      <c r="AZ49" s="25" t="s">
        <v>386</v>
      </c>
      <c r="BA49" s="26" t="s">
        <v>94</v>
      </c>
      <c r="BB49" s="26"/>
      <c r="BC49" s="26"/>
      <c r="BD49" s="26"/>
      <c r="BE49" s="26"/>
      <c r="BF49" s="22"/>
      <c r="BG49" s="22"/>
      <c r="BH49" s="89">
        <v>40963</v>
      </c>
      <c r="BI49" s="89"/>
      <c r="BJ49" s="548">
        <v>40998</v>
      </c>
      <c r="BK49" s="548">
        <v>41144</v>
      </c>
      <c r="BL49" s="549">
        <v>42481</v>
      </c>
      <c r="BM49" s="547">
        <f t="shared" si="193"/>
        <v>4.8666666666666663</v>
      </c>
      <c r="BN49" s="490"/>
      <c r="BO49" s="50"/>
      <c r="BP49" s="525">
        <v>41285</v>
      </c>
      <c r="BQ49" s="481"/>
      <c r="BR49" s="525"/>
      <c r="BS49" s="77">
        <f>DATE(YEAR(BP49),MONTH(BP49)+3,DAY(BP49))</f>
        <v>41375</v>
      </c>
      <c r="BT49" s="50"/>
      <c r="BU49" s="150">
        <v>41395</v>
      </c>
      <c r="BV49" s="150">
        <f t="shared" si="194"/>
        <v>42491</v>
      </c>
      <c r="BW49" s="373">
        <f>65495+213929</f>
        <v>279424</v>
      </c>
      <c r="BX49" s="150" t="str">
        <f>IF(Tableau6[[#This Row],[Montant des loyers perçus avant 1e échéance]]&lt;BW49,"oui","non")</f>
        <v>non</v>
      </c>
      <c r="BY49" s="475">
        <f t="shared" si="228"/>
        <v>17.866666666666667</v>
      </c>
      <c r="BZ49" s="373">
        <f t="shared" si="222"/>
        <v>601071.38137114421</v>
      </c>
      <c r="CA49" s="373">
        <f>IF(BW49-BZ49&lt;0,0,Tableau6[[#This Row],[Montant échéance annuelle]]-Tableau6[[#This Row],[Montant des loyers perçus avant 1e échéance]])</f>
        <v>0</v>
      </c>
      <c r="CB49" s="64"/>
      <c r="CC49" s="64"/>
      <c r="CD49" s="64"/>
      <c r="CE49" s="273" t="str">
        <f t="shared" si="184"/>
        <v>0</v>
      </c>
      <c r="CF49" s="64"/>
      <c r="CG49" s="64"/>
      <c r="CH49" s="273" t="str">
        <f t="shared" si="185"/>
        <v>0</v>
      </c>
      <c r="CI49" s="64"/>
      <c r="CJ49" s="64"/>
      <c r="CK49" s="273" t="str">
        <f t="shared" si="186"/>
        <v>0</v>
      </c>
      <c r="CL49" s="64"/>
      <c r="CM49" s="64"/>
      <c r="CN49" s="273" t="str">
        <f t="shared" si="187"/>
        <v>0</v>
      </c>
      <c r="CO49" s="66"/>
      <c r="CP49" s="311"/>
      <c r="CQ49" s="273" t="str">
        <f t="shared" si="195"/>
        <v>0</v>
      </c>
      <c r="CR49" s="239"/>
      <c r="CS49" s="117"/>
      <c r="CT49" s="64"/>
      <c r="CU49" s="117"/>
      <c r="CV49" s="273" t="str">
        <f t="shared" si="161"/>
        <v>0</v>
      </c>
      <c r="CW49" s="64"/>
      <c r="CX49" s="183">
        <v>41295</v>
      </c>
      <c r="CY49" s="175">
        <v>2013</v>
      </c>
      <c r="CZ49" s="232">
        <f t="shared" si="196"/>
        <v>5.0333333333333332</v>
      </c>
      <c r="DA49" s="273" t="str">
        <f t="shared" si="197"/>
        <v>0</v>
      </c>
      <c r="DB49" s="59">
        <v>19</v>
      </c>
      <c r="DC49" s="59">
        <f t="shared" si="198"/>
        <v>20</v>
      </c>
      <c r="DD49" s="159"/>
      <c r="DE49" s="158"/>
      <c r="DF49" s="381" t="str">
        <f t="shared" si="199"/>
        <v>0</v>
      </c>
      <c r="DG49" s="159"/>
      <c r="DH49" s="336"/>
      <c r="DI49" s="337" t="str">
        <f t="shared" si="200"/>
        <v>0</v>
      </c>
      <c r="DJ49" s="133"/>
      <c r="DK49" s="336"/>
      <c r="DL49" s="381" t="str">
        <f t="shared" si="201"/>
        <v>0</v>
      </c>
      <c r="DM49" s="159"/>
      <c r="DN49" s="159"/>
      <c r="DO49" s="381" t="str">
        <f t="shared" si="202"/>
        <v>0</v>
      </c>
      <c r="DP49" s="159"/>
      <c r="DQ49" s="159"/>
      <c r="DR49" s="381" t="str">
        <f t="shared" si="203"/>
        <v>0</v>
      </c>
      <c r="DS49" s="159"/>
      <c r="DT49" s="159"/>
      <c r="DU49" s="381" t="str">
        <f t="shared" si="204"/>
        <v>0</v>
      </c>
      <c r="DV49" s="159"/>
      <c r="DW49" s="159"/>
      <c r="DX49" s="381" t="str">
        <f t="shared" si="205"/>
        <v>0</v>
      </c>
      <c r="DY49" s="159"/>
      <c r="DZ49" s="159"/>
      <c r="EA49" s="159"/>
      <c r="EB49" s="240">
        <f t="shared" si="206"/>
        <v>41872</v>
      </c>
      <c r="EC49" s="183">
        <v>41927</v>
      </c>
      <c r="ED49" s="401">
        <f t="shared" si="207"/>
        <v>1.8333333333333333</v>
      </c>
      <c r="EE49" s="511"/>
      <c r="EF49" s="240"/>
      <c r="EG49" s="58">
        <v>41935</v>
      </c>
      <c r="EH49" s="58" t="s">
        <v>101</v>
      </c>
      <c r="EI49" s="67">
        <v>41955</v>
      </c>
      <c r="EJ49" s="240"/>
      <c r="EK49" s="455">
        <f t="shared" si="220"/>
        <v>41903</v>
      </c>
      <c r="EL49" s="185">
        <v>41955</v>
      </c>
      <c r="EM49" s="324">
        <v>2014</v>
      </c>
      <c r="EN49" s="396">
        <f t="shared" si="223"/>
        <v>1.7333333333333334</v>
      </c>
      <c r="EO49" s="388">
        <f>403704.659129873/12</f>
        <v>33642.054927489415</v>
      </c>
      <c r="EP49" s="117">
        <f t="shared" si="208"/>
        <v>58312.895207648318</v>
      </c>
      <c r="EQ49" s="58"/>
      <c r="ER49" s="58"/>
      <c r="ES49" s="59"/>
      <c r="ET49" s="296"/>
      <c r="EU49" s="387">
        <f>HF49</f>
        <v>0</v>
      </c>
      <c r="EV49" s="300"/>
      <c r="EW49" s="300"/>
      <c r="EX49" s="300"/>
      <c r="EY49" s="416">
        <f t="shared" si="209"/>
        <v>0</v>
      </c>
      <c r="EZ49" s="297"/>
      <c r="FA49" s="308"/>
      <c r="FB49" s="297"/>
      <c r="FC49" s="297"/>
      <c r="FD49" s="89">
        <f t="shared" si="167"/>
        <v>731</v>
      </c>
      <c r="FE49" s="64"/>
      <c r="FF49" s="64"/>
      <c r="FG49" s="64"/>
      <c r="FH49" s="64"/>
      <c r="FI49" s="63"/>
      <c r="FJ49" s="95">
        <v>42250</v>
      </c>
      <c r="FK49" s="159">
        <f t="shared" si="210"/>
        <v>42292</v>
      </c>
      <c r="FL49" s="159"/>
      <c r="FM49" s="378">
        <v>90420</v>
      </c>
      <c r="FN49" s="95">
        <v>41968</v>
      </c>
      <c r="FO49" s="64">
        <v>41969</v>
      </c>
      <c r="FP49" s="64"/>
      <c r="FQ49" s="64" t="s">
        <v>101</v>
      </c>
      <c r="FR49" s="64">
        <v>42306</v>
      </c>
      <c r="FS49" s="64"/>
      <c r="FT49" s="63"/>
      <c r="FU49" s="56">
        <v>42475</v>
      </c>
      <c r="FV49" s="56"/>
      <c r="FW49" s="56"/>
      <c r="FX49" s="56"/>
      <c r="FY49" s="64">
        <v>42219</v>
      </c>
      <c r="FZ49" s="64" t="s">
        <v>101</v>
      </c>
      <c r="GA49" s="452"/>
      <c r="GB49" s="471">
        <f>GD49+GG49+GJ49+HF49+Tableau6[[#This Row],[PRÊT CREDIT D''IMPOT (PM)]]</f>
        <v>9756378.3699999992</v>
      </c>
      <c r="GC49" s="644">
        <f t="shared" si="224"/>
        <v>9756378.3699999992</v>
      </c>
      <c r="GD49" s="507">
        <f t="shared" si="219"/>
        <v>63129</v>
      </c>
      <c r="GE49" s="20">
        <f t="shared" si="211"/>
        <v>2132.327322280164</v>
      </c>
      <c r="GF49" s="20">
        <f t="shared" si="212"/>
        <v>116147.36154761903</v>
      </c>
      <c r="GG49" s="507">
        <v>3263643</v>
      </c>
      <c r="GH49" s="351"/>
      <c r="GI49" s="20">
        <f t="shared" si="225"/>
        <v>38852.892857142855</v>
      </c>
      <c r="GJ49" s="507">
        <f t="shared" si="213"/>
        <v>6429606.3699999992</v>
      </c>
      <c r="GK49" s="5">
        <f>+GL49+GM49</f>
        <v>6429606.3699999992</v>
      </c>
      <c r="GL49" s="44">
        <v>1639468.02</v>
      </c>
      <c r="GM49" s="44">
        <v>4790138.3499999996</v>
      </c>
      <c r="GN49" s="346">
        <f t="shared" si="214"/>
        <v>76542.932976190466</v>
      </c>
      <c r="GO49" s="35">
        <v>0</v>
      </c>
      <c r="GP49" s="34">
        <v>1</v>
      </c>
      <c r="GQ49" s="34"/>
      <c r="GR49" s="45">
        <f t="shared" si="215"/>
        <v>1.0249704983510188E-7</v>
      </c>
      <c r="GS49" s="35"/>
      <c r="GT49" s="35"/>
      <c r="GU49" s="35">
        <v>63128</v>
      </c>
      <c r="GV49" s="20">
        <f t="shared" si="170"/>
        <v>1.1904761904761904E-2</v>
      </c>
      <c r="GW49" s="20">
        <f t="shared" si="171"/>
        <v>38852.904761904763</v>
      </c>
      <c r="GX49" s="569">
        <v>0</v>
      </c>
      <c r="GY49" s="569">
        <v>0</v>
      </c>
      <c r="GZ49" s="567" t="e">
        <f>(#REF!+#REF!+GY49)/AD49</f>
        <v>#REF!</v>
      </c>
      <c r="HA49" s="569">
        <v>0</v>
      </c>
      <c r="HB49" s="569">
        <f t="shared" si="172"/>
        <v>38852.904761904763</v>
      </c>
      <c r="HC49" s="568">
        <f>(GG49+GP49+GY49+HA49)/(GX49+GB49-HD49)</f>
        <v>0.33451388171203122</v>
      </c>
      <c r="HD49" s="569"/>
      <c r="HE49" s="569"/>
      <c r="HF49" s="507">
        <v>0</v>
      </c>
      <c r="HG49" s="633"/>
      <c r="HH49" s="634">
        <f t="shared" si="216"/>
        <v>0</v>
      </c>
      <c r="HI49" s="635">
        <f t="shared" si="173"/>
        <v>9756378.3699999992</v>
      </c>
      <c r="HJ49" s="633" t="e">
        <f t="shared" ca="1" si="221"/>
        <v>#VALUE!</v>
      </c>
      <c r="HK49" s="633"/>
      <c r="HL49" s="633"/>
      <c r="HM49" s="633">
        <f t="shared" si="217"/>
        <v>63129</v>
      </c>
      <c r="HN49" s="636">
        <f t="shared" si="218"/>
        <v>0</v>
      </c>
      <c r="HO49" s="636"/>
      <c r="HP49" s="563"/>
      <c r="HQ49" s="47"/>
      <c r="HR49" s="563"/>
      <c r="HS49" s="563">
        <f>SUM(Tableau6[[#This Row],[GO]:[CARRELAGE]])</f>
        <v>0</v>
      </c>
      <c r="HT49" s="461"/>
      <c r="HU49" s="461"/>
      <c r="HV49" s="461"/>
      <c r="HW49" s="461"/>
      <c r="HX49" s="461"/>
      <c r="HY49" s="461"/>
      <c r="HZ49" s="461"/>
      <c r="IA49" s="461"/>
      <c r="IB49" s="461"/>
      <c r="IC49" s="461"/>
      <c r="ID49" s="461"/>
      <c r="IE49" s="461"/>
      <c r="IF49" s="461"/>
      <c r="IG49" s="563"/>
      <c r="IH49" s="563"/>
      <c r="II49" s="563">
        <f>HP49+HR49+Tableau6[[#This Row],[TRAVAUX BATIS]]+Tableau6[[#This Row],[HONORAIRES]]+IH49</f>
        <v>0</v>
      </c>
      <c r="IJ49" s="654">
        <f>Tableau6[[#This Row],[TOTAL PRP HT]]-Tableau6[[#This Row],[PRP TTC HORS FRAFU]]/1.021</f>
        <v>-9555708.4916748293</v>
      </c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</row>
    <row r="50" spans="1:256" ht="60" customHeight="1">
      <c r="A50" s="360" t="s">
        <v>854</v>
      </c>
      <c r="B50" s="22" t="s">
        <v>25</v>
      </c>
      <c r="C50" s="22" t="s">
        <v>88</v>
      </c>
      <c r="D50" s="22">
        <v>2012</v>
      </c>
      <c r="E50" s="22" t="s">
        <v>59</v>
      </c>
      <c r="F50" s="22" t="s">
        <v>16</v>
      </c>
      <c r="G50" s="57"/>
      <c r="H50" s="22" t="s">
        <v>181</v>
      </c>
      <c r="I50" s="22" t="s">
        <v>94</v>
      </c>
      <c r="J50" s="22"/>
      <c r="K50" s="134"/>
      <c r="L50" s="780"/>
      <c r="M50" s="780"/>
      <c r="N50" s="780"/>
      <c r="O50" s="103">
        <v>2671</v>
      </c>
      <c r="P50" s="103">
        <v>176000</v>
      </c>
      <c r="Q50" s="103">
        <v>110833</v>
      </c>
      <c r="R50" s="103">
        <f>P50/AD50</f>
        <v>12571.428571428571</v>
      </c>
      <c r="S50" s="103">
        <f t="shared" si="226"/>
        <v>65.89292399850244</v>
      </c>
      <c r="T50" s="103">
        <f t="shared" si="227"/>
        <v>41.494945713216026</v>
      </c>
      <c r="U50" s="103">
        <f>Q50/AK50</f>
        <v>100.10205924855489</v>
      </c>
      <c r="V50" s="103">
        <f>Q50/AD50</f>
        <v>7916.6428571428569</v>
      </c>
      <c r="W50" s="103">
        <f>O50/AD50</f>
        <v>190.78571428571428</v>
      </c>
      <c r="X50" s="104">
        <v>748.11</v>
      </c>
      <c r="Y50" s="444">
        <f t="shared" si="188"/>
        <v>52.414825907899662</v>
      </c>
      <c r="Z50" s="104" t="s">
        <v>158</v>
      </c>
      <c r="AA50" s="104"/>
      <c r="AB50" s="104"/>
      <c r="AC50" s="22" t="s">
        <v>10</v>
      </c>
      <c r="AD50" s="426">
        <f t="shared" si="189"/>
        <v>14</v>
      </c>
      <c r="AE50" s="426">
        <f t="shared" si="190"/>
        <v>14</v>
      </c>
      <c r="AF50" s="32"/>
      <c r="AG50" s="22">
        <v>14</v>
      </c>
      <c r="AH50" s="32"/>
      <c r="AI50" s="32"/>
      <c r="AJ50" s="26">
        <v>931.1</v>
      </c>
      <c r="AK50" s="225">
        <v>1107.2000000000003</v>
      </c>
      <c r="AL50" s="492">
        <f t="shared" si="191"/>
        <v>66.507142857142853</v>
      </c>
      <c r="AM50" s="4">
        <f t="shared" si="192"/>
        <v>79.085714285714303</v>
      </c>
      <c r="AN50" s="26">
        <v>6.0229784813661276</v>
      </c>
      <c r="AO50" s="26">
        <v>5.0650246242774566</v>
      </c>
      <c r="AP50" s="26">
        <v>400.57109028571438</v>
      </c>
      <c r="AQ50" s="39">
        <f>3/AD50</f>
        <v>0.21428571428571427</v>
      </c>
      <c r="AR50" s="39">
        <f>3/AD50</f>
        <v>0.21428571428571427</v>
      </c>
      <c r="AS50" s="39">
        <f>6/AD50</f>
        <v>0.42857142857142855</v>
      </c>
      <c r="AT50" s="39">
        <f>1/AD50</f>
        <v>7.1428571428571425E-2</v>
      </c>
      <c r="AU50" s="39">
        <f>1/AD50</f>
        <v>7.1428571428571425E-2</v>
      </c>
      <c r="AV50" s="26">
        <v>1000</v>
      </c>
      <c r="AW50" s="37"/>
      <c r="AX50" s="39">
        <f>AW50/O50</f>
        <v>0</v>
      </c>
      <c r="AY50" s="26">
        <v>3</v>
      </c>
      <c r="AZ50" s="25" t="s">
        <v>386</v>
      </c>
      <c r="BA50" s="26" t="s">
        <v>95</v>
      </c>
      <c r="BB50" s="26"/>
      <c r="BC50" s="26"/>
      <c r="BD50" s="26"/>
      <c r="BE50" s="26"/>
      <c r="BF50" s="89"/>
      <c r="BG50" s="89"/>
      <c r="BH50" s="89">
        <v>40963</v>
      </c>
      <c r="BI50" s="89"/>
      <c r="BJ50" s="548">
        <v>40998</v>
      </c>
      <c r="BK50" s="548">
        <v>41170</v>
      </c>
      <c r="BL50" s="549"/>
      <c r="BM50" s="547">
        <f t="shared" si="193"/>
        <v>5.7333333333333334</v>
      </c>
      <c r="BN50" s="490"/>
      <c r="BO50" s="467"/>
      <c r="BP50" s="476"/>
      <c r="BQ50" s="525"/>
      <c r="BR50" s="525"/>
      <c r="BS50" s="77"/>
      <c r="BT50" s="50"/>
      <c r="BU50" s="150">
        <v>41365</v>
      </c>
      <c r="BV50" s="150">
        <f t="shared" si="194"/>
        <v>42461</v>
      </c>
      <c r="BW50" s="373"/>
      <c r="BX50" s="150" t="str">
        <f>IF(Tableau6[[#This Row],[Montant des loyers perçus avant 1e échéance]]&lt;BW50,"oui","non")</f>
        <v>non</v>
      </c>
      <c r="BY50" s="475">
        <f t="shared" si="228"/>
        <v>17.133333333333333</v>
      </c>
      <c r="BZ50" s="373">
        <f t="shared" si="222"/>
        <v>98987.780577305384</v>
      </c>
      <c r="CA50" s="373">
        <f>IF(BW50-BZ50&lt;0,0,Tableau6[[#This Row],[Montant échéance annuelle]]-Tableau6[[#This Row],[Montant des loyers perçus avant 1e échéance]])</f>
        <v>0</v>
      </c>
      <c r="CB50" s="64"/>
      <c r="CC50" s="57"/>
      <c r="CD50" s="57"/>
      <c r="CE50" s="273" t="str">
        <f t="shared" si="184"/>
        <v>0</v>
      </c>
      <c r="CF50" s="64"/>
      <c r="CG50" s="64"/>
      <c r="CH50" s="273" t="str">
        <f t="shared" si="185"/>
        <v>0</v>
      </c>
      <c r="CI50" s="66"/>
      <c r="CJ50" s="64"/>
      <c r="CK50" s="273" t="str">
        <f t="shared" si="186"/>
        <v>0</v>
      </c>
      <c r="CL50" s="66"/>
      <c r="CM50" s="64"/>
      <c r="CN50" s="273" t="str">
        <f t="shared" si="187"/>
        <v>0</v>
      </c>
      <c r="CO50" s="66"/>
      <c r="CP50" s="311"/>
      <c r="CQ50" s="273" t="str">
        <f t="shared" si="195"/>
        <v>0</v>
      </c>
      <c r="CR50" s="239"/>
      <c r="CS50" s="117"/>
      <c r="CT50" s="64"/>
      <c r="CU50" s="117"/>
      <c r="CV50" s="273" t="str">
        <f t="shared" si="161"/>
        <v>0</v>
      </c>
      <c r="CW50" s="64"/>
      <c r="CX50" s="183">
        <v>41309</v>
      </c>
      <c r="CY50" s="175">
        <v>2013</v>
      </c>
      <c r="CZ50" s="232">
        <f t="shared" si="196"/>
        <v>4.6333333333333337</v>
      </c>
      <c r="DA50" s="273" t="str">
        <f t="shared" si="197"/>
        <v>0</v>
      </c>
      <c r="DB50" s="59">
        <v>13</v>
      </c>
      <c r="DC50" s="59">
        <f t="shared" si="198"/>
        <v>20</v>
      </c>
      <c r="DD50" s="159"/>
      <c r="DE50" s="158"/>
      <c r="DF50" s="381" t="str">
        <f t="shared" si="199"/>
        <v>0</v>
      </c>
      <c r="DG50" s="159"/>
      <c r="DH50" s="336"/>
      <c r="DI50" s="337" t="str">
        <f t="shared" si="200"/>
        <v>0</v>
      </c>
      <c r="DJ50" s="133"/>
      <c r="DK50" s="336"/>
      <c r="DL50" s="381" t="str">
        <f t="shared" si="201"/>
        <v>0</v>
      </c>
      <c r="DM50" s="158"/>
      <c r="DN50" s="159"/>
      <c r="DO50" s="381" t="str">
        <f t="shared" si="202"/>
        <v>0</v>
      </c>
      <c r="DP50" s="167"/>
      <c r="DQ50" s="167"/>
      <c r="DR50" s="381" t="str">
        <f t="shared" si="203"/>
        <v>0</v>
      </c>
      <c r="DS50" s="167"/>
      <c r="DT50" s="168"/>
      <c r="DU50" s="381" t="str">
        <f t="shared" si="204"/>
        <v>0</v>
      </c>
      <c r="DV50" s="168"/>
      <c r="DW50" s="168"/>
      <c r="DX50" s="381" t="str">
        <f t="shared" si="205"/>
        <v>0</v>
      </c>
      <c r="DY50" s="168"/>
      <c r="DZ50" s="168"/>
      <c r="EA50" s="168"/>
      <c r="EB50" s="240">
        <f t="shared" si="206"/>
        <v>41702</v>
      </c>
      <c r="EC50" s="183">
        <v>41943</v>
      </c>
      <c r="ED50" s="401">
        <f t="shared" si="207"/>
        <v>8.0333333333333332</v>
      </c>
      <c r="EE50" s="511"/>
      <c r="EF50" s="240"/>
      <c r="EG50" s="58">
        <v>41983</v>
      </c>
      <c r="EH50" s="58" t="s">
        <v>101</v>
      </c>
      <c r="EI50" s="58">
        <v>41949</v>
      </c>
      <c r="EJ50" s="240"/>
      <c r="EK50" s="455">
        <f t="shared" si="220"/>
        <v>41733</v>
      </c>
      <c r="EL50" s="183">
        <v>41947</v>
      </c>
      <c r="EM50" s="324">
        <v>2014</v>
      </c>
      <c r="EN50" s="398">
        <f t="shared" si="223"/>
        <v>7.1333333333333337</v>
      </c>
      <c r="EO50" s="388">
        <f>69329.9630502528/12</f>
        <v>5777.4969208543998</v>
      </c>
      <c r="EP50" s="117">
        <f t="shared" si="208"/>
        <v>41212.811368761388</v>
      </c>
      <c r="EQ50" s="58"/>
      <c r="ER50" s="58"/>
      <c r="ES50" s="59"/>
      <c r="ET50" s="296"/>
      <c r="EU50" s="387">
        <f>HF50</f>
        <v>123760</v>
      </c>
      <c r="EV50" s="300"/>
      <c r="EW50" s="300"/>
      <c r="EX50" s="300"/>
      <c r="EY50" s="416">
        <f t="shared" si="209"/>
        <v>0</v>
      </c>
      <c r="EZ50" s="297"/>
      <c r="FA50" s="308" t="s">
        <v>506</v>
      </c>
      <c r="FB50" s="297"/>
      <c r="FC50" s="297"/>
      <c r="FD50" s="89">
        <f t="shared" si="167"/>
        <v>731</v>
      </c>
      <c r="FE50" s="64"/>
      <c r="FF50" s="64"/>
      <c r="FG50" s="64"/>
      <c r="FH50" s="64"/>
      <c r="FI50" s="64" t="s">
        <v>101</v>
      </c>
      <c r="FJ50" s="56">
        <v>43801</v>
      </c>
      <c r="FK50" s="159">
        <f t="shared" si="210"/>
        <v>42308</v>
      </c>
      <c r="FL50" s="159"/>
      <c r="FM50" s="375">
        <v>19707.689999999999</v>
      </c>
      <c r="FN50" s="95">
        <v>41969</v>
      </c>
      <c r="FO50" s="95">
        <v>41984</v>
      </c>
      <c r="FP50" s="95"/>
      <c r="FQ50" s="95">
        <v>42324</v>
      </c>
      <c r="FR50" s="95">
        <v>42324</v>
      </c>
      <c r="FS50" s="95"/>
      <c r="FT50" s="64" t="s">
        <v>129</v>
      </c>
      <c r="FU50" s="95">
        <v>42906</v>
      </c>
      <c r="FV50" s="95"/>
      <c r="FW50" s="95" t="s">
        <v>101</v>
      </c>
      <c r="FX50" s="63"/>
      <c r="FY50" s="95">
        <v>42426</v>
      </c>
      <c r="FZ50" s="63"/>
      <c r="GA50" s="452"/>
      <c r="GB50" s="471">
        <f>GD50+GG50+GJ50+HF50+Tableau6[[#This Row],[PRÊT CREDIT D''IMPOT (PM)]]</f>
        <v>2368881</v>
      </c>
      <c r="GC50" s="644">
        <f t="shared" si="224"/>
        <v>2368881</v>
      </c>
      <c r="GD50" s="507">
        <f t="shared" si="219"/>
        <v>159905</v>
      </c>
      <c r="GE50" s="20">
        <f t="shared" si="211"/>
        <v>2139.5240245664736</v>
      </c>
      <c r="GF50" s="20">
        <f t="shared" si="212"/>
        <v>169205.78571428571</v>
      </c>
      <c r="GG50" s="507">
        <v>745095</v>
      </c>
      <c r="GH50" s="351"/>
      <c r="GI50" s="11">
        <f t="shared" si="225"/>
        <v>53221.071428571428</v>
      </c>
      <c r="GJ50" s="507">
        <f t="shared" si="213"/>
        <v>1340121</v>
      </c>
      <c r="GK50" s="5">
        <f>+GL50+GM50</f>
        <v>1240121</v>
      </c>
      <c r="GL50" s="6">
        <v>347814</v>
      </c>
      <c r="GM50" s="6">
        <v>892307</v>
      </c>
      <c r="GN50" s="345">
        <f t="shared" si="214"/>
        <v>88580.071428571435</v>
      </c>
      <c r="GO50" s="35">
        <v>100000</v>
      </c>
      <c r="GP50" s="8">
        <v>89905</v>
      </c>
      <c r="GQ50" s="34">
        <v>70000</v>
      </c>
      <c r="GR50" s="18">
        <f t="shared" si="215"/>
        <v>3.7952518509794288E-2</v>
      </c>
      <c r="GS50" s="45"/>
      <c r="GT50" s="45"/>
      <c r="GU50" s="8">
        <v>0</v>
      </c>
      <c r="GV50" s="20">
        <f t="shared" si="170"/>
        <v>6421.7857142857147</v>
      </c>
      <c r="GW50" s="20">
        <f t="shared" si="171"/>
        <v>59642.857142857145</v>
      </c>
      <c r="GX50" s="567">
        <v>339632.49384750001</v>
      </c>
      <c r="GY50" s="567">
        <v>210000</v>
      </c>
      <c r="GZ50" s="567">
        <f>(GG50+GP50+GY50)/AD50</f>
        <v>74642.857142857145</v>
      </c>
      <c r="HA50" s="567">
        <v>0</v>
      </c>
      <c r="HB50" s="567">
        <f t="shared" si="172"/>
        <v>74642.857142857145</v>
      </c>
      <c r="HC50" s="568">
        <f>(GG50+GP50+GY50+HA50)/(GX50+GB50-HD50)</f>
        <v>0.40351792401683728</v>
      </c>
      <c r="HD50" s="567">
        <v>118789.62334999999</v>
      </c>
      <c r="HE50" s="567"/>
      <c r="HF50" s="507">
        <v>123760</v>
      </c>
      <c r="HG50" s="633"/>
      <c r="HH50" s="634">
        <f t="shared" si="216"/>
        <v>0</v>
      </c>
      <c r="HI50" s="635">
        <f t="shared" si="173"/>
        <v>2368881</v>
      </c>
      <c r="HJ50" s="633" t="e">
        <f t="shared" ca="1" si="221"/>
        <v>#VALUE!</v>
      </c>
      <c r="HK50" s="633"/>
      <c r="HL50" s="633"/>
      <c r="HM50" s="633">
        <f t="shared" si="217"/>
        <v>159905</v>
      </c>
      <c r="HN50" s="636">
        <f t="shared" si="218"/>
        <v>0</v>
      </c>
      <c r="HO50" s="636"/>
      <c r="HP50" s="563"/>
      <c r="HQ50" s="47"/>
      <c r="HR50" s="563"/>
      <c r="HS50" s="563">
        <f>SUM(Tableau6[[#This Row],[GO]:[CARRELAGE]])</f>
        <v>0</v>
      </c>
      <c r="HT50" s="461"/>
      <c r="HU50" s="461"/>
      <c r="HV50" s="461"/>
      <c r="HW50" s="461"/>
      <c r="HX50" s="461"/>
      <c r="HY50" s="461"/>
      <c r="HZ50" s="461"/>
      <c r="IA50" s="461"/>
      <c r="IB50" s="461"/>
      <c r="IC50" s="461"/>
      <c r="ID50" s="461"/>
      <c r="IE50" s="461"/>
      <c r="IF50" s="461"/>
      <c r="IG50" s="563"/>
      <c r="IH50" s="563"/>
      <c r="II50" s="563">
        <f>HP50+HR50+Tableau6[[#This Row],[TRAVAUX BATIS]]+Tableau6[[#This Row],[HONORAIRES]]+IH50</f>
        <v>0</v>
      </c>
      <c r="IJ50" s="654">
        <f>Tableau6[[#This Row],[TOTAL PRP HT]]-Tableau6[[#This Row],[PRP TTC HORS FRAFU]]/1.021</f>
        <v>-2320157.6885406468</v>
      </c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</row>
    <row r="51" spans="1:256" ht="57.75" customHeight="1">
      <c r="A51" s="48" t="s">
        <v>273</v>
      </c>
      <c r="B51" s="22" t="s">
        <v>21</v>
      </c>
      <c r="C51" s="22" t="s">
        <v>86</v>
      </c>
      <c r="D51" s="22">
        <v>2012</v>
      </c>
      <c r="E51" s="22" t="s">
        <v>61</v>
      </c>
      <c r="F51" s="22" t="s">
        <v>16</v>
      </c>
      <c r="G51" s="57" t="s">
        <v>450</v>
      </c>
      <c r="H51" s="22" t="s">
        <v>181</v>
      </c>
      <c r="I51" s="22" t="s">
        <v>246</v>
      </c>
      <c r="J51" s="22"/>
      <c r="K51" s="134"/>
      <c r="L51" s="780"/>
      <c r="M51" s="780"/>
      <c r="N51" s="780"/>
      <c r="O51" s="103">
        <v>8821</v>
      </c>
      <c r="P51" s="103">
        <v>530000</v>
      </c>
      <c r="Q51" s="103">
        <v>289110</v>
      </c>
      <c r="R51" s="103">
        <f>P51/AD51</f>
        <v>13250</v>
      </c>
      <c r="S51" s="103">
        <f t="shared" si="226"/>
        <v>60.083890715338399</v>
      </c>
      <c r="T51" s="103">
        <f t="shared" si="227"/>
        <v>32.775195556059401</v>
      </c>
      <c r="U51" s="103">
        <f>Q51/AK51</f>
        <v>111.55441514093337</v>
      </c>
      <c r="V51" s="103">
        <f>Q51/AD51</f>
        <v>7227.75</v>
      </c>
      <c r="W51" s="103">
        <f>O51/AD51</f>
        <v>220.52500000000001</v>
      </c>
      <c r="X51" s="103"/>
      <c r="Y51" s="444">
        <f t="shared" si="188"/>
        <v>45.346332615349731</v>
      </c>
      <c r="Z51" s="104" t="s">
        <v>158</v>
      </c>
      <c r="AA51" s="104"/>
      <c r="AB51" s="105"/>
      <c r="AC51" s="22" t="s">
        <v>10</v>
      </c>
      <c r="AD51" s="426">
        <f t="shared" si="189"/>
        <v>40</v>
      </c>
      <c r="AE51" s="426">
        <f t="shared" si="190"/>
        <v>40</v>
      </c>
      <c r="AF51" s="32"/>
      <c r="AG51" s="22">
        <v>40</v>
      </c>
      <c r="AH51" s="32"/>
      <c r="AI51" s="32"/>
      <c r="AJ51" s="26">
        <v>2569.23</v>
      </c>
      <c r="AK51" s="225">
        <v>2591.65</v>
      </c>
      <c r="AL51" s="492">
        <f t="shared" si="191"/>
        <v>64.23075</v>
      </c>
      <c r="AM51" s="4">
        <f t="shared" si="192"/>
        <v>64.791250000000005</v>
      </c>
      <c r="AN51" s="26">
        <v>5.4266388351373758</v>
      </c>
      <c r="AO51" s="26">
        <v>5.38</v>
      </c>
      <c r="AP51" s="26">
        <v>348.55708235999998</v>
      </c>
      <c r="AQ51" s="39">
        <f>4/AD51</f>
        <v>0.1</v>
      </c>
      <c r="AR51" s="39">
        <f>12/AD51</f>
        <v>0.3</v>
      </c>
      <c r="AS51" s="39">
        <f>13/AD51</f>
        <v>0.32500000000000001</v>
      </c>
      <c r="AT51" s="39">
        <f>9/AD51</f>
        <v>0.22500000000000001</v>
      </c>
      <c r="AU51" s="39">
        <f>2/AD51</f>
        <v>0.05</v>
      </c>
      <c r="AV51" s="27">
        <v>1150</v>
      </c>
      <c r="AW51" s="339"/>
      <c r="AX51" s="40">
        <f>AW51/O51</f>
        <v>0</v>
      </c>
      <c r="AY51" s="27">
        <v>2.5</v>
      </c>
      <c r="AZ51" s="25" t="s">
        <v>386</v>
      </c>
      <c r="BA51" s="26" t="s">
        <v>95</v>
      </c>
      <c r="BB51" s="26"/>
      <c r="BC51" s="26"/>
      <c r="BD51" s="26"/>
      <c r="BE51" s="26"/>
      <c r="BF51" s="22"/>
      <c r="BG51" s="22"/>
      <c r="BH51" s="89">
        <v>40963</v>
      </c>
      <c r="BI51" s="89"/>
      <c r="BJ51" s="548">
        <v>40998</v>
      </c>
      <c r="BK51" s="548">
        <v>41094</v>
      </c>
      <c r="BL51" s="549"/>
      <c r="BM51" s="547">
        <f t="shared" si="193"/>
        <v>3.2</v>
      </c>
      <c r="BN51" s="490"/>
      <c r="BO51" s="467"/>
      <c r="BP51" s="476">
        <v>41262</v>
      </c>
      <c r="BQ51" s="525"/>
      <c r="BR51" s="525"/>
      <c r="BS51" s="77">
        <f t="shared" ref="BS51:BS64" si="229">DATE(YEAR(BP51),MONTH(BP51)+3,DAY(BP51))</f>
        <v>41352</v>
      </c>
      <c r="BT51" s="50"/>
      <c r="BU51" s="150">
        <v>41365</v>
      </c>
      <c r="BV51" s="150">
        <f t="shared" si="194"/>
        <v>42461</v>
      </c>
      <c r="BW51" s="373">
        <v>108407</v>
      </c>
      <c r="BX51" s="150" t="str">
        <f>IF(Tableau6[[#This Row],[Montant des loyers perçus avant 1e échéance]]&lt;BW51,"oui","non")</f>
        <v>non</v>
      </c>
      <c r="BY51" s="475">
        <f t="shared" si="228"/>
        <v>10.333333333333334</v>
      </c>
      <c r="BZ51" s="373">
        <f t="shared" si="222"/>
        <v>148424.78433872361</v>
      </c>
      <c r="CA51" s="373">
        <f>IF(BW51-BZ51&lt;0,0,Tableau6[[#This Row],[Montant échéance annuelle]]-Tableau6[[#This Row],[Montant des loyers perçus avant 1e échéance]])</f>
        <v>0</v>
      </c>
      <c r="CB51" s="64"/>
      <c r="CC51" s="64"/>
      <c r="CD51" s="64"/>
      <c r="CE51" s="273" t="str">
        <f t="shared" si="184"/>
        <v>0</v>
      </c>
      <c r="CF51" s="64"/>
      <c r="CG51" s="64"/>
      <c r="CH51" s="273" t="str">
        <f t="shared" si="185"/>
        <v>0</v>
      </c>
      <c r="CI51" s="64"/>
      <c r="CJ51" s="64"/>
      <c r="CK51" s="273" t="str">
        <f t="shared" si="186"/>
        <v>0</v>
      </c>
      <c r="CL51" s="64"/>
      <c r="CM51" s="64"/>
      <c r="CN51" s="273" t="str">
        <f t="shared" si="187"/>
        <v>0</v>
      </c>
      <c r="CO51" s="66"/>
      <c r="CP51" s="311"/>
      <c r="CQ51" s="273" t="str">
        <f t="shared" si="195"/>
        <v>0</v>
      </c>
      <c r="CR51" s="239"/>
      <c r="CS51" s="117"/>
      <c r="CT51" s="64"/>
      <c r="CU51" s="117"/>
      <c r="CV51" s="273" t="str">
        <f t="shared" si="161"/>
        <v>0</v>
      </c>
      <c r="CW51" s="64"/>
      <c r="CX51" s="181">
        <v>41309</v>
      </c>
      <c r="CY51" s="175">
        <v>2013</v>
      </c>
      <c r="CZ51" s="232">
        <f t="shared" si="196"/>
        <v>7.166666666666667</v>
      </c>
      <c r="DA51" s="273" t="str">
        <f t="shared" si="197"/>
        <v>0</v>
      </c>
      <c r="DB51" s="59">
        <v>15</v>
      </c>
      <c r="DC51" s="59">
        <f t="shared" si="198"/>
        <v>26</v>
      </c>
      <c r="DD51" s="159"/>
      <c r="DE51" s="158"/>
      <c r="DF51" s="381" t="str">
        <f t="shared" si="199"/>
        <v>0</v>
      </c>
      <c r="DG51" s="159"/>
      <c r="DH51" s="336"/>
      <c r="DI51" s="337" t="str">
        <f t="shared" si="200"/>
        <v>0</v>
      </c>
      <c r="DJ51" s="133"/>
      <c r="DK51" s="336"/>
      <c r="DL51" s="381" t="str">
        <f t="shared" si="201"/>
        <v>0</v>
      </c>
      <c r="DM51" s="158"/>
      <c r="DN51" s="159"/>
      <c r="DO51" s="381" t="str">
        <f t="shared" si="202"/>
        <v>0</v>
      </c>
      <c r="DP51" s="167"/>
      <c r="DQ51" s="167"/>
      <c r="DR51" s="381" t="str">
        <f t="shared" si="203"/>
        <v>0</v>
      </c>
      <c r="DS51" s="167"/>
      <c r="DT51" s="159"/>
      <c r="DU51" s="381" t="str">
        <f t="shared" si="204"/>
        <v>0</v>
      </c>
      <c r="DV51" s="159"/>
      <c r="DW51" s="159"/>
      <c r="DX51" s="381" t="str">
        <f t="shared" si="205"/>
        <v>0</v>
      </c>
      <c r="DY51" s="168"/>
      <c r="DZ51" s="168"/>
      <c r="EA51" s="168"/>
      <c r="EB51" s="240">
        <f t="shared" si="206"/>
        <v>41763</v>
      </c>
      <c r="EC51" s="183">
        <v>42111</v>
      </c>
      <c r="ED51" s="401">
        <f t="shared" si="207"/>
        <v>11.6</v>
      </c>
      <c r="EE51" s="511"/>
      <c r="EF51" s="649"/>
      <c r="EG51" s="90">
        <v>42202</v>
      </c>
      <c r="EH51" s="58" t="s">
        <v>101</v>
      </c>
      <c r="EI51" s="67">
        <v>42151</v>
      </c>
      <c r="EJ51" s="240"/>
      <c r="EK51" s="455">
        <f t="shared" si="220"/>
        <v>41794</v>
      </c>
      <c r="EL51" s="185">
        <v>42151</v>
      </c>
      <c r="EM51" s="241">
        <v>2015</v>
      </c>
      <c r="EN51" s="396">
        <f t="shared" si="223"/>
        <v>11.9</v>
      </c>
      <c r="EO51" s="388">
        <f>172364.265683679/12</f>
        <v>14363.68880697325</v>
      </c>
      <c r="EP51" s="117">
        <f t="shared" si="208"/>
        <v>170927.89680298168</v>
      </c>
      <c r="EQ51" s="58"/>
      <c r="ER51" s="58"/>
      <c r="ES51" s="59"/>
      <c r="ET51" s="296"/>
      <c r="EU51" s="387">
        <f>HF51</f>
        <v>51532.92</v>
      </c>
      <c r="EV51" s="300"/>
      <c r="EW51" s="300"/>
      <c r="EX51" s="300"/>
      <c r="EY51" s="416">
        <f t="shared" si="209"/>
        <v>0</v>
      </c>
      <c r="EZ51" s="297"/>
      <c r="FA51" s="308" t="s">
        <v>510</v>
      </c>
      <c r="FB51" s="297"/>
      <c r="FC51" s="297"/>
      <c r="FD51" s="89">
        <f t="shared" si="167"/>
        <v>731</v>
      </c>
      <c r="FE51" s="64" t="s">
        <v>101</v>
      </c>
      <c r="FF51" s="64"/>
      <c r="FG51" s="64" t="s">
        <v>101</v>
      </c>
      <c r="FH51" s="64" t="s">
        <v>101</v>
      </c>
      <c r="FI51" s="95">
        <v>42628</v>
      </c>
      <c r="FJ51" s="95">
        <v>42831</v>
      </c>
      <c r="FK51" s="159">
        <f t="shared" si="210"/>
        <v>42477</v>
      </c>
      <c r="FL51" s="159"/>
      <c r="FM51" s="375">
        <v>45341</v>
      </c>
      <c r="FN51" s="95">
        <v>42170</v>
      </c>
      <c r="FO51" s="119" t="s">
        <v>255</v>
      </c>
      <c r="FP51" s="119"/>
      <c r="FQ51" s="95">
        <v>42647</v>
      </c>
      <c r="FR51" s="63"/>
      <c r="FS51" s="64">
        <v>42079</v>
      </c>
      <c r="FT51" s="63"/>
      <c r="FU51" s="56">
        <v>42797</v>
      </c>
      <c r="FV51" s="56"/>
      <c r="FW51" s="63"/>
      <c r="FX51" s="63"/>
      <c r="FY51" s="95">
        <v>42978</v>
      </c>
      <c r="FZ51" s="63"/>
      <c r="GA51" s="334">
        <v>5246631</v>
      </c>
      <c r="GB51" s="471">
        <f>GD51+GG51+GJ51+HF51+Tableau6[[#This Row],[PRÊT CREDIT D''IMPOT (PM)]]</f>
        <v>5090210.4499999993</v>
      </c>
      <c r="GC51" s="644">
        <f t="shared" si="224"/>
        <v>5090210.4499999993</v>
      </c>
      <c r="GD51" s="507">
        <f t="shared" si="219"/>
        <v>663000</v>
      </c>
      <c r="GE51" s="20">
        <f t="shared" si="211"/>
        <v>1964.0809715818104</v>
      </c>
      <c r="GF51" s="20">
        <f t="shared" si="212"/>
        <v>127255.26124999998</v>
      </c>
      <c r="GG51" s="507">
        <v>1480537</v>
      </c>
      <c r="GH51" s="351"/>
      <c r="GI51" s="11">
        <f t="shared" si="225"/>
        <v>37013.425000000003</v>
      </c>
      <c r="GJ51" s="507">
        <f t="shared" si="213"/>
        <v>2895140.53</v>
      </c>
      <c r="GK51" s="5">
        <f>+GL51+GM51</f>
        <v>2895140.53</v>
      </c>
      <c r="GL51" s="44">
        <v>565518</v>
      </c>
      <c r="GM51" s="6">
        <v>2329622.5299999998</v>
      </c>
      <c r="GN51" s="345">
        <f t="shared" si="214"/>
        <v>72378.513249999989</v>
      </c>
      <c r="GO51" s="35">
        <v>0</v>
      </c>
      <c r="GP51" s="8">
        <v>663000</v>
      </c>
      <c r="GQ51" s="35"/>
      <c r="GR51" s="18">
        <f t="shared" si="215"/>
        <v>0.13025001746244108</v>
      </c>
      <c r="GS51" s="45"/>
      <c r="GT51" s="45"/>
      <c r="GU51" s="8">
        <v>0</v>
      </c>
      <c r="GV51" s="20">
        <f t="shared" si="170"/>
        <v>16575</v>
      </c>
      <c r="GW51" s="20">
        <f t="shared" si="171"/>
        <v>53588.425000000003</v>
      </c>
      <c r="GX51" s="567">
        <v>1151902.8490725001</v>
      </c>
      <c r="GY51" s="567">
        <v>800000</v>
      </c>
      <c r="GZ51" s="567" t="e">
        <f>(#REF!+#REF!+GY51)/AD51</f>
        <v>#REF!</v>
      </c>
      <c r="HA51" s="567">
        <v>0</v>
      </c>
      <c r="HB51" s="567">
        <f t="shared" si="172"/>
        <v>73588.425000000003</v>
      </c>
      <c r="HC51" s="568">
        <f>(GG51+GP51+GY51+HA51)/(GX51+GB51-HD51)</f>
        <v>0.4949673218743304</v>
      </c>
      <c r="HD51" s="567">
        <v>295181.31</v>
      </c>
      <c r="HE51" s="570"/>
      <c r="HF51" s="507">
        <v>51532.92</v>
      </c>
      <c r="HG51" s="633"/>
      <c r="HH51" s="634">
        <f t="shared" si="216"/>
        <v>0</v>
      </c>
      <c r="HI51" s="635">
        <f t="shared" si="173"/>
        <v>5090210.4499999993</v>
      </c>
      <c r="HJ51" s="633" t="e">
        <f t="shared" ca="1" si="221"/>
        <v>#VALUE!</v>
      </c>
      <c r="HK51" s="633"/>
      <c r="HL51" s="633"/>
      <c r="HM51" s="633">
        <f t="shared" si="217"/>
        <v>663000</v>
      </c>
      <c r="HN51" s="636">
        <f t="shared" si="218"/>
        <v>0</v>
      </c>
      <c r="HO51" s="636"/>
      <c r="HP51" s="563"/>
      <c r="HQ51" s="47"/>
      <c r="HR51" s="563"/>
      <c r="HS51" s="563">
        <f>SUM(Tableau6[[#This Row],[GO]:[CARRELAGE]])</f>
        <v>0</v>
      </c>
      <c r="HT51" s="461"/>
      <c r="HU51" s="461"/>
      <c r="HV51" s="461"/>
      <c r="HW51" s="461"/>
      <c r="HX51" s="461"/>
      <c r="HY51" s="461"/>
      <c r="HZ51" s="461"/>
      <c r="IA51" s="461"/>
      <c r="IB51" s="461"/>
      <c r="IC51" s="461"/>
      <c r="ID51" s="461"/>
      <c r="IE51" s="461"/>
      <c r="IF51" s="461"/>
      <c r="IG51" s="563"/>
      <c r="IH51" s="563"/>
      <c r="II51" s="563">
        <f>HP51+HR51+Tableau6[[#This Row],[TRAVAUX BATIS]]+Tableau6[[#This Row],[HONORAIRES]]+IH51</f>
        <v>0</v>
      </c>
      <c r="IJ51" s="654">
        <f>Tableau6[[#This Row],[TOTAL PRP HT]]-Tableau6[[#This Row],[PRP TTC HORS FRAFU]]/1.021</f>
        <v>-4985514.6425073454</v>
      </c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</row>
    <row r="52" spans="1:256" ht="55.5" customHeight="1">
      <c r="A52" s="360" t="s">
        <v>71</v>
      </c>
      <c r="B52" s="22" t="s">
        <v>21</v>
      </c>
      <c r="C52" s="22" t="s">
        <v>86</v>
      </c>
      <c r="D52" s="22">
        <v>2012</v>
      </c>
      <c r="E52" s="22" t="s">
        <v>62</v>
      </c>
      <c r="F52" s="22" t="s">
        <v>23</v>
      </c>
      <c r="G52" s="57"/>
      <c r="H52" s="22" t="s">
        <v>181</v>
      </c>
      <c r="I52" s="22"/>
      <c r="J52" s="22"/>
      <c r="K52" s="134"/>
      <c r="L52" s="780"/>
      <c r="M52" s="780"/>
      <c r="N52" s="780"/>
      <c r="O52" s="103">
        <v>3735</v>
      </c>
      <c r="P52" s="103">
        <f>Q52</f>
        <v>860000</v>
      </c>
      <c r="Q52" s="103">
        <v>860000</v>
      </c>
      <c r="R52" s="103">
        <f>P52/(AD52+AD189)</f>
        <v>29655.172413793105</v>
      </c>
      <c r="S52" s="103">
        <f t="shared" si="226"/>
        <v>230.25435073627844</v>
      </c>
      <c r="T52" s="103">
        <f t="shared" si="227"/>
        <v>230.25435073627844</v>
      </c>
      <c r="U52" s="103">
        <f>Q52/(AK52+AK189)</f>
        <v>360.08575065317876</v>
      </c>
      <c r="V52" s="103">
        <f>Q52/(AD52+AD189)</f>
        <v>29655.172413793105</v>
      </c>
      <c r="W52" s="103">
        <f>O52/(AD52+AD189)</f>
        <v>128.79310344827587</v>
      </c>
      <c r="X52" s="103"/>
      <c r="Y52" s="444">
        <f t="shared" si="188"/>
        <v>77.643908969210173</v>
      </c>
      <c r="Z52" s="104" t="s">
        <v>148</v>
      </c>
      <c r="AA52" s="104"/>
      <c r="AB52" s="105"/>
      <c r="AC52" s="22" t="s">
        <v>9</v>
      </c>
      <c r="AD52" s="426">
        <f t="shared" si="189"/>
        <v>29</v>
      </c>
      <c r="AE52" s="426">
        <f t="shared" si="190"/>
        <v>29</v>
      </c>
      <c r="AF52" s="22">
        <v>29</v>
      </c>
      <c r="AG52" s="32"/>
      <c r="AH52" s="32"/>
      <c r="AI52" s="32"/>
      <c r="AJ52" s="26">
        <v>2007.6900000000003</v>
      </c>
      <c r="AK52" s="225">
        <v>2388.3200000000002</v>
      </c>
      <c r="AL52" s="492">
        <f t="shared" si="191"/>
        <v>69.230689655172426</v>
      </c>
      <c r="AM52" s="4">
        <f t="shared" si="192"/>
        <v>82.355862068965521</v>
      </c>
      <c r="AN52" s="26">
        <v>7.4473879373807685</v>
      </c>
      <c r="AO52" s="26">
        <v>6.2604869900180882</v>
      </c>
      <c r="AP52" s="26">
        <v>515.5878030344827</v>
      </c>
      <c r="AQ52" s="28"/>
      <c r="AR52" s="28"/>
      <c r="AS52" s="28"/>
      <c r="AT52" s="28"/>
      <c r="AU52" s="28"/>
      <c r="AV52" s="26">
        <v>1046</v>
      </c>
      <c r="AW52" s="37">
        <v>0</v>
      </c>
      <c r="AX52" s="39">
        <f>AW52/O52</f>
        <v>0</v>
      </c>
      <c r="AY52" s="26">
        <v>4</v>
      </c>
      <c r="AZ52" s="25" t="s">
        <v>386</v>
      </c>
      <c r="BA52" s="26" t="s">
        <v>94</v>
      </c>
      <c r="BB52" s="26"/>
      <c r="BC52" s="26"/>
      <c r="BD52" s="26"/>
      <c r="BE52" s="26"/>
      <c r="BF52" s="22"/>
      <c r="BG52" s="22"/>
      <c r="BH52" s="89">
        <v>40963</v>
      </c>
      <c r="BI52" s="89"/>
      <c r="BJ52" s="548">
        <v>40998</v>
      </c>
      <c r="BK52" s="548">
        <v>41053</v>
      </c>
      <c r="BL52" s="549"/>
      <c r="BM52" s="547">
        <f t="shared" si="193"/>
        <v>1.8333333333333333</v>
      </c>
      <c r="BN52" s="490"/>
      <c r="BO52" s="467"/>
      <c r="BP52" s="476">
        <v>41285</v>
      </c>
      <c r="BQ52" s="525"/>
      <c r="BR52" s="525"/>
      <c r="BS52" s="77">
        <f t="shared" si="229"/>
        <v>41375</v>
      </c>
      <c r="BT52" s="50"/>
      <c r="BU52" s="150">
        <v>41395</v>
      </c>
      <c r="BV52" s="150">
        <f t="shared" si="194"/>
        <v>42491</v>
      </c>
      <c r="BW52" s="373">
        <v>139704</v>
      </c>
      <c r="BX52" s="150" t="str">
        <f>IF(Tableau6[[#This Row],[Montant des loyers perçus avant 1e échéance]]&lt;BW52,"oui","non")</f>
        <v>non</v>
      </c>
      <c r="BY52" s="475">
        <f t="shared" si="228"/>
        <v>11.1</v>
      </c>
      <c r="BZ52" s="373">
        <f t="shared" si="222"/>
        <v>170984.08794630863</v>
      </c>
      <c r="CA52" s="373">
        <f>IF(BW52-BZ52&lt;0,0,Tableau6[[#This Row],[Montant échéance annuelle]]-Tableau6[[#This Row],[Montant des loyers perçus avant 1e échéance]])</f>
        <v>0</v>
      </c>
      <c r="CB52" s="64"/>
      <c r="CC52" s="64"/>
      <c r="CD52" s="64"/>
      <c r="CE52" s="273" t="str">
        <f t="shared" si="184"/>
        <v>0</v>
      </c>
      <c r="CF52" s="64"/>
      <c r="CG52" s="64"/>
      <c r="CH52" s="273" t="str">
        <f t="shared" si="185"/>
        <v>0</v>
      </c>
      <c r="CI52" s="64"/>
      <c r="CJ52" s="64"/>
      <c r="CK52" s="273" t="str">
        <f t="shared" si="186"/>
        <v>0</v>
      </c>
      <c r="CL52" s="64"/>
      <c r="CM52" s="64"/>
      <c r="CN52" s="273" t="str">
        <f t="shared" si="187"/>
        <v>0</v>
      </c>
      <c r="CO52" s="66"/>
      <c r="CP52" s="311"/>
      <c r="CQ52" s="273" t="str">
        <f t="shared" si="195"/>
        <v>0</v>
      </c>
      <c r="CR52" s="239"/>
      <c r="CS52" s="117"/>
      <c r="CT52" s="64"/>
      <c r="CU52" s="117"/>
      <c r="CV52" s="273" t="str">
        <f t="shared" si="161"/>
        <v>0</v>
      </c>
      <c r="CW52" s="64"/>
      <c r="CX52" s="181">
        <v>41309</v>
      </c>
      <c r="CY52" s="175">
        <v>2013</v>
      </c>
      <c r="CZ52" s="232">
        <f t="shared" si="196"/>
        <v>8.5333333333333332</v>
      </c>
      <c r="DA52" s="273" t="str">
        <f t="shared" si="197"/>
        <v>0</v>
      </c>
      <c r="DB52" s="59">
        <v>15</v>
      </c>
      <c r="DC52" s="59">
        <f t="shared" si="198"/>
        <v>27</v>
      </c>
      <c r="DD52" s="159"/>
      <c r="DE52" s="158"/>
      <c r="DF52" s="381" t="str">
        <f t="shared" si="199"/>
        <v>0</v>
      </c>
      <c r="DG52" s="159"/>
      <c r="DH52" s="336"/>
      <c r="DI52" s="337" t="str">
        <f t="shared" si="200"/>
        <v>0</v>
      </c>
      <c r="DJ52" s="133"/>
      <c r="DK52" s="336"/>
      <c r="DL52" s="381" t="str">
        <f t="shared" si="201"/>
        <v>0</v>
      </c>
      <c r="DM52" s="159"/>
      <c r="DN52" s="159"/>
      <c r="DO52" s="381" t="str">
        <f t="shared" si="202"/>
        <v>0</v>
      </c>
      <c r="DP52" s="159"/>
      <c r="DQ52" s="159"/>
      <c r="DR52" s="381" t="str">
        <f t="shared" si="203"/>
        <v>0</v>
      </c>
      <c r="DS52" s="159"/>
      <c r="DT52" s="159"/>
      <c r="DU52" s="381" t="str">
        <f t="shared" si="204"/>
        <v>0</v>
      </c>
      <c r="DV52" s="159"/>
      <c r="DW52" s="159"/>
      <c r="DX52" s="381" t="str">
        <f t="shared" si="205"/>
        <v>0</v>
      </c>
      <c r="DY52" s="159"/>
      <c r="DZ52" s="159"/>
      <c r="EA52" s="159"/>
      <c r="EB52" s="240">
        <f t="shared" si="206"/>
        <v>41763</v>
      </c>
      <c r="EC52" s="183">
        <v>42158</v>
      </c>
      <c r="ED52" s="401">
        <f t="shared" si="207"/>
        <v>13.166666666666666</v>
      </c>
      <c r="EE52" s="511"/>
      <c r="EF52" s="649"/>
      <c r="EG52" s="58">
        <v>41992</v>
      </c>
      <c r="EH52" s="58" t="s">
        <v>101</v>
      </c>
      <c r="EI52" s="58">
        <v>42158</v>
      </c>
      <c r="EJ52" s="240"/>
      <c r="EK52" s="455">
        <f t="shared" si="220"/>
        <v>41794</v>
      </c>
      <c r="EL52" s="185">
        <v>42158</v>
      </c>
      <c r="EM52" s="241">
        <v>2015</v>
      </c>
      <c r="EN52" s="396">
        <f t="shared" si="223"/>
        <v>12.133333333333333</v>
      </c>
      <c r="EO52" s="388">
        <f>184847.662644658/12</f>
        <v>15403.971887054833</v>
      </c>
      <c r="EP52" s="117">
        <f t="shared" si="208"/>
        <v>186901.52556293196</v>
      </c>
      <c r="EQ52" s="58"/>
      <c r="ER52" s="58"/>
      <c r="ES52" s="59"/>
      <c r="ET52" s="296"/>
      <c r="EU52" s="387">
        <f>HF52</f>
        <v>20258</v>
      </c>
      <c r="EV52" s="300"/>
      <c r="EW52" s="300"/>
      <c r="EX52" s="300"/>
      <c r="EY52" s="416">
        <f t="shared" si="209"/>
        <v>0</v>
      </c>
      <c r="EZ52" s="297"/>
      <c r="FA52" s="308"/>
      <c r="FB52" s="297"/>
      <c r="FC52" s="297"/>
      <c r="FD52" s="89">
        <f t="shared" si="167"/>
        <v>731</v>
      </c>
      <c r="FE52" s="64"/>
      <c r="FF52" s="64"/>
      <c r="FG52" s="63"/>
      <c r="FH52" s="63"/>
      <c r="FI52" s="63"/>
      <c r="FJ52" s="138" t="s">
        <v>225</v>
      </c>
      <c r="FK52" s="159">
        <f t="shared" si="210"/>
        <v>42524</v>
      </c>
      <c r="FL52" s="159"/>
      <c r="FM52" s="375">
        <v>10000</v>
      </c>
      <c r="FN52" s="119" t="s">
        <v>213</v>
      </c>
      <c r="FO52" s="95">
        <v>42353</v>
      </c>
      <c r="FP52" s="95"/>
      <c r="FQ52" s="63"/>
      <c r="FR52" s="63"/>
      <c r="FS52" s="354"/>
      <c r="FT52" s="63"/>
      <c r="FU52" s="64">
        <v>43006</v>
      </c>
      <c r="FV52" s="88"/>
      <c r="FW52" s="88"/>
      <c r="FX52" s="88"/>
      <c r="FY52" s="63"/>
      <c r="FZ52" s="95" t="s">
        <v>101</v>
      </c>
      <c r="GA52" s="334">
        <v>4670611</v>
      </c>
      <c r="GB52" s="471">
        <f>GD52+GG52+GJ52+HF52+Tableau6[[#This Row],[PRÊT CREDIT D''IMPOT (PM)]]</f>
        <v>4681218.38</v>
      </c>
      <c r="GC52" s="644">
        <f t="shared" si="224"/>
        <v>4681218.38</v>
      </c>
      <c r="GD52" s="507">
        <f t="shared" si="219"/>
        <v>1111</v>
      </c>
      <c r="GE52" s="20">
        <f t="shared" si="211"/>
        <v>1960.0465515508808</v>
      </c>
      <c r="GF52" s="20">
        <f t="shared" si="212"/>
        <v>161421.32344827586</v>
      </c>
      <c r="GG52" s="507">
        <v>1473759.38</v>
      </c>
      <c r="GH52" s="351"/>
      <c r="GI52" s="11">
        <f t="shared" si="225"/>
        <v>50819.28896551724</v>
      </c>
      <c r="GJ52" s="507">
        <f t="shared" si="213"/>
        <v>3186090</v>
      </c>
      <c r="GK52" s="5">
        <f>+GL52+GM52</f>
        <v>3186090</v>
      </c>
      <c r="GL52" s="44">
        <v>549227</v>
      </c>
      <c r="GM52" s="6">
        <v>2636863</v>
      </c>
      <c r="GN52" s="345">
        <f t="shared" si="214"/>
        <v>109865.1724137931</v>
      </c>
      <c r="GO52" s="35">
        <v>0</v>
      </c>
      <c r="GP52" s="8">
        <v>1</v>
      </c>
      <c r="GQ52" s="34"/>
      <c r="GR52" s="18">
        <f t="shared" si="215"/>
        <v>2.1361960045965641E-7</v>
      </c>
      <c r="GS52" s="45"/>
      <c r="GT52" s="45"/>
      <c r="GU52" s="34">
        <v>1110</v>
      </c>
      <c r="GV52" s="20">
        <f t="shared" si="170"/>
        <v>3.4482758620689655E-2</v>
      </c>
      <c r="GW52" s="20">
        <f t="shared" si="171"/>
        <v>50819.323448275856</v>
      </c>
      <c r="GX52" s="567">
        <v>0</v>
      </c>
      <c r="GY52" s="567">
        <v>0</v>
      </c>
      <c r="GZ52" s="567" t="e">
        <f>(#REF!+#REF!+GY52)/AD52</f>
        <v>#REF!</v>
      </c>
      <c r="HA52" s="567">
        <v>0</v>
      </c>
      <c r="HB52" s="567">
        <f t="shared" si="172"/>
        <v>50819.323448275856</v>
      </c>
      <c r="HC52" s="568">
        <f>(GG52+GP52+GY52+HA52)/(GX52+GB52-HD52)</f>
        <v>0.31482410354887136</v>
      </c>
      <c r="HD52" s="567"/>
      <c r="HE52" s="567"/>
      <c r="HF52" s="507">
        <v>20258</v>
      </c>
      <c r="HG52" s="633"/>
      <c r="HH52" s="634">
        <f t="shared" si="216"/>
        <v>0</v>
      </c>
      <c r="HI52" s="635">
        <f t="shared" si="173"/>
        <v>4681218.38</v>
      </c>
      <c r="HJ52" s="633" t="e">
        <f t="shared" ca="1" si="221"/>
        <v>#VALUE!</v>
      </c>
      <c r="HK52" s="633"/>
      <c r="HL52" s="633"/>
      <c r="HM52" s="633">
        <f t="shared" si="217"/>
        <v>1111</v>
      </c>
      <c r="HN52" s="636">
        <f t="shared" si="218"/>
        <v>0</v>
      </c>
      <c r="HO52" s="636"/>
      <c r="HP52" s="563"/>
      <c r="HQ52" s="47"/>
      <c r="HR52" s="563"/>
      <c r="HS52" s="563">
        <f>SUM(Tableau6[[#This Row],[GO]:[CARRELAGE]])</f>
        <v>0</v>
      </c>
      <c r="HT52" s="461"/>
      <c r="HU52" s="461"/>
      <c r="HV52" s="461"/>
      <c r="HW52" s="461"/>
      <c r="HX52" s="461"/>
      <c r="HY52" s="461"/>
      <c r="HZ52" s="461"/>
      <c r="IA52" s="461"/>
      <c r="IB52" s="461"/>
      <c r="IC52" s="461"/>
      <c r="ID52" s="461"/>
      <c r="IE52" s="461"/>
      <c r="IF52" s="461"/>
      <c r="IG52" s="563"/>
      <c r="IH52" s="563"/>
      <c r="II52" s="563">
        <f>HP52+HR52+Tableau6[[#This Row],[TRAVAUX BATIS]]+Tableau6[[#This Row],[HONORAIRES]]+IH52</f>
        <v>0</v>
      </c>
      <c r="IJ52" s="654">
        <f>Tableau6[[#This Row],[TOTAL PRP HT]]-Tableau6[[#This Row],[PRP TTC HORS FRAFU]]/1.021</f>
        <v>-4584934.7502448587</v>
      </c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</row>
    <row r="53" spans="1:256" ht="35.25" customHeight="1">
      <c r="A53" s="360" t="s">
        <v>72</v>
      </c>
      <c r="B53" s="22" t="s">
        <v>21</v>
      </c>
      <c r="C53" s="22" t="s">
        <v>86</v>
      </c>
      <c r="D53" s="22">
        <v>2012</v>
      </c>
      <c r="E53" s="22" t="s">
        <v>62</v>
      </c>
      <c r="F53" s="22" t="s">
        <v>23</v>
      </c>
      <c r="G53" s="157"/>
      <c r="H53" s="57"/>
      <c r="I53" s="22"/>
      <c r="J53" s="22"/>
      <c r="K53" s="134"/>
      <c r="L53" s="780"/>
      <c r="M53" s="780"/>
      <c r="N53" s="780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 t="e">
        <f t="shared" si="188"/>
        <v>#DIV/0!</v>
      </c>
      <c r="Z53" s="104" t="s">
        <v>148</v>
      </c>
      <c r="AA53" s="104"/>
      <c r="AB53" s="105"/>
      <c r="AC53" s="22" t="s">
        <v>10</v>
      </c>
      <c r="AD53" s="426">
        <f t="shared" si="189"/>
        <v>13</v>
      </c>
      <c r="AE53" s="426">
        <f t="shared" si="190"/>
        <v>13</v>
      </c>
      <c r="AF53" s="32"/>
      <c r="AG53" s="22">
        <v>13</v>
      </c>
      <c r="AH53" s="32"/>
      <c r="AI53" s="32"/>
      <c r="AJ53" s="616">
        <v>759.6099999999999</v>
      </c>
      <c r="AK53" s="225">
        <v>926.6099999999999</v>
      </c>
      <c r="AL53" s="492">
        <f t="shared" si="191"/>
        <v>58.431538461538452</v>
      </c>
      <c r="AM53" s="4">
        <f t="shared" si="192"/>
        <v>71.277692307692305</v>
      </c>
      <c r="AN53" s="26">
        <v>6.37</v>
      </c>
      <c r="AO53" s="26">
        <v>5.22</v>
      </c>
      <c r="AP53" s="26">
        <v>403.29796109582185</v>
      </c>
      <c r="AQ53" s="28"/>
      <c r="AR53" s="28"/>
      <c r="AS53" s="28"/>
      <c r="AT53" s="28"/>
      <c r="AU53" s="28"/>
      <c r="AV53" s="32"/>
      <c r="AW53" s="87"/>
      <c r="AX53" s="54"/>
      <c r="AY53" s="32"/>
      <c r="AZ53" s="25" t="s">
        <v>386</v>
      </c>
      <c r="BA53" s="26" t="s">
        <v>94</v>
      </c>
      <c r="BB53" s="26"/>
      <c r="BC53" s="26"/>
      <c r="BD53" s="26"/>
      <c r="BE53" s="26"/>
      <c r="BF53" s="22"/>
      <c r="BG53" s="22"/>
      <c r="BH53" s="89">
        <v>40963</v>
      </c>
      <c r="BI53" s="89"/>
      <c r="BJ53" s="548">
        <v>40998</v>
      </c>
      <c r="BK53" s="548">
        <v>41081</v>
      </c>
      <c r="BL53" s="549"/>
      <c r="BM53" s="547">
        <f t="shared" si="193"/>
        <v>2.7666666666666666</v>
      </c>
      <c r="BN53" s="490"/>
      <c r="BO53" s="467"/>
      <c r="BP53" s="476">
        <v>41285</v>
      </c>
      <c r="BQ53" s="525"/>
      <c r="BR53" s="525"/>
      <c r="BS53" s="77">
        <f t="shared" si="229"/>
        <v>41375</v>
      </c>
      <c r="BT53" s="50"/>
      <c r="BU53" s="150">
        <v>41395</v>
      </c>
      <c r="BV53" s="150">
        <f t="shared" si="194"/>
        <v>42491</v>
      </c>
      <c r="BW53" s="373">
        <v>39110</v>
      </c>
      <c r="BX53" s="150" t="str">
        <f>IF(Tableau6[[#This Row],[Montant des loyers perçus avant 1e échéance]]&lt;BW53,"oui","non")</f>
        <v>non</v>
      </c>
      <c r="BY53" s="475">
        <f t="shared" si="228"/>
        <v>11.1</v>
      </c>
      <c r="BZ53" s="373">
        <f t="shared" si="222"/>
        <v>51033.703929676238</v>
      </c>
      <c r="CA53" s="373">
        <f>IF(BW53-BZ53&lt;0,0,Tableau6[[#This Row],[Montant échéance annuelle]]-Tableau6[[#This Row],[Montant des loyers perçus avant 1e échéance]])</f>
        <v>0</v>
      </c>
      <c r="CB53" s="64"/>
      <c r="CC53" s="64"/>
      <c r="CD53" s="64"/>
      <c r="CE53" s="273" t="str">
        <f t="shared" si="184"/>
        <v>0</v>
      </c>
      <c r="CF53" s="64"/>
      <c r="CG53" s="64"/>
      <c r="CH53" s="273" t="str">
        <f t="shared" si="185"/>
        <v>0</v>
      </c>
      <c r="CI53" s="64"/>
      <c r="CJ53" s="64"/>
      <c r="CK53" s="273" t="str">
        <f t="shared" si="186"/>
        <v>0</v>
      </c>
      <c r="CL53" s="64"/>
      <c r="CM53" s="64"/>
      <c r="CN53" s="273" t="str">
        <f t="shared" si="187"/>
        <v>0</v>
      </c>
      <c r="CO53" s="66"/>
      <c r="CP53" s="311"/>
      <c r="CQ53" s="273" t="str">
        <f t="shared" si="195"/>
        <v>0</v>
      </c>
      <c r="CR53" s="239"/>
      <c r="CS53" s="117"/>
      <c r="CT53" s="64"/>
      <c r="CU53" s="117"/>
      <c r="CV53" s="273" t="str">
        <f t="shared" si="161"/>
        <v>0</v>
      </c>
      <c r="CW53" s="64"/>
      <c r="CX53" s="181">
        <v>41309</v>
      </c>
      <c r="CY53" s="175">
        <v>2013</v>
      </c>
      <c r="CZ53" s="232">
        <f t="shared" si="196"/>
        <v>7.6</v>
      </c>
      <c r="DA53" s="273" t="str">
        <f t="shared" si="197"/>
        <v>0</v>
      </c>
      <c r="DB53" s="59">
        <v>15</v>
      </c>
      <c r="DC53" s="59">
        <f t="shared" si="198"/>
        <v>27</v>
      </c>
      <c r="DD53" s="159"/>
      <c r="DE53" s="158"/>
      <c r="DF53" s="381" t="str">
        <f t="shared" si="199"/>
        <v>0</v>
      </c>
      <c r="DG53" s="159"/>
      <c r="DH53" s="336"/>
      <c r="DI53" s="337" t="str">
        <f t="shared" si="200"/>
        <v>0</v>
      </c>
      <c r="DJ53" s="133"/>
      <c r="DK53" s="336"/>
      <c r="DL53" s="381" t="str">
        <f t="shared" si="201"/>
        <v>0</v>
      </c>
      <c r="DM53" s="159"/>
      <c r="DN53" s="159"/>
      <c r="DO53" s="381" t="str">
        <f t="shared" si="202"/>
        <v>0</v>
      </c>
      <c r="DP53" s="159"/>
      <c r="DQ53" s="159"/>
      <c r="DR53" s="381" t="str">
        <f t="shared" si="203"/>
        <v>0</v>
      </c>
      <c r="DS53" s="159"/>
      <c r="DT53" s="159"/>
      <c r="DU53" s="381" t="str">
        <f t="shared" si="204"/>
        <v>0</v>
      </c>
      <c r="DV53" s="159"/>
      <c r="DW53" s="159"/>
      <c r="DX53" s="381" t="str">
        <f t="shared" si="205"/>
        <v>0</v>
      </c>
      <c r="DY53" s="159"/>
      <c r="DZ53" s="159"/>
      <c r="EA53" s="159"/>
      <c r="EB53" s="240">
        <f t="shared" si="206"/>
        <v>41763</v>
      </c>
      <c r="EC53" s="183">
        <v>42158</v>
      </c>
      <c r="ED53" s="401">
        <f t="shared" si="207"/>
        <v>13.166666666666666</v>
      </c>
      <c r="EE53" s="511"/>
      <c r="EF53" s="649"/>
      <c r="EG53" s="58">
        <v>41992</v>
      </c>
      <c r="EH53" s="58" t="s">
        <v>101</v>
      </c>
      <c r="EI53" s="58">
        <v>42158</v>
      </c>
      <c r="EJ53" s="240"/>
      <c r="EK53" s="455">
        <f t="shared" si="220"/>
        <v>41794</v>
      </c>
      <c r="EL53" s="185">
        <v>42158</v>
      </c>
      <c r="EM53" s="241">
        <v>2015</v>
      </c>
      <c r="EN53" s="396">
        <f t="shared" si="223"/>
        <v>12.133333333333333</v>
      </c>
      <c r="EO53" s="388">
        <f>55171.5718158662/12</f>
        <v>4597.6309846555168</v>
      </c>
      <c r="EP53" s="117">
        <f t="shared" si="208"/>
        <v>55784.589280486936</v>
      </c>
      <c r="EQ53" s="58"/>
      <c r="ER53" s="58"/>
      <c r="ES53" s="59"/>
      <c r="ET53" s="296"/>
      <c r="EU53" s="387">
        <f>HF53</f>
        <v>90483</v>
      </c>
      <c r="EV53" s="300"/>
      <c r="EW53" s="300"/>
      <c r="EX53" s="300"/>
      <c r="EY53" s="416">
        <f t="shared" si="209"/>
        <v>0</v>
      </c>
      <c r="EZ53" s="297"/>
      <c r="FA53" s="308" t="s">
        <v>521</v>
      </c>
      <c r="FB53" s="297"/>
      <c r="FC53" s="297"/>
      <c r="FD53" s="89">
        <f t="shared" si="167"/>
        <v>731</v>
      </c>
      <c r="FE53" s="64"/>
      <c r="FF53" s="64"/>
      <c r="FG53" s="63"/>
      <c r="FH53" s="63"/>
      <c r="FI53" s="63"/>
      <c r="FJ53" s="138" t="s">
        <v>225</v>
      </c>
      <c r="FK53" s="159">
        <f t="shared" si="210"/>
        <v>42524</v>
      </c>
      <c r="FL53" s="159"/>
      <c r="FM53" s="375">
        <v>59673</v>
      </c>
      <c r="FN53" s="119" t="s">
        <v>213</v>
      </c>
      <c r="FO53" s="95">
        <v>42353</v>
      </c>
      <c r="FP53" s="95"/>
      <c r="FQ53" s="63"/>
      <c r="FR53" s="63"/>
      <c r="FS53" s="354"/>
      <c r="FT53" s="63"/>
      <c r="FU53" s="64">
        <v>43006</v>
      </c>
      <c r="FV53" s="88"/>
      <c r="FW53" s="88"/>
      <c r="FX53" s="88"/>
      <c r="FY53" s="63"/>
      <c r="FZ53" s="95" t="s">
        <v>101</v>
      </c>
      <c r="GA53" s="334">
        <v>1808199</v>
      </c>
      <c r="GB53" s="471">
        <f>GD53+GG53+GJ53+HF53+Tableau6[[#This Row],[PRÊT CREDIT D''IMPOT (PM)]]</f>
        <v>1898659.47</v>
      </c>
      <c r="GC53" s="644">
        <f t="shared" si="224"/>
        <v>1898659.47</v>
      </c>
      <c r="GD53" s="507">
        <f t="shared" si="219"/>
        <v>60430</v>
      </c>
      <c r="GE53" s="20">
        <f t="shared" si="211"/>
        <v>2049.0383980315346</v>
      </c>
      <c r="GF53" s="20">
        <f t="shared" si="212"/>
        <v>146050.72846153847</v>
      </c>
      <c r="GG53" s="507">
        <v>706398.49</v>
      </c>
      <c r="GH53" s="351"/>
      <c r="GI53" s="11">
        <f t="shared" si="225"/>
        <v>54338.345384615386</v>
      </c>
      <c r="GJ53" s="507">
        <f t="shared" si="213"/>
        <v>1041347.98</v>
      </c>
      <c r="GK53" s="5">
        <f>+GL53+GM53</f>
        <v>1041347.98</v>
      </c>
      <c r="GL53" s="44">
        <v>179485</v>
      </c>
      <c r="GM53" s="6">
        <v>861862.98</v>
      </c>
      <c r="GN53" s="345">
        <f t="shared" si="214"/>
        <v>80103.690769230772</v>
      </c>
      <c r="GO53" s="35">
        <v>0</v>
      </c>
      <c r="GP53" s="8">
        <v>60000</v>
      </c>
      <c r="GQ53" s="34"/>
      <c r="GR53" s="18">
        <f t="shared" si="215"/>
        <v>3.1601243376201633E-2</v>
      </c>
      <c r="GS53" s="35"/>
      <c r="GT53" s="35"/>
      <c r="GU53" s="34">
        <v>430</v>
      </c>
      <c r="GV53" s="20">
        <f t="shared" si="170"/>
        <v>4615.3846153846152</v>
      </c>
      <c r="GW53" s="20">
        <f t="shared" si="171"/>
        <v>58953.729999999996</v>
      </c>
      <c r="GX53" s="567">
        <v>0</v>
      </c>
      <c r="GY53" s="567">
        <v>0</v>
      </c>
      <c r="GZ53" s="567" t="e">
        <f>(#REF!+#REF!+GY53)/AD53</f>
        <v>#REF!</v>
      </c>
      <c r="HA53" s="567">
        <v>0</v>
      </c>
      <c r="HB53" s="567">
        <f t="shared" si="172"/>
        <v>58953.729999999996</v>
      </c>
      <c r="HC53" s="568">
        <f>(GG53+GP53+GY53+HA53)/(GX53+GB53-HD53)</f>
        <v>0.40365242009405722</v>
      </c>
      <c r="HD53" s="567"/>
      <c r="HE53" s="567"/>
      <c r="HF53" s="507">
        <v>90483</v>
      </c>
      <c r="HG53" s="633"/>
      <c r="HH53" s="634">
        <f t="shared" si="216"/>
        <v>0</v>
      </c>
      <c r="HI53" s="635">
        <f t="shared" si="173"/>
        <v>1898659.47</v>
      </c>
      <c r="HJ53" s="633" t="e">
        <f t="shared" ca="1" si="221"/>
        <v>#VALUE!</v>
      </c>
      <c r="HK53" s="633"/>
      <c r="HL53" s="633"/>
      <c r="HM53" s="633">
        <f t="shared" si="217"/>
        <v>60430</v>
      </c>
      <c r="HN53" s="636">
        <f t="shared" si="218"/>
        <v>0</v>
      </c>
      <c r="HO53" s="636"/>
      <c r="HP53" s="563"/>
      <c r="HQ53" s="47"/>
      <c r="HR53" s="563"/>
      <c r="HS53" s="563">
        <f>SUM(Tableau6[[#This Row],[GO]:[CARRELAGE]])</f>
        <v>0</v>
      </c>
      <c r="HT53" s="461"/>
      <c r="HU53" s="461"/>
      <c r="HV53" s="461"/>
      <c r="HW53" s="461"/>
      <c r="HX53" s="461"/>
      <c r="HY53" s="461"/>
      <c r="HZ53" s="461"/>
      <c r="IA53" s="461"/>
      <c r="IB53" s="461"/>
      <c r="IC53" s="461"/>
      <c r="ID53" s="461"/>
      <c r="IE53" s="461"/>
      <c r="IF53" s="461"/>
      <c r="IG53" s="563"/>
      <c r="IH53" s="563"/>
      <c r="II53" s="563">
        <f>HP53+HR53+Tableau6[[#This Row],[TRAVAUX BATIS]]+Tableau6[[#This Row],[HONORAIRES]]+IH53</f>
        <v>0</v>
      </c>
      <c r="IJ53" s="654">
        <f>Tableau6[[#This Row],[TOTAL PRP HT]]-Tableau6[[#This Row],[PRP TTC HORS FRAFU]]/1.021</f>
        <v>-1859607.7081292851</v>
      </c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</row>
    <row r="54" spans="1:256" ht="75.75" customHeight="1">
      <c r="A54" s="441" t="s">
        <v>313</v>
      </c>
      <c r="B54" s="22" t="s">
        <v>14</v>
      </c>
      <c r="C54" s="22" t="s">
        <v>86</v>
      </c>
      <c r="D54" s="22">
        <v>2018</v>
      </c>
      <c r="E54" s="22"/>
      <c r="F54" s="22" t="s">
        <v>301</v>
      </c>
      <c r="G54" s="22" t="s">
        <v>138</v>
      </c>
      <c r="H54" s="22" t="s">
        <v>136</v>
      </c>
      <c r="I54" s="22"/>
      <c r="J54" s="22" t="s">
        <v>314</v>
      </c>
      <c r="K54" s="134" t="s">
        <v>353</v>
      </c>
      <c r="L54" s="81" t="s">
        <v>43</v>
      </c>
      <c r="M54" s="82" t="s">
        <v>352</v>
      </c>
      <c r="N54" s="83">
        <v>33994</v>
      </c>
      <c r="O54" s="117"/>
      <c r="P54" s="117"/>
      <c r="Q54" s="117"/>
      <c r="R54" s="117"/>
      <c r="S54" s="117"/>
      <c r="T54" s="330"/>
      <c r="U54" s="330"/>
      <c r="V54" s="330"/>
      <c r="W54" s="117"/>
      <c r="X54" s="104"/>
      <c r="Y54" s="447" t="e">
        <f t="shared" si="188"/>
        <v>#DIV/0!</v>
      </c>
      <c r="Z54" s="104"/>
      <c r="AA54" s="104"/>
      <c r="AB54" s="105"/>
      <c r="AC54" s="22" t="s">
        <v>300</v>
      </c>
      <c r="AD54" s="426">
        <f t="shared" si="189"/>
        <v>30</v>
      </c>
      <c r="AE54" s="426">
        <f t="shared" si="190"/>
        <v>0</v>
      </c>
      <c r="AF54" s="32"/>
      <c r="AG54" s="32"/>
      <c r="AH54" s="32"/>
      <c r="AI54" s="94">
        <v>30</v>
      </c>
      <c r="AJ54" s="614"/>
      <c r="AK54" s="222"/>
      <c r="AL54" s="492">
        <f t="shared" si="191"/>
        <v>0</v>
      </c>
      <c r="AM54" s="4">
        <f t="shared" si="192"/>
        <v>0</v>
      </c>
      <c r="AN54" s="26"/>
      <c r="AO54" s="26"/>
      <c r="AP54" s="26"/>
      <c r="AQ54" s="39"/>
      <c r="AR54" s="39"/>
      <c r="AS54" s="39"/>
      <c r="AT54" s="39"/>
      <c r="AU54" s="39"/>
      <c r="AV54" s="26"/>
      <c r="AW54" s="37"/>
      <c r="AX54" s="39"/>
      <c r="AY54" s="26"/>
      <c r="AZ54" s="22"/>
      <c r="BA54" s="22"/>
      <c r="BB54" s="22"/>
      <c r="BC54" s="22"/>
      <c r="BD54" s="22"/>
      <c r="BE54" s="22"/>
      <c r="BF54" s="22"/>
      <c r="BG54" s="22"/>
      <c r="BH54" s="56">
        <v>43308</v>
      </c>
      <c r="BI54" s="56">
        <v>43308</v>
      </c>
      <c r="BJ54" s="548">
        <v>43189</v>
      </c>
      <c r="BK54" s="548">
        <v>43335</v>
      </c>
      <c r="BL54" s="549">
        <v>43502</v>
      </c>
      <c r="BM54" s="547">
        <f t="shared" si="193"/>
        <v>4.8666666666666663</v>
      </c>
      <c r="BN54" s="490" t="s">
        <v>229</v>
      </c>
      <c r="BO54" s="77">
        <v>43396</v>
      </c>
      <c r="BP54" s="99">
        <v>43487</v>
      </c>
      <c r="BQ54" s="536">
        <f>(DATEDIF(BO54,BP54,"d"))/30</f>
        <v>3.0333333333333332</v>
      </c>
      <c r="BR54" s="529">
        <v>91965</v>
      </c>
      <c r="BS54" s="385">
        <f t="shared" si="229"/>
        <v>43577</v>
      </c>
      <c r="BT54" s="77">
        <v>43501</v>
      </c>
      <c r="BU54" s="151">
        <v>43586</v>
      </c>
      <c r="BV54" s="150">
        <f t="shared" si="194"/>
        <v>44682</v>
      </c>
      <c r="BW54" s="373">
        <v>31121.89</v>
      </c>
      <c r="BX54" s="150" t="str">
        <f>IF(Tableau6[[#This Row],[Montant des loyers perçus avant 1e échéance]]&lt;BW54,"oui","non")</f>
        <v>oui</v>
      </c>
      <c r="BY54" s="474"/>
      <c r="BZ54" s="474"/>
      <c r="CA54" s="474"/>
      <c r="CB54" s="286"/>
      <c r="CC54" s="288"/>
      <c r="CD54" s="288"/>
      <c r="CE54" s="290" t="str">
        <f t="shared" si="184"/>
        <v>0</v>
      </c>
      <c r="CF54" s="288">
        <v>42969</v>
      </c>
      <c r="CG54" s="288">
        <f ca="1">IF(CF54&lt;TODAY(),TODAY(),CF54)</f>
        <v>43998</v>
      </c>
      <c r="CH54" s="273">
        <f t="shared" ca="1" si="185"/>
        <v>1029</v>
      </c>
      <c r="CI54" s="288">
        <v>42948</v>
      </c>
      <c r="CJ54" s="288">
        <f ca="1">IF(CI54&lt;TODAY(),TODAY(),CI54)</f>
        <v>43998</v>
      </c>
      <c r="CK54" s="273">
        <f t="shared" ca="1" si="186"/>
        <v>1050</v>
      </c>
      <c r="CL54" s="288">
        <v>43028</v>
      </c>
      <c r="CM54" s="288">
        <f ca="1">IF(CL54&lt;TODAY(),TODAY(),CL54)</f>
        <v>43998</v>
      </c>
      <c r="CN54" s="273">
        <f t="shared" ca="1" si="187"/>
        <v>970</v>
      </c>
      <c r="CO54" s="288">
        <v>43089</v>
      </c>
      <c r="CP54" s="288">
        <f ca="1">IF(CO54&lt;TODAY(),TODAY(),CO54)</f>
        <v>43998</v>
      </c>
      <c r="CQ54" s="273">
        <f t="shared" ca="1" si="195"/>
        <v>909</v>
      </c>
      <c r="CR54" s="237"/>
      <c r="CS54" s="286">
        <v>43403</v>
      </c>
      <c r="CT54" s="277">
        <v>43532</v>
      </c>
      <c r="CU54" s="282">
        <f ca="1">IF(CT54&lt;TODAY(),TODAY(),CT54)</f>
        <v>43998</v>
      </c>
      <c r="CV54" s="279">
        <f t="shared" ref="CV54:CV75" ca="1" si="230">IF(AND(CT54&gt;0,CU54&gt;0),CU54-CT54,"0")</f>
        <v>466</v>
      </c>
      <c r="CW54" s="159">
        <v>43549</v>
      </c>
      <c r="CX54" s="229">
        <v>43873</v>
      </c>
      <c r="CY54" s="230">
        <v>2020</v>
      </c>
      <c r="CZ54" s="235">
        <f t="shared" si="196"/>
        <v>17.933333333333334</v>
      </c>
      <c r="DA54" s="381">
        <f t="shared" si="197"/>
        <v>324</v>
      </c>
      <c r="DB54" s="133">
        <v>10</v>
      </c>
      <c r="DC54" s="59">
        <f t="shared" si="198"/>
        <v>15</v>
      </c>
      <c r="DD54" s="277"/>
      <c r="DE54" s="282">
        <f ca="1">IF(DD54&lt;TODAY(),TODAY(),DD54)</f>
        <v>43998</v>
      </c>
      <c r="DF54" s="279" t="str">
        <f t="shared" ca="1" si="199"/>
        <v>0</v>
      </c>
      <c r="DG54" s="277"/>
      <c r="DH54" s="295">
        <f ca="1">IF(DG54&lt;TODAY(),TODAY(),DG54)</f>
        <v>43998</v>
      </c>
      <c r="DI54" s="280" t="str">
        <f t="shared" ca="1" si="200"/>
        <v>0</v>
      </c>
      <c r="DJ54" s="281"/>
      <c r="DK54" s="295">
        <f ca="1">IF(DJ54&lt;TODAY(),TODAY(),DJ54)</f>
        <v>43998</v>
      </c>
      <c r="DL54" s="279" t="str">
        <f t="shared" ca="1" si="201"/>
        <v>0</v>
      </c>
      <c r="DM54" s="282">
        <v>43509</v>
      </c>
      <c r="DN54" s="282">
        <f ca="1">IF(DM54&lt;TODAY(),TODAY(),DM54)</f>
        <v>43998</v>
      </c>
      <c r="DO54" s="279">
        <f t="shared" ca="1" si="202"/>
        <v>489</v>
      </c>
      <c r="DP54" s="283"/>
      <c r="DQ54" s="283"/>
      <c r="DR54" s="279" t="str">
        <f t="shared" si="203"/>
        <v>0</v>
      </c>
      <c r="DS54" s="282"/>
      <c r="DT54" s="282">
        <f ca="1">IF(DS54&lt;TODAY(),TODAY(),DS54)</f>
        <v>43998</v>
      </c>
      <c r="DU54" s="279" t="str">
        <f t="shared" ca="1" si="204"/>
        <v>0</v>
      </c>
      <c r="DV54" s="282">
        <v>43586</v>
      </c>
      <c r="DW54" s="282">
        <f ca="1">IF(DV54&lt;TODAY(),TODAY(),DV54)</f>
        <v>43998</v>
      </c>
      <c r="DX54" s="279">
        <f t="shared" ca="1" si="205"/>
        <v>412</v>
      </c>
      <c r="DY54" s="283"/>
      <c r="DZ54" s="283"/>
      <c r="EA54" s="283"/>
      <c r="EB54" s="410">
        <f t="shared" si="206"/>
        <v>44177</v>
      </c>
      <c r="EC54" s="409">
        <v>44331</v>
      </c>
      <c r="ED54" s="406">
        <f t="shared" si="207"/>
        <v>5.1333333333333337</v>
      </c>
      <c r="EE54" s="513">
        <f ca="1">IF(((EC54-TODAY())/30)&lt;0,0,(EC54-TODAY())/30)</f>
        <v>11.1</v>
      </c>
      <c r="EF54" s="825">
        <f ca="1">DATE(YEAR(DH54)+2,MONTH(DH54),DAY(DH54))</f>
        <v>44728</v>
      </c>
      <c r="EG54" s="448"/>
      <c r="EH54" s="448"/>
      <c r="EI54" s="448"/>
      <c r="EJ54" s="242"/>
      <c r="EK54" s="456">
        <f t="shared" si="220"/>
        <v>44208</v>
      </c>
      <c r="EL54" s="409">
        <f>DATE(YEAR(EC54),MONTH(EC54)+1,DAY(EC54))</f>
        <v>44362</v>
      </c>
      <c r="EM54" s="314"/>
      <c r="EN54" s="404">
        <f>(EL54-EK54)/30</f>
        <v>5.1333333333333337</v>
      </c>
      <c r="EO54" s="394"/>
      <c r="EP54" s="131">
        <f t="shared" si="208"/>
        <v>0</v>
      </c>
      <c r="EQ54" s="60"/>
      <c r="ER54" s="60"/>
      <c r="ES54" s="742"/>
      <c r="ET54" s="300">
        <v>0</v>
      </c>
      <c r="EU54" s="300">
        <v>0</v>
      </c>
      <c r="EV54" s="300">
        <v>200012</v>
      </c>
      <c r="EW54" s="300"/>
      <c r="EX54" s="300"/>
      <c r="EY54" s="416">
        <f t="shared" si="209"/>
        <v>0</v>
      </c>
      <c r="EZ54" s="297"/>
      <c r="FA54" s="308"/>
      <c r="FB54" s="297" t="s">
        <v>896</v>
      </c>
      <c r="FC54" s="308" t="s">
        <v>784</v>
      </c>
      <c r="FD54" s="89">
        <f t="shared" ca="1" si="167"/>
        <v>44728</v>
      </c>
      <c r="FE54" s="63"/>
      <c r="FF54" s="63"/>
      <c r="FG54" s="63"/>
      <c r="FH54" s="63"/>
      <c r="FI54" s="63"/>
      <c r="FJ54" s="22"/>
      <c r="FK54" s="146">
        <f t="shared" si="210"/>
        <v>44696</v>
      </c>
      <c r="FL54" s="146"/>
      <c r="FM54" s="146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451"/>
      <c r="GB54" s="471">
        <f>GD54+GG54+GJ54+HF54+Tableau6[[#This Row],[PRÊT CREDIT D''IMPOT (PM)]]</f>
        <v>1019489.68</v>
      </c>
      <c r="GC54" s="645"/>
      <c r="GD54" s="507">
        <f t="shared" si="219"/>
        <v>151920</v>
      </c>
      <c r="GE54" s="20" t="e">
        <f t="shared" si="211"/>
        <v>#DIV/0!</v>
      </c>
      <c r="GF54" s="20">
        <f t="shared" si="212"/>
        <v>33982.989333333338</v>
      </c>
      <c r="GG54" s="503"/>
      <c r="GH54" s="351"/>
      <c r="GI54" s="20">
        <f t="shared" si="225"/>
        <v>0</v>
      </c>
      <c r="GJ54" s="503">
        <f t="shared" si="213"/>
        <v>867569.68</v>
      </c>
      <c r="GK54" s="5">
        <v>617569.68000000005</v>
      </c>
      <c r="GL54" s="212"/>
      <c r="GM54" s="213"/>
      <c r="GN54" s="345">
        <f t="shared" si="214"/>
        <v>20585.656000000003</v>
      </c>
      <c r="GO54" s="514"/>
      <c r="GP54" s="35">
        <v>150000</v>
      </c>
      <c r="GQ54" s="35"/>
      <c r="GR54" s="18">
        <f t="shared" si="215"/>
        <v>0.14713243590656061</v>
      </c>
      <c r="GS54" s="35">
        <v>250000</v>
      </c>
      <c r="GT54" s="35"/>
      <c r="GU54" s="35">
        <v>1920</v>
      </c>
      <c r="GV54" s="20">
        <f t="shared" si="170"/>
        <v>5000</v>
      </c>
      <c r="GW54" s="20">
        <f t="shared" si="171"/>
        <v>5000</v>
      </c>
      <c r="GX54" s="569"/>
      <c r="GY54" s="569"/>
      <c r="GZ54" s="567" t="e">
        <f>(#REF!+#REF!+GY54)/AD54</f>
        <v>#REF!</v>
      </c>
      <c r="HA54" s="569"/>
      <c r="HB54" s="569">
        <f t="shared" si="172"/>
        <v>5000</v>
      </c>
      <c r="HC54" s="568" t="e">
        <f>(#REF!+#REF!+GY54+HA54)/(GX54+#REF!-HD54)</f>
        <v>#REF!</v>
      </c>
      <c r="HD54" s="569"/>
      <c r="HE54" s="569"/>
      <c r="HF54" s="503"/>
      <c r="HG54" s="633">
        <v>102326.36590999999</v>
      </c>
      <c r="HH54" s="634">
        <f t="shared" si="216"/>
        <v>0.10037018315869563</v>
      </c>
      <c r="HI54" s="633">
        <f t="shared" si="173"/>
        <v>917163.31409</v>
      </c>
      <c r="HJ54" s="633" t="e">
        <f t="shared" ca="1" si="221"/>
        <v>#VALUE!</v>
      </c>
      <c r="HK54" s="634" t="e">
        <f ca="1">(HG54+HJ54)/GB54</f>
        <v>#VALUE!</v>
      </c>
      <c r="HL54" s="633"/>
      <c r="HM54" s="633">
        <f t="shared" si="217"/>
        <v>151920</v>
      </c>
      <c r="HN54" s="633">
        <f t="shared" si="218"/>
        <v>0</v>
      </c>
      <c r="HO54" s="633" t="s">
        <v>767</v>
      </c>
      <c r="HP54" s="563"/>
      <c r="HQ54" s="47"/>
      <c r="HR54" s="563"/>
      <c r="HS54" s="563">
        <f>SUM(Tableau6[[#This Row],[GO]:[CARRELAGE]])</f>
        <v>0</v>
      </c>
      <c r="HT54" s="461"/>
      <c r="HU54" s="461"/>
      <c r="HV54" s="461"/>
      <c r="HW54" s="461"/>
      <c r="HX54" s="461"/>
      <c r="HY54" s="461"/>
      <c r="HZ54" s="461"/>
      <c r="IA54" s="461"/>
      <c r="IB54" s="461"/>
      <c r="IC54" s="461"/>
      <c r="ID54" s="461"/>
      <c r="IE54" s="461"/>
      <c r="IF54" s="461"/>
      <c r="IG54" s="563"/>
      <c r="IH54" s="563"/>
      <c r="II54" s="563">
        <f>HP54+HR54+Tableau6[[#This Row],[TRAVAUX BATIS]]+Tableau6[[#This Row],[HONORAIRES]]+IH54</f>
        <v>0</v>
      </c>
      <c r="IJ54" s="654">
        <f>Tableau6[[#This Row],[TOTAL PRP HT]]-Tableau6[[#This Row],[PRP TTC HORS FRAFU]]/1.021</f>
        <v>-998520.74436826655</v>
      </c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</row>
    <row r="55" spans="1:256" ht="145">
      <c r="A55" s="48" t="s">
        <v>227</v>
      </c>
      <c r="B55" s="22" t="s">
        <v>21</v>
      </c>
      <c r="C55" s="22" t="s">
        <v>86</v>
      </c>
      <c r="D55" s="22">
        <v>2012</v>
      </c>
      <c r="E55" s="22" t="s">
        <v>64</v>
      </c>
      <c r="F55" s="22" t="s">
        <v>70</v>
      </c>
      <c r="G55" s="423"/>
      <c r="H55" s="22" t="s">
        <v>181</v>
      </c>
      <c r="I55" s="22"/>
      <c r="J55" s="22"/>
      <c r="K55" s="134"/>
      <c r="L55" s="780"/>
      <c r="M55" s="780"/>
      <c r="N55" s="780"/>
      <c r="O55" s="103">
        <v>5530</v>
      </c>
      <c r="P55" s="103">
        <f>Q55</f>
        <v>1300000</v>
      </c>
      <c r="Q55" s="103">
        <v>1300000</v>
      </c>
      <c r="R55" s="103">
        <f t="shared" ref="R55:R63" si="231">P55/AD55</f>
        <v>17333.333333333332</v>
      </c>
      <c r="S55" s="103">
        <f t="shared" ref="S55:S63" si="232">P55/O55</f>
        <v>235.08137432188065</v>
      </c>
      <c r="T55" s="103">
        <f t="shared" ref="T55:T63" si="233">Q55/O55</f>
        <v>235.08137432188065</v>
      </c>
      <c r="U55" s="103">
        <f t="shared" ref="U55:U62" si="234">Q55/AK55</f>
        <v>198.20517589947033</v>
      </c>
      <c r="V55" s="103">
        <f t="shared" ref="V55:V62" si="235">Q55/AD55</f>
        <v>17333.333333333332</v>
      </c>
      <c r="W55" s="103">
        <f t="shared" ref="W55:W62" si="236">O55/AD55</f>
        <v>73.733333333333334</v>
      </c>
      <c r="X55" s="103"/>
      <c r="Y55" s="444">
        <f t="shared" si="188"/>
        <v>135.62386980108499</v>
      </c>
      <c r="Z55" s="104" t="s">
        <v>159</v>
      </c>
      <c r="AA55" s="104"/>
      <c r="AB55" s="105"/>
      <c r="AC55" s="22" t="s">
        <v>10</v>
      </c>
      <c r="AD55" s="426">
        <f t="shared" si="189"/>
        <v>75</v>
      </c>
      <c r="AE55" s="426">
        <f t="shared" si="190"/>
        <v>75</v>
      </c>
      <c r="AF55" s="32"/>
      <c r="AG55" s="22">
        <v>75</v>
      </c>
      <c r="AH55" s="32"/>
      <c r="AI55" s="32"/>
      <c r="AJ55" s="617">
        <v>5619.25</v>
      </c>
      <c r="AK55" s="225">
        <v>6558.86</v>
      </c>
      <c r="AL55" s="492">
        <f t="shared" si="191"/>
        <v>74.923333333333332</v>
      </c>
      <c r="AM55" s="4">
        <f t="shared" si="192"/>
        <v>87.451466666666661</v>
      </c>
      <c r="AN55" s="26">
        <v>5.75</v>
      </c>
      <c r="AO55" s="26">
        <v>4.93</v>
      </c>
      <c r="AP55" s="26">
        <v>431.01153885333326</v>
      </c>
      <c r="AQ55" s="39">
        <f>5/AD55</f>
        <v>6.6666666666666666E-2</v>
      </c>
      <c r="AR55" s="39">
        <f>10/AD55</f>
        <v>0.13333333333333333</v>
      </c>
      <c r="AS55" s="39">
        <f>30/AD55</f>
        <v>0.4</v>
      </c>
      <c r="AT55" s="39">
        <f>25/AD55</f>
        <v>0.33333333333333331</v>
      </c>
      <c r="AU55" s="39">
        <f>5/AD55</f>
        <v>6.6666666666666666E-2</v>
      </c>
      <c r="AV55" s="26">
        <v>697.88</v>
      </c>
      <c r="AW55" s="37">
        <v>0</v>
      </c>
      <c r="AX55" s="39">
        <f>AW55/O55</f>
        <v>0</v>
      </c>
      <c r="AY55" s="26">
        <v>7</v>
      </c>
      <c r="AZ55" s="25" t="s">
        <v>386</v>
      </c>
      <c r="BA55" s="26" t="s">
        <v>94</v>
      </c>
      <c r="BB55" s="26"/>
      <c r="BC55" s="26"/>
      <c r="BD55" s="26"/>
      <c r="BE55" s="26"/>
      <c r="BF55" s="22"/>
      <c r="BG55" s="22"/>
      <c r="BH55" s="89">
        <v>40963</v>
      </c>
      <c r="BI55" s="89"/>
      <c r="BJ55" s="548">
        <v>40998</v>
      </c>
      <c r="BK55" s="548">
        <v>41094</v>
      </c>
      <c r="BL55" s="549"/>
      <c r="BM55" s="547">
        <f t="shared" si="193"/>
        <v>3.2</v>
      </c>
      <c r="BN55" s="490"/>
      <c r="BO55" s="50"/>
      <c r="BP55" s="525">
        <v>41262</v>
      </c>
      <c r="BQ55" s="525"/>
      <c r="BR55" s="525"/>
      <c r="BS55" s="77">
        <f t="shared" si="229"/>
        <v>41352</v>
      </c>
      <c r="BT55" s="50"/>
      <c r="BU55" s="150">
        <v>41365</v>
      </c>
      <c r="BV55" s="150">
        <f t="shared" si="194"/>
        <v>42461</v>
      </c>
      <c r="BW55" s="373">
        <v>282342</v>
      </c>
      <c r="BX55" s="150" t="str">
        <f>IF(Tableau6[[#This Row],[Montant des loyers perçus avant 1e échéance]]&lt;BW55,"oui","non")</f>
        <v>oui</v>
      </c>
      <c r="BY55" s="475">
        <f t="shared" ref="BY55:BY71" si="237">(BV55-EL55)/30</f>
        <v>4.3</v>
      </c>
      <c r="BZ55" s="373">
        <f t="shared" ref="BZ55:BZ71" si="238">IF((BY55*EO55)&lt;0,"0",BY55*EO55)</f>
        <v>143202.53319339413</v>
      </c>
      <c r="CA55" s="373">
        <f>IF(BW55-BZ55&lt;0,0,Tableau6[[#This Row],[Montant échéance annuelle]]-Tableau6[[#This Row],[Montant des loyers perçus avant 1e échéance]])</f>
        <v>139139.46680660587</v>
      </c>
      <c r="CB55" s="64"/>
      <c r="CC55" s="64"/>
      <c r="CD55" s="64"/>
      <c r="CE55" s="273" t="str">
        <f t="shared" si="184"/>
        <v>0</v>
      </c>
      <c r="CF55" s="64"/>
      <c r="CG55" s="64"/>
      <c r="CH55" s="273" t="str">
        <f t="shared" si="185"/>
        <v>0</v>
      </c>
      <c r="CI55" s="64"/>
      <c r="CJ55" s="64"/>
      <c r="CK55" s="273" t="str">
        <f t="shared" si="186"/>
        <v>0</v>
      </c>
      <c r="CL55" s="64"/>
      <c r="CM55" s="64"/>
      <c r="CN55" s="273" t="str">
        <f t="shared" si="187"/>
        <v>0</v>
      </c>
      <c r="CO55" s="66"/>
      <c r="CP55" s="311"/>
      <c r="CQ55" s="273" t="str">
        <f t="shared" si="195"/>
        <v>0</v>
      </c>
      <c r="CR55" s="239"/>
      <c r="CS55" s="117"/>
      <c r="CT55" s="64"/>
      <c r="CU55" s="117"/>
      <c r="CV55" s="273" t="str">
        <f t="shared" si="230"/>
        <v>0</v>
      </c>
      <c r="CW55" s="64"/>
      <c r="CX55" s="181">
        <v>41428</v>
      </c>
      <c r="CY55" s="175">
        <v>2013</v>
      </c>
      <c r="CZ55" s="232">
        <f t="shared" si="196"/>
        <v>11.133333333333333</v>
      </c>
      <c r="DA55" s="273" t="str">
        <f t="shared" si="197"/>
        <v>0</v>
      </c>
      <c r="DB55" s="126">
        <v>20</v>
      </c>
      <c r="DC55" s="126">
        <f t="shared" si="198"/>
        <v>28</v>
      </c>
      <c r="DD55" s="159"/>
      <c r="DE55" s="158"/>
      <c r="DF55" s="381" t="str">
        <f t="shared" si="199"/>
        <v>0</v>
      </c>
      <c r="DG55" s="159"/>
      <c r="DH55" s="336"/>
      <c r="DI55" s="337" t="str">
        <f t="shared" si="200"/>
        <v>0</v>
      </c>
      <c r="DJ55" s="133"/>
      <c r="DK55" s="336"/>
      <c r="DL55" s="381" t="str">
        <f t="shared" si="201"/>
        <v>0</v>
      </c>
      <c r="DM55" s="158"/>
      <c r="DN55" s="159"/>
      <c r="DO55" s="381" t="str">
        <f t="shared" si="202"/>
        <v>0</v>
      </c>
      <c r="DP55" s="167"/>
      <c r="DQ55" s="167"/>
      <c r="DR55" s="381" t="str">
        <f t="shared" si="203"/>
        <v>0</v>
      </c>
      <c r="DS55" s="167"/>
      <c r="DT55" s="168"/>
      <c r="DU55" s="381" t="str">
        <f t="shared" si="204"/>
        <v>0</v>
      </c>
      <c r="DV55" s="159"/>
      <c r="DW55" s="159"/>
      <c r="DX55" s="381" t="str">
        <f t="shared" si="205"/>
        <v>0</v>
      </c>
      <c r="DY55" s="168"/>
      <c r="DZ55" s="168"/>
      <c r="EA55" s="168"/>
      <c r="EB55" s="240">
        <f t="shared" si="206"/>
        <v>42038</v>
      </c>
      <c r="EC55" s="181">
        <v>42296</v>
      </c>
      <c r="ED55" s="401">
        <f t="shared" si="207"/>
        <v>8.6</v>
      </c>
      <c r="EE55" s="511"/>
      <c r="EF55" s="794"/>
      <c r="EG55" s="58">
        <v>42332</v>
      </c>
      <c r="EH55" s="58" t="s">
        <v>101</v>
      </c>
      <c r="EI55" s="58">
        <v>42332</v>
      </c>
      <c r="EJ55" s="240"/>
      <c r="EK55" s="455">
        <f t="shared" si="220"/>
        <v>42066</v>
      </c>
      <c r="EL55" s="183">
        <v>42332</v>
      </c>
      <c r="EM55" s="177">
        <v>2015</v>
      </c>
      <c r="EN55" s="398">
        <f t="shared" ref="EN55:EN71" si="239">(DATEDIF(EK55,EL55,"d"))/30</f>
        <v>8.8666666666666671</v>
      </c>
      <c r="EO55" s="388">
        <f>399634.976353658/12</f>
        <v>33302.91469613817</v>
      </c>
      <c r="EP55" s="158">
        <f t="shared" si="208"/>
        <v>295285.84363909176</v>
      </c>
      <c r="EQ55" s="58"/>
      <c r="ER55" s="58"/>
      <c r="ES55" s="59"/>
      <c r="ET55" s="296"/>
      <c r="EU55" s="387">
        <f>HF55</f>
        <v>0</v>
      </c>
      <c r="EV55" s="300"/>
      <c r="EW55" s="300"/>
      <c r="EX55" s="300"/>
      <c r="EY55" s="416">
        <f t="shared" si="209"/>
        <v>0</v>
      </c>
      <c r="EZ55" s="297"/>
      <c r="FA55" s="308" t="s">
        <v>513</v>
      </c>
      <c r="FB55" s="297"/>
      <c r="FC55" s="297"/>
      <c r="FD55" s="89">
        <f t="shared" si="167"/>
        <v>731</v>
      </c>
      <c r="FE55" s="63">
        <v>42679</v>
      </c>
      <c r="FF55" s="63"/>
      <c r="FG55" s="63"/>
      <c r="FH55" s="63"/>
      <c r="FI55" s="64">
        <v>42341</v>
      </c>
      <c r="FJ55" s="58">
        <v>42656</v>
      </c>
      <c r="FK55" s="159">
        <f t="shared" si="210"/>
        <v>42662</v>
      </c>
      <c r="FL55" s="159"/>
      <c r="FM55" s="375">
        <v>114015</v>
      </c>
      <c r="FN55" s="58" t="s">
        <v>101</v>
      </c>
      <c r="FO55" s="58">
        <v>42424</v>
      </c>
      <c r="FP55" s="58"/>
      <c r="FQ55" s="63"/>
      <c r="FR55" s="63"/>
      <c r="FS55" s="63"/>
      <c r="FT55" s="63"/>
      <c r="FU55" s="119">
        <v>43136</v>
      </c>
      <c r="FV55" s="119"/>
      <c r="FW55" s="119">
        <v>42808</v>
      </c>
      <c r="FX55" s="119"/>
      <c r="FY55" s="63"/>
      <c r="FZ55" s="63"/>
      <c r="GA55" s="334">
        <v>11693100</v>
      </c>
      <c r="GB55" s="471">
        <f>GD55+GG55+GJ55+HF55+Tableau6[[#This Row],[PRÊT CREDIT D''IMPOT (PM)]]</f>
        <v>12349548.309999999</v>
      </c>
      <c r="GC55" s="644">
        <f t="shared" ref="GC55:GC71" si="240">GB55</f>
        <v>12349548.309999999</v>
      </c>
      <c r="GD55" s="507">
        <f t="shared" si="219"/>
        <v>995000</v>
      </c>
      <c r="GE55" s="20">
        <f t="shared" si="211"/>
        <v>1882.8803038942742</v>
      </c>
      <c r="GF55" s="20">
        <f t="shared" si="212"/>
        <v>164660.64413333332</v>
      </c>
      <c r="GG55" s="507">
        <v>3816022.8</v>
      </c>
      <c r="GH55" s="351"/>
      <c r="GI55" s="11">
        <f t="shared" si="225"/>
        <v>50880.303999999996</v>
      </c>
      <c r="GJ55" s="507">
        <f t="shared" si="213"/>
        <v>7538525.5099999998</v>
      </c>
      <c r="GK55" s="5">
        <f>+GL55+GM55</f>
        <v>7538525.5099999998</v>
      </c>
      <c r="GL55" s="6">
        <v>1459253.6</v>
      </c>
      <c r="GM55" s="6">
        <v>6079271.9100000001</v>
      </c>
      <c r="GN55" s="345">
        <f t="shared" si="214"/>
        <v>100513.67346666666</v>
      </c>
      <c r="GO55" s="5">
        <v>0</v>
      </c>
      <c r="GP55" s="8">
        <v>995000</v>
      </c>
      <c r="GQ55" s="34"/>
      <c r="GR55" s="18">
        <f t="shared" si="215"/>
        <v>8.0569748384586873E-2</v>
      </c>
      <c r="GS55" s="45"/>
      <c r="GT55" s="45"/>
      <c r="GU55" s="34">
        <v>0</v>
      </c>
      <c r="GV55" s="20">
        <f t="shared" si="170"/>
        <v>13266.666666666666</v>
      </c>
      <c r="GW55" s="20">
        <f t="shared" si="171"/>
        <v>64146.970666666661</v>
      </c>
      <c r="GX55" s="567">
        <v>0</v>
      </c>
      <c r="GY55" s="567">
        <v>0</v>
      </c>
      <c r="GZ55" s="567" t="e">
        <f>(#REF!+#REF!+GY55)/AD55</f>
        <v>#REF!</v>
      </c>
      <c r="HA55" s="567">
        <v>0</v>
      </c>
      <c r="HB55" s="567">
        <f t="shared" si="172"/>
        <v>64146.970666666661</v>
      </c>
      <c r="HC55" s="568">
        <f>(GG55+GP55+GY55+HA55)/(GX55+GB55-HD55)</f>
        <v>0.38957075021960869</v>
      </c>
      <c r="HD55" s="567"/>
      <c r="HE55" s="567"/>
      <c r="HF55" s="507"/>
      <c r="HG55" s="633"/>
      <c r="HH55" s="634">
        <f t="shared" si="216"/>
        <v>0</v>
      </c>
      <c r="HI55" s="635">
        <f t="shared" si="173"/>
        <v>12349548.309999999</v>
      </c>
      <c r="HJ55" s="633" t="e">
        <f t="shared" ca="1" si="221"/>
        <v>#VALUE!</v>
      </c>
      <c r="HK55" s="633"/>
      <c r="HL55" s="633"/>
      <c r="HM55" s="633">
        <f t="shared" si="217"/>
        <v>995000</v>
      </c>
      <c r="HN55" s="636">
        <f t="shared" si="218"/>
        <v>0</v>
      </c>
      <c r="HO55" s="636"/>
      <c r="HP55" s="563"/>
      <c r="HQ55" s="47"/>
      <c r="HR55" s="563"/>
      <c r="HS55" s="563">
        <f>SUM(Tableau6[[#This Row],[GO]:[CARRELAGE]])</f>
        <v>0</v>
      </c>
      <c r="HT55" s="461"/>
      <c r="HU55" s="461"/>
      <c r="HV55" s="461"/>
      <c r="HW55" s="461"/>
      <c r="HX55" s="461"/>
      <c r="HY55" s="461"/>
      <c r="HZ55" s="461"/>
      <c r="IA55" s="461"/>
      <c r="IB55" s="461"/>
      <c r="IC55" s="461"/>
      <c r="ID55" s="461"/>
      <c r="IE55" s="461"/>
      <c r="IF55" s="461"/>
      <c r="IG55" s="563"/>
      <c r="IH55" s="563"/>
      <c r="II55" s="563">
        <f>HP55+HR55+Tableau6[[#This Row],[TRAVAUX BATIS]]+Tableau6[[#This Row],[HONORAIRES]]+IH55</f>
        <v>0</v>
      </c>
      <c r="IJ55" s="654">
        <f>Tableau6[[#This Row],[TOTAL PRP HT]]-Tableau6[[#This Row],[PRP TTC HORS FRAFU]]/1.021</f>
        <v>-12095541.929480901</v>
      </c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</row>
    <row r="56" spans="1:256" ht="34.5" customHeight="1">
      <c r="A56" s="360" t="s">
        <v>57</v>
      </c>
      <c r="B56" s="22" t="s">
        <v>20</v>
      </c>
      <c r="C56" s="22" t="s">
        <v>87</v>
      </c>
      <c r="D56" s="22">
        <v>2012</v>
      </c>
      <c r="E56" s="22" t="s">
        <v>68</v>
      </c>
      <c r="F56" s="22"/>
      <c r="G56" s="57" t="s">
        <v>426</v>
      </c>
      <c r="H56" s="22" t="s">
        <v>181</v>
      </c>
      <c r="I56" s="22"/>
      <c r="J56" s="22"/>
      <c r="K56" s="215" t="s">
        <v>420</v>
      </c>
      <c r="L56" s="780"/>
      <c r="M56" s="780"/>
      <c r="N56" s="780"/>
      <c r="O56" s="103">
        <v>6156.15</v>
      </c>
      <c r="P56" s="103">
        <v>164070</v>
      </c>
      <c r="Q56" s="103">
        <v>163875</v>
      </c>
      <c r="R56" s="103">
        <f t="shared" si="231"/>
        <v>7457.727272727273</v>
      </c>
      <c r="S56" s="103">
        <f t="shared" si="232"/>
        <v>26.651397383104701</v>
      </c>
      <c r="T56" s="103">
        <f t="shared" si="233"/>
        <v>26.619721741672961</v>
      </c>
      <c r="U56" s="103">
        <f t="shared" si="234"/>
        <v>97.053597867930122</v>
      </c>
      <c r="V56" s="103">
        <f t="shared" si="235"/>
        <v>7448.863636363636</v>
      </c>
      <c r="W56" s="103">
        <f t="shared" si="236"/>
        <v>279.82499999999999</v>
      </c>
      <c r="X56" s="104"/>
      <c r="Y56" s="444">
        <f t="shared" si="188"/>
        <v>35.736621102474764</v>
      </c>
      <c r="Z56" s="104" t="s">
        <v>147</v>
      </c>
      <c r="AA56" s="104">
        <v>890</v>
      </c>
      <c r="AB56" s="105"/>
      <c r="AC56" s="22" t="s">
        <v>10</v>
      </c>
      <c r="AD56" s="426">
        <f t="shared" si="189"/>
        <v>22</v>
      </c>
      <c r="AE56" s="426">
        <f t="shared" si="190"/>
        <v>22</v>
      </c>
      <c r="AF56" s="32"/>
      <c r="AG56" s="22">
        <v>22</v>
      </c>
      <c r="AH56" s="217"/>
      <c r="AI56" s="217"/>
      <c r="AJ56" s="26">
        <v>1688.5</v>
      </c>
      <c r="AK56" s="225">
        <v>1688.5</v>
      </c>
      <c r="AL56" s="492">
        <f t="shared" si="191"/>
        <v>76.75</v>
      </c>
      <c r="AM56" s="4">
        <f t="shared" si="192"/>
        <v>76.75</v>
      </c>
      <c r="AN56" s="26">
        <v>5.1100000000000003</v>
      </c>
      <c r="AO56" s="26">
        <v>5.1100000000000003</v>
      </c>
      <c r="AP56" s="26">
        <v>392.07</v>
      </c>
      <c r="AQ56" s="39">
        <v>0</v>
      </c>
      <c r="AR56" s="39">
        <f>4/AD56</f>
        <v>0.18181818181818182</v>
      </c>
      <c r="AS56" s="39">
        <f>8/AD56</f>
        <v>0.36363636363636365</v>
      </c>
      <c r="AT56" s="39">
        <f>6/AD56</f>
        <v>0.27272727272727271</v>
      </c>
      <c r="AU56" s="39">
        <f>4/AD56</f>
        <v>0.18181818181818182</v>
      </c>
      <c r="AV56" s="26">
        <f>96.15+803.85+941.6</f>
        <v>1841.6</v>
      </c>
      <c r="AW56" s="37"/>
      <c r="AX56" s="39">
        <f>AW56/O56</f>
        <v>0</v>
      </c>
      <c r="AY56" s="26">
        <v>1.5</v>
      </c>
      <c r="AZ56" s="28" t="s">
        <v>385</v>
      </c>
      <c r="BA56" s="26" t="s">
        <v>95</v>
      </c>
      <c r="BB56" s="26"/>
      <c r="BC56" s="26"/>
      <c r="BD56" s="26"/>
      <c r="BE56" s="26"/>
      <c r="BF56" s="22"/>
      <c r="BG56" s="22"/>
      <c r="BH56" s="89">
        <v>40963</v>
      </c>
      <c r="BI56" s="89"/>
      <c r="BJ56" s="548">
        <v>40998</v>
      </c>
      <c r="BK56" s="548">
        <v>41177</v>
      </c>
      <c r="BL56" s="549"/>
      <c r="BM56" s="547">
        <f t="shared" si="193"/>
        <v>5.9666666666666668</v>
      </c>
      <c r="BN56" s="490"/>
      <c r="BO56" s="50"/>
      <c r="BP56" s="476">
        <v>41256</v>
      </c>
      <c r="BQ56" s="525"/>
      <c r="BR56" s="525"/>
      <c r="BS56" s="77">
        <f t="shared" si="229"/>
        <v>41346</v>
      </c>
      <c r="BT56" s="50"/>
      <c r="BU56" s="150">
        <v>41365</v>
      </c>
      <c r="BV56" s="150">
        <f t="shared" si="194"/>
        <v>42461</v>
      </c>
      <c r="BW56" s="373">
        <v>37724</v>
      </c>
      <c r="BX56" s="150" t="str">
        <f>IF(Tableau6[[#This Row],[Montant des loyers perçus avant 1e échéance]]&lt;BW56,"oui","non")</f>
        <v>oui</v>
      </c>
      <c r="BY56" s="475">
        <f t="shared" si="237"/>
        <v>1.7333333333333334</v>
      </c>
      <c r="BZ56" s="373">
        <f t="shared" si="238"/>
        <v>15402.909755299734</v>
      </c>
      <c r="CA56" s="373">
        <f>IF(BW56-BZ56&lt;0,0,Tableau6[[#This Row],[Montant échéance annuelle]]-Tableau6[[#This Row],[Montant des loyers perçus avant 1e échéance]])</f>
        <v>22321.090244700266</v>
      </c>
      <c r="CB56" s="64"/>
      <c r="CC56" s="64"/>
      <c r="CD56" s="64"/>
      <c r="CE56" s="273" t="str">
        <f t="shared" si="184"/>
        <v>0</v>
      </c>
      <c r="CF56" s="64"/>
      <c r="CG56" s="64"/>
      <c r="CH56" s="273" t="str">
        <f t="shared" si="185"/>
        <v>0</v>
      </c>
      <c r="CI56" s="64"/>
      <c r="CJ56" s="64"/>
      <c r="CK56" s="273" t="str">
        <f t="shared" si="186"/>
        <v>0</v>
      </c>
      <c r="CL56" s="64"/>
      <c r="CM56" s="64"/>
      <c r="CN56" s="273" t="str">
        <f t="shared" si="187"/>
        <v>0</v>
      </c>
      <c r="CO56" s="66"/>
      <c r="CP56" s="311"/>
      <c r="CQ56" s="273" t="str">
        <f t="shared" si="195"/>
        <v>0</v>
      </c>
      <c r="CR56" s="239"/>
      <c r="CS56" s="117"/>
      <c r="CT56" s="64"/>
      <c r="CU56" s="117"/>
      <c r="CV56" s="273" t="str">
        <f t="shared" si="230"/>
        <v>0</v>
      </c>
      <c r="CW56" s="64"/>
      <c r="CX56" s="181">
        <v>41295</v>
      </c>
      <c r="CY56" s="175">
        <v>2013</v>
      </c>
      <c r="CZ56" s="232">
        <f t="shared" si="196"/>
        <v>3.9333333333333331</v>
      </c>
      <c r="DA56" s="273" t="str">
        <f t="shared" si="197"/>
        <v>0</v>
      </c>
      <c r="DB56" s="126">
        <v>14</v>
      </c>
      <c r="DC56" s="59">
        <f t="shared" si="198"/>
        <v>33</v>
      </c>
      <c r="DD56" s="159"/>
      <c r="DE56" s="158"/>
      <c r="DF56" s="381" t="str">
        <f t="shared" si="199"/>
        <v>0</v>
      </c>
      <c r="DG56" s="159"/>
      <c r="DH56" s="336"/>
      <c r="DI56" s="337" t="str">
        <f t="shared" si="200"/>
        <v>0</v>
      </c>
      <c r="DJ56" s="133"/>
      <c r="DK56" s="336"/>
      <c r="DL56" s="381" t="str">
        <f t="shared" si="201"/>
        <v>0</v>
      </c>
      <c r="DM56" s="158"/>
      <c r="DN56" s="159"/>
      <c r="DO56" s="381" t="str">
        <f t="shared" si="202"/>
        <v>0</v>
      </c>
      <c r="DP56" s="167"/>
      <c r="DQ56" s="167"/>
      <c r="DR56" s="381" t="str">
        <f t="shared" si="203"/>
        <v>0</v>
      </c>
      <c r="DS56" s="167"/>
      <c r="DT56" s="168"/>
      <c r="DU56" s="381" t="str">
        <f t="shared" si="204"/>
        <v>0</v>
      </c>
      <c r="DV56" s="159"/>
      <c r="DW56" s="159"/>
      <c r="DX56" s="381" t="str">
        <f t="shared" si="205"/>
        <v>0</v>
      </c>
      <c r="DY56" s="168"/>
      <c r="DZ56" s="168"/>
      <c r="EA56" s="168"/>
      <c r="EB56" s="240">
        <f t="shared" si="206"/>
        <v>41719</v>
      </c>
      <c r="EC56" s="183">
        <v>42326</v>
      </c>
      <c r="ED56" s="401">
        <f t="shared" si="207"/>
        <v>20.233333333333334</v>
      </c>
      <c r="EE56" s="511"/>
      <c r="EF56" s="649"/>
      <c r="EG56" s="58">
        <v>42338</v>
      </c>
      <c r="EH56" s="58" t="s">
        <v>101</v>
      </c>
      <c r="EI56" s="67" t="s">
        <v>101</v>
      </c>
      <c r="EJ56" s="240"/>
      <c r="EK56" s="455">
        <f t="shared" si="220"/>
        <v>41750</v>
      </c>
      <c r="EL56" s="183">
        <v>42409</v>
      </c>
      <c r="EM56" s="177">
        <v>2016</v>
      </c>
      <c r="EN56" s="398">
        <f t="shared" si="239"/>
        <v>21.966666666666665</v>
      </c>
      <c r="EO56" s="388">
        <f>106635.529075152/12</f>
        <v>8886.294089596</v>
      </c>
      <c r="EP56" s="158">
        <f t="shared" si="208"/>
        <v>195202.26016812545</v>
      </c>
      <c r="EQ56" s="58"/>
      <c r="ER56" s="58"/>
      <c r="ES56" s="59"/>
      <c r="ET56" s="296"/>
      <c r="EU56" s="387">
        <v>350449.67</v>
      </c>
      <c r="EV56" s="300">
        <v>125069</v>
      </c>
      <c r="EW56" s="300"/>
      <c r="EX56" s="300"/>
      <c r="EY56" s="416">
        <f t="shared" si="209"/>
        <v>0</v>
      </c>
      <c r="EZ56" s="297"/>
      <c r="FA56" s="308" t="s">
        <v>515</v>
      </c>
      <c r="FB56" s="297"/>
      <c r="FC56" s="297"/>
      <c r="FD56" s="89">
        <f t="shared" si="167"/>
        <v>731</v>
      </c>
      <c r="FE56" s="98">
        <v>42321</v>
      </c>
      <c r="FF56" s="98"/>
      <c r="FG56" s="98" t="s">
        <v>374</v>
      </c>
      <c r="FH56" s="98">
        <v>42348</v>
      </c>
      <c r="FI56" s="98">
        <v>42430</v>
      </c>
      <c r="FJ56" s="98">
        <v>42869</v>
      </c>
      <c r="FK56" s="98">
        <f t="shared" si="210"/>
        <v>42692</v>
      </c>
      <c r="FL56" s="98"/>
      <c r="FM56" s="377">
        <v>56767</v>
      </c>
      <c r="FN56" s="64">
        <v>42530</v>
      </c>
      <c r="FO56" s="64">
        <v>42531</v>
      </c>
      <c r="FP56" s="64"/>
      <c r="FQ56" s="64" t="s">
        <v>101</v>
      </c>
      <c r="FR56" s="64">
        <v>42884</v>
      </c>
      <c r="FS56" s="64"/>
      <c r="FT56" s="63"/>
      <c r="FU56" s="325" t="s">
        <v>375</v>
      </c>
      <c r="FV56" s="22" t="s">
        <v>287</v>
      </c>
      <c r="FW56" s="119">
        <v>42808</v>
      </c>
      <c r="FX56" s="119" t="s">
        <v>101</v>
      </c>
      <c r="FY56" s="119">
        <v>42947</v>
      </c>
      <c r="FZ56" s="63"/>
      <c r="GA56" s="334">
        <v>3365389</v>
      </c>
      <c r="GB56" s="471">
        <f>GD56+GG56+GJ56+HF56+Tableau6[[#This Row],[PRÊT CREDIT D''IMPOT (PM)]]</f>
        <v>3899161</v>
      </c>
      <c r="GC56" s="644">
        <f t="shared" si="240"/>
        <v>3899161</v>
      </c>
      <c r="GD56" s="507">
        <f t="shared" si="219"/>
        <v>668000</v>
      </c>
      <c r="GE56" s="20">
        <f t="shared" si="211"/>
        <v>2309.2454841575363</v>
      </c>
      <c r="GF56" s="20">
        <f t="shared" si="212"/>
        <v>177234.59090909091</v>
      </c>
      <c r="GG56" s="507">
        <v>929819</v>
      </c>
      <c r="GH56" s="351"/>
      <c r="GI56" s="11">
        <f t="shared" si="225"/>
        <v>42264.5</v>
      </c>
      <c r="GJ56" s="507">
        <f t="shared" si="213"/>
        <v>1895079</v>
      </c>
      <c r="GK56" s="5">
        <f>+GL56+GM56</f>
        <v>1895079</v>
      </c>
      <c r="GL56" s="44">
        <v>328778</v>
      </c>
      <c r="GM56" s="44">
        <v>1566301</v>
      </c>
      <c r="GN56" s="345">
        <f t="shared" si="214"/>
        <v>86139.954545454544</v>
      </c>
      <c r="GO56" s="35">
        <v>0</v>
      </c>
      <c r="GP56" s="8">
        <v>558000</v>
      </c>
      <c r="GQ56" s="34">
        <v>110000</v>
      </c>
      <c r="GR56" s="18">
        <f t="shared" si="215"/>
        <v>0.14310770958162539</v>
      </c>
      <c r="GS56" s="488"/>
      <c r="GT56" s="488"/>
      <c r="GU56" s="34">
        <v>0</v>
      </c>
      <c r="GV56" s="20">
        <f t="shared" si="170"/>
        <v>25363.636363636364</v>
      </c>
      <c r="GW56" s="20">
        <f t="shared" si="171"/>
        <v>67628.136363636368</v>
      </c>
      <c r="GX56" s="567">
        <v>1214321.7850000001</v>
      </c>
      <c r="GY56" s="567">
        <v>440000</v>
      </c>
      <c r="GZ56" s="567" t="e">
        <f>(#REF!+#REF!+GY56)/AD56</f>
        <v>#REF!</v>
      </c>
      <c r="HA56" s="567">
        <v>91493</v>
      </c>
      <c r="HB56" s="567">
        <f t="shared" si="172"/>
        <v>91786.909090909088</v>
      </c>
      <c r="HC56" s="568">
        <f>(GG56+GP56+GY56+HA56)/(GX56+GB56-HD56)</f>
        <v>0.40825799874371793</v>
      </c>
      <c r="HD56" s="567">
        <v>167316.375</v>
      </c>
      <c r="HE56" s="570"/>
      <c r="HF56" s="507">
        <v>406263</v>
      </c>
      <c r="HG56" s="633"/>
      <c r="HH56" s="634">
        <f t="shared" si="216"/>
        <v>0</v>
      </c>
      <c r="HI56" s="635">
        <f t="shared" si="173"/>
        <v>3899161</v>
      </c>
      <c r="HJ56" s="633" t="e">
        <f t="shared" ca="1" si="221"/>
        <v>#VALUE!</v>
      </c>
      <c r="HK56" s="633"/>
      <c r="HL56" s="633"/>
      <c r="HM56" s="633">
        <f t="shared" si="217"/>
        <v>668000</v>
      </c>
      <c r="HN56" s="636">
        <f t="shared" si="218"/>
        <v>0</v>
      </c>
      <c r="HO56" s="636"/>
      <c r="HP56" s="563"/>
      <c r="HQ56" s="47"/>
      <c r="HR56" s="563"/>
      <c r="HS56" s="563">
        <f>SUM(Tableau6[[#This Row],[GO]:[CARRELAGE]])</f>
        <v>0</v>
      </c>
      <c r="HT56" s="461"/>
      <c r="HU56" s="461"/>
      <c r="HV56" s="461"/>
      <c r="HW56" s="461"/>
      <c r="HX56" s="461"/>
      <c r="HY56" s="461"/>
      <c r="HZ56" s="461"/>
      <c r="IA56" s="461"/>
      <c r="IB56" s="461"/>
      <c r="IC56" s="461"/>
      <c r="ID56" s="461"/>
      <c r="IE56" s="461"/>
      <c r="IF56" s="461"/>
      <c r="IG56" s="563"/>
      <c r="IH56" s="563"/>
      <c r="II56" s="563">
        <f>HP56+HR56+Tableau6[[#This Row],[TRAVAUX BATIS]]+Tableau6[[#This Row],[HONORAIRES]]+IH56</f>
        <v>0</v>
      </c>
      <c r="IJ56" s="654">
        <f>Tableau6[[#This Row],[TOTAL PRP HT]]-Tableau6[[#This Row],[PRP TTC HORS FRAFU]]/1.021</f>
        <v>-3818962.7815866801</v>
      </c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</row>
    <row r="57" spans="1:256" ht="20.149999999999999" customHeight="1">
      <c r="A57" s="48" t="s">
        <v>873</v>
      </c>
      <c r="B57" s="22" t="s">
        <v>14</v>
      </c>
      <c r="C57" s="22" t="s">
        <v>86</v>
      </c>
      <c r="D57" s="23">
        <v>2017</v>
      </c>
      <c r="E57" s="22"/>
      <c r="F57" s="23" t="s">
        <v>40</v>
      </c>
      <c r="G57" s="23" t="s">
        <v>586</v>
      </c>
      <c r="H57" s="25" t="s">
        <v>691</v>
      </c>
      <c r="I57" s="23"/>
      <c r="J57" s="22" t="s">
        <v>298</v>
      </c>
      <c r="K57" s="134"/>
      <c r="L57" s="81"/>
      <c r="M57" s="82"/>
      <c r="N57" s="83"/>
      <c r="O57" s="109">
        <v>10895</v>
      </c>
      <c r="P57" s="109">
        <v>949780</v>
      </c>
      <c r="Q57" s="113">
        <f>P57</f>
        <v>949780</v>
      </c>
      <c r="R57" s="103">
        <f t="shared" si="231"/>
        <v>25669.72972972973</v>
      </c>
      <c r="S57" s="109">
        <f t="shared" si="232"/>
        <v>87.175768701239107</v>
      </c>
      <c r="T57" s="113">
        <f t="shared" si="233"/>
        <v>87.175768701239107</v>
      </c>
      <c r="U57" s="113">
        <f t="shared" si="234"/>
        <v>296.99372729035201</v>
      </c>
      <c r="V57" s="113">
        <f t="shared" si="235"/>
        <v>25669.72972972973</v>
      </c>
      <c r="W57" s="103">
        <f t="shared" si="236"/>
        <v>294.45945945945948</v>
      </c>
      <c r="X57" s="112"/>
      <c r="Y57" s="445">
        <f t="shared" si="188"/>
        <v>33.960532354290962</v>
      </c>
      <c r="Z57" s="112"/>
      <c r="AA57" s="114">
        <v>650</v>
      </c>
      <c r="AB57" s="111"/>
      <c r="AC57" s="23" t="s">
        <v>10</v>
      </c>
      <c r="AD57" s="426">
        <f t="shared" si="189"/>
        <v>37</v>
      </c>
      <c r="AE57" s="426">
        <f t="shared" si="190"/>
        <v>37</v>
      </c>
      <c r="AF57" s="32"/>
      <c r="AG57" s="22">
        <f>37</f>
        <v>37</v>
      </c>
      <c r="AH57" s="32"/>
      <c r="AI57" s="3"/>
      <c r="AJ57" s="614">
        <v>3032.98</v>
      </c>
      <c r="AK57" s="225">
        <v>3197.98</v>
      </c>
      <c r="AL57" s="492">
        <f t="shared" si="191"/>
        <v>81.972432432432427</v>
      </c>
      <c r="AM57" s="4">
        <f t="shared" si="192"/>
        <v>86.431891891891894</v>
      </c>
      <c r="AN57" s="26"/>
      <c r="AO57" s="26"/>
      <c r="AP57" s="26"/>
      <c r="AQ57" s="29"/>
      <c r="AR57" s="29"/>
      <c r="AS57" s="29"/>
      <c r="AT57" s="29"/>
      <c r="AU57" s="29"/>
      <c r="AV57" s="27"/>
      <c r="AW57" s="38"/>
      <c r="AX57" s="40"/>
      <c r="AY57" s="27"/>
      <c r="AZ57" s="23" t="s">
        <v>385</v>
      </c>
      <c r="BA57" s="23" t="s">
        <v>94</v>
      </c>
      <c r="BB57" s="29">
        <v>6377000</v>
      </c>
      <c r="BC57" s="437">
        <f>BB57/AJ57</f>
        <v>2102.5526050287176</v>
      </c>
      <c r="BD57" s="332">
        <f>BB57/AK57</f>
        <v>1994.0712574812851</v>
      </c>
      <c r="BE57" s="334">
        <f>BB57/AD57</f>
        <v>172351.35135135136</v>
      </c>
      <c r="BF57" s="160">
        <v>42761</v>
      </c>
      <c r="BG57" s="160"/>
      <c r="BH57" s="160">
        <v>42761</v>
      </c>
      <c r="BI57" s="160"/>
      <c r="BJ57" s="548">
        <v>42824</v>
      </c>
      <c r="BK57" s="548">
        <v>42998</v>
      </c>
      <c r="BL57" s="549"/>
      <c r="BM57" s="547">
        <f t="shared" si="193"/>
        <v>5.8</v>
      </c>
      <c r="BN57" s="490" t="s">
        <v>229</v>
      </c>
      <c r="BO57" s="385"/>
      <c r="BP57" s="473"/>
      <c r="BQ57" s="536">
        <f>(DATEDIF(BO57,BP57,"d"))/30</f>
        <v>0</v>
      </c>
      <c r="BR57" s="530"/>
      <c r="BS57" s="385">
        <f t="shared" si="229"/>
        <v>91</v>
      </c>
      <c r="BT57" s="77"/>
      <c r="BU57" s="151"/>
      <c r="BV57" s="150">
        <f t="shared" si="194"/>
        <v>1096</v>
      </c>
      <c r="BW57" s="373"/>
      <c r="BX57" s="150" t="str">
        <f>IF(Tableau6[[#This Row],[Montant des loyers perçus avant 1e échéance]]&lt;BW57,"oui","non")</f>
        <v>non</v>
      </c>
      <c r="BY57" s="373">
        <f t="shared" si="237"/>
        <v>-1473.8333333333333</v>
      </c>
      <c r="BZ57" s="373">
        <f t="shared" si="238"/>
        <v>0</v>
      </c>
      <c r="CA57" s="373">
        <f>IF(BW57-BZ57&lt;0,0,Tableau6[[#This Row],[Montant échéance annuelle]]-Tableau6[[#This Row],[Montant des loyers perçus avant 1e échéance]])</f>
        <v>0</v>
      </c>
      <c r="CB57" s="64"/>
      <c r="CC57" s="64"/>
      <c r="CD57" s="64"/>
      <c r="CE57" s="290" t="str">
        <f t="shared" si="184"/>
        <v>0</v>
      </c>
      <c r="CF57" s="64"/>
      <c r="CG57" s="64"/>
      <c r="CH57" s="273" t="str">
        <f t="shared" si="185"/>
        <v>0</v>
      </c>
      <c r="CI57" s="159"/>
      <c r="CJ57" s="159"/>
      <c r="CK57" s="273" t="str">
        <f t="shared" si="186"/>
        <v>0</v>
      </c>
      <c r="CL57" s="288"/>
      <c r="CM57" s="288"/>
      <c r="CN57" s="273" t="str">
        <f t="shared" si="187"/>
        <v>0</v>
      </c>
      <c r="CO57" s="288"/>
      <c r="CP57" s="288">
        <f ca="1">IF(CO57&lt;TODAY(),TODAY(),CO57)</f>
        <v>43998</v>
      </c>
      <c r="CQ57" s="273" t="str">
        <f t="shared" ca="1" si="195"/>
        <v>0</v>
      </c>
      <c r="CR57" s="239"/>
      <c r="CS57" s="288"/>
      <c r="CT57" s="284"/>
      <c r="CU57" s="282">
        <f ca="1">IF(CT57&lt;TODAY(),TODAY(),CT57)</f>
        <v>43998</v>
      </c>
      <c r="CV57" s="279" t="str">
        <f t="shared" ca="1" si="230"/>
        <v>0</v>
      </c>
      <c r="CW57" s="284"/>
      <c r="CX57" s="382">
        <v>44701</v>
      </c>
      <c r="CY57" s="178"/>
      <c r="CZ57" s="231"/>
      <c r="DA57" s="279" t="str">
        <f t="shared" si="197"/>
        <v>0</v>
      </c>
      <c r="DB57" s="383">
        <v>18</v>
      </c>
      <c r="DC57" s="127">
        <f t="shared" si="198"/>
        <v>19</v>
      </c>
      <c r="DD57" s="282"/>
      <c r="DE57" s="282">
        <f ca="1">IF(DD57&lt;TODAY(),TODAY(),DD57)</f>
        <v>43998</v>
      </c>
      <c r="DF57" s="279" t="str">
        <f t="shared" ca="1" si="199"/>
        <v>0</v>
      </c>
      <c r="DG57" s="282"/>
      <c r="DH57" s="295">
        <f ca="1">IF(DG57&lt;TODAY(),TODAY(),DG57)</f>
        <v>43998</v>
      </c>
      <c r="DI57" s="280" t="str">
        <f t="shared" ca="1" si="200"/>
        <v>0</v>
      </c>
      <c r="DJ57" s="282"/>
      <c r="DK57" s="295">
        <f ca="1">IF(DJ57&lt;TODAY(),TODAY(),DJ57)</f>
        <v>43998</v>
      </c>
      <c r="DL57" s="279" t="str">
        <f t="shared" ca="1" si="201"/>
        <v>0</v>
      </c>
      <c r="DM57" s="282">
        <v>43493</v>
      </c>
      <c r="DN57" s="282">
        <f ca="1">IF(DM57&lt;TODAY(),TODAY(),DM57)</f>
        <v>43998</v>
      </c>
      <c r="DO57" s="279">
        <f t="shared" ca="1" si="202"/>
        <v>505</v>
      </c>
      <c r="DP57" s="283"/>
      <c r="DQ57" s="283"/>
      <c r="DR57" s="279" t="str">
        <f t="shared" si="203"/>
        <v>0</v>
      </c>
      <c r="DS57" s="282"/>
      <c r="DT57" s="282">
        <f ca="1">IF(DS57&lt;TODAY(),TODAY(),DS57)</f>
        <v>43998</v>
      </c>
      <c r="DU57" s="279" t="str">
        <f t="shared" ca="1" si="204"/>
        <v>0</v>
      </c>
      <c r="DV57" s="282">
        <v>43570</v>
      </c>
      <c r="DW57" s="282">
        <f ca="1">IF(DV57&lt;TODAY(),TODAY(),DV57)</f>
        <v>43998</v>
      </c>
      <c r="DX57" s="279">
        <f t="shared" ca="1" si="205"/>
        <v>428</v>
      </c>
      <c r="DY57" s="282"/>
      <c r="DZ57" s="282"/>
      <c r="EA57" s="282"/>
      <c r="EB57" s="410">
        <f t="shared" si="206"/>
        <v>45250</v>
      </c>
      <c r="EC57" s="409">
        <f>DATE(YEAR(EB57),MONTH(EB57)+1,DAY(EB57))</f>
        <v>45280</v>
      </c>
      <c r="ED57" s="406">
        <f t="shared" si="207"/>
        <v>1</v>
      </c>
      <c r="EE57" s="513"/>
      <c r="EF57" s="820">
        <f ca="1">DATE(YEAR(DH57)+2,MONTH(DH57),DAY(DH57))</f>
        <v>44728</v>
      </c>
      <c r="EG57" s="448"/>
      <c r="EH57" s="448"/>
      <c r="EI57" s="448">
        <f>DATE(YEAR(EC57),MONTH(EC57)+4,DAY(EC57)+2)</f>
        <v>45404</v>
      </c>
      <c r="EJ57" s="242"/>
      <c r="EK57" s="456">
        <f t="shared" si="220"/>
        <v>45280</v>
      </c>
      <c r="EL57" s="409">
        <f>DATE(YEAR(EC57),MONTH(EC57)+1,DAY(EC57))</f>
        <v>45311</v>
      </c>
      <c r="EM57" s="314"/>
      <c r="EN57" s="405">
        <f t="shared" si="239"/>
        <v>1.0333333333333334</v>
      </c>
      <c r="EO57" s="394"/>
      <c r="EP57" s="131">
        <f t="shared" si="208"/>
        <v>0</v>
      </c>
      <c r="EQ57" s="60"/>
      <c r="ER57" s="60"/>
      <c r="ES57" s="742">
        <f>(Tableau6[[#This Row],[Date inauguration recalée]]-ER57)/30</f>
        <v>1510.3666666666666</v>
      </c>
      <c r="ET57" s="300">
        <v>0</v>
      </c>
      <c r="EU57" s="300">
        <v>0</v>
      </c>
      <c r="EV57" s="300"/>
      <c r="EW57" s="300"/>
      <c r="EX57" s="300"/>
      <c r="EY57" s="416">
        <f t="shared" si="209"/>
        <v>0</v>
      </c>
      <c r="EZ57" s="297"/>
      <c r="FA57" s="308"/>
      <c r="FB57" s="308" t="s">
        <v>527</v>
      </c>
      <c r="FC57" s="297" t="s">
        <v>790</v>
      </c>
      <c r="FD57" s="89">
        <f t="shared" ref="FD57:FD88" ca="1" si="241">DATE(YEAR(DH57),MONTH(DH57)+24,DAY(DH57))</f>
        <v>44728</v>
      </c>
      <c r="FE57" s="65"/>
      <c r="FF57" s="65"/>
      <c r="FG57" s="65"/>
      <c r="FH57" s="65"/>
      <c r="FI57" s="65"/>
      <c r="FJ57" s="23"/>
      <c r="FK57" s="146">
        <f t="shared" si="210"/>
        <v>45646</v>
      </c>
      <c r="FL57" s="146"/>
      <c r="FM57" s="146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451"/>
      <c r="GB57" s="471">
        <f>GD57+GG57+GJ57+HF57+Tableau6[[#This Row],[PRÊT CREDIT D''IMPOT (PM)]]</f>
        <v>6863538.2000000002</v>
      </c>
      <c r="GC57" s="645">
        <f t="shared" si="240"/>
        <v>6863538.2000000002</v>
      </c>
      <c r="GD57" s="507">
        <f t="shared" si="219"/>
        <v>660000</v>
      </c>
      <c r="GE57" s="20">
        <f t="shared" si="211"/>
        <v>2146.21048286731</v>
      </c>
      <c r="GF57" s="20">
        <f t="shared" si="212"/>
        <v>185501.03243243243</v>
      </c>
      <c r="GG57" s="503">
        <v>2271739</v>
      </c>
      <c r="GH57" s="351"/>
      <c r="GI57" s="20">
        <f t="shared" si="225"/>
        <v>61398.351351351354</v>
      </c>
      <c r="GJ57" s="503">
        <f t="shared" si="213"/>
        <v>3931799.2</v>
      </c>
      <c r="GK57" s="5">
        <f>GL57+GM57</f>
        <v>3931799.2</v>
      </c>
      <c r="GL57" s="149">
        <v>1087640.28</v>
      </c>
      <c r="GM57" s="149">
        <v>2844158.92</v>
      </c>
      <c r="GN57" s="345">
        <f t="shared" si="214"/>
        <v>106264.84324324325</v>
      </c>
      <c r="GO57" s="806"/>
      <c r="GP57" s="485">
        <v>660000</v>
      </c>
      <c r="GQ57" s="35"/>
      <c r="GR57" s="18">
        <f t="shared" si="215"/>
        <v>9.6160315680912212E-2</v>
      </c>
      <c r="GS57" s="35"/>
      <c r="GT57" s="35"/>
      <c r="GU57" s="36"/>
      <c r="GV57" s="20">
        <f t="shared" si="170"/>
        <v>17837.837837837837</v>
      </c>
      <c r="GW57" s="20">
        <f t="shared" si="171"/>
        <v>79236.189189189186</v>
      </c>
      <c r="GX57" s="572"/>
      <c r="GY57" s="572"/>
      <c r="GZ57" s="567" t="e">
        <f>(#REF!+#REF!+GY57)/AD57</f>
        <v>#REF!</v>
      </c>
      <c r="HA57" s="572"/>
      <c r="HB57" s="569">
        <f t="shared" si="172"/>
        <v>79236.189189189186</v>
      </c>
      <c r="HC57" s="568" t="e">
        <f>(#REF!+#REF!+GY57+HA57)/(GX57+#REF!-HD57)</f>
        <v>#REF!</v>
      </c>
      <c r="HD57" s="572"/>
      <c r="HE57" s="572"/>
      <c r="HF57" s="503">
        <f>EU57</f>
        <v>0</v>
      </c>
      <c r="HG57" s="633"/>
      <c r="HH57" s="634">
        <f t="shared" si="216"/>
        <v>0</v>
      </c>
      <c r="HI57" s="633">
        <f t="shared" si="173"/>
        <v>6863538.2000000002</v>
      </c>
      <c r="HJ57" s="633" t="e">
        <f t="shared" ca="1" si="221"/>
        <v>#VALUE!</v>
      </c>
      <c r="HK57" s="633"/>
      <c r="HL57" s="633">
        <f>'[1]GLOBAL OPERATION'!$AG$89</f>
        <v>0</v>
      </c>
      <c r="HM57" s="633">
        <f t="shared" si="217"/>
        <v>660000</v>
      </c>
      <c r="HN57" s="633">
        <f t="shared" si="218"/>
        <v>0</v>
      </c>
      <c r="HO57" s="633"/>
      <c r="HP57" s="563"/>
      <c r="HQ57" s="47"/>
      <c r="HR57" s="563"/>
      <c r="HS57" s="563">
        <f>SUM(Tableau6[[#This Row],[GO]:[CARRELAGE]])</f>
        <v>0</v>
      </c>
      <c r="HT57" s="461"/>
      <c r="HU57" s="461"/>
      <c r="HV57" s="461"/>
      <c r="HW57" s="461"/>
      <c r="HX57" s="461"/>
      <c r="HY57" s="461"/>
      <c r="HZ57" s="461"/>
      <c r="IA57" s="461"/>
      <c r="IB57" s="461"/>
      <c r="IC57" s="461"/>
      <c r="ID57" s="461"/>
      <c r="IE57" s="461"/>
      <c r="IF57" s="461"/>
      <c r="IG57" s="563"/>
      <c r="IH57" s="563"/>
      <c r="II57" s="563">
        <f>HP57+HR57+Tableau6[[#This Row],[TRAVAUX BATIS]]+Tableau6[[#This Row],[HONORAIRES]]+IH57</f>
        <v>0</v>
      </c>
      <c r="IJ57" s="654">
        <f>Tableau6[[#This Row],[TOTAL PRP HT]]-Tableau6[[#This Row],[PRP TTC HORS FRAFU]]/1.021</f>
        <v>-6722368.4622918712</v>
      </c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</row>
    <row r="58" spans="1:256" ht="20.149999999999999" customHeight="1">
      <c r="A58" s="48" t="s">
        <v>264</v>
      </c>
      <c r="B58" s="22" t="s">
        <v>21</v>
      </c>
      <c r="C58" s="22" t="s">
        <v>86</v>
      </c>
      <c r="D58" s="22">
        <v>2012</v>
      </c>
      <c r="E58" s="22" t="s">
        <v>66</v>
      </c>
      <c r="F58" s="22"/>
      <c r="G58" s="57"/>
      <c r="H58" s="22" t="s">
        <v>181</v>
      </c>
      <c r="I58" s="22"/>
      <c r="J58" s="22"/>
      <c r="K58" s="134"/>
      <c r="L58" s="780"/>
      <c r="M58" s="780"/>
      <c r="N58" s="780"/>
      <c r="O58" s="103">
        <v>2666</v>
      </c>
      <c r="P58" s="103">
        <v>209000</v>
      </c>
      <c r="Q58" s="103">
        <v>154394</v>
      </c>
      <c r="R58" s="103">
        <f t="shared" si="231"/>
        <v>12294.117647058823</v>
      </c>
      <c r="S58" s="103">
        <f t="shared" si="232"/>
        <v>78.394598649662413</v>
      </c>
      <c r="T58" s="103">
        <f t="shared" si="233"/>
        <v>57.912228057014254</v>
      </c>
      <c r="U58" s="103">
        <f t="shared" si="234"/>
        <v>124.49121109498468</v>
      </c>
      <c r="V58" s="103">
        <f t="shared" si="235"/>
        <v>9082</v>
      </c>
      <c r="W58" s="103">
        <f t="shared" si="236"/>
        <v>156.8235294117647</v>
      </c>
      <c r="X58" s="103"/>
      <c r="Y58" s="444">
        <f t="shared" si="188"/>
        <v>63.765941485371343</v>
      </c>
      <c r="Z58" s="104" t="s">
        <v>142</v>
      </c>
      <c r="AA58" s="104"/>
      <c r="AB58" s="105"/>
      <c r="AC58" s="22" t="s">
        <v>10</v>
      </c>
      <c r="AD58" s="426">
        <f t="shared" si="189"/>
        <v>17</v>
      </c>
      <c r="AE58" s="426">
        <f t="shared" si="190"/>
        <v>17</v>
      </c>
      <c r="AF58" s="32"/>
      <c r="AG58" s="22">
        <v>17</v>
      </c>
      <c r="AH58" s="32"/>
      <c r="AI58" s="3"/>
      <c r="AJ58" s="26">
        <v>1232.6100000000001</v>
      </c>
      <c r="AK58" s="225">
        <v>1240.2</v>
      </c>
      <c r="AL58" s="492">
        <f t="shared" si="191"/>
        <v>72.506470588235302</v>
      </c>
      <c r="AM58" s="4">
        <f t="shared" si="192"/>
        <v>72.952941176470588</v>
      </c>
      <c r="AN58" s="26">
        <v>5.2193642672028657</v>
      </c>
      <c r="AO58" s="26">
        <v>5.19</v>
      </c>
      <c r="AP58" s="26">
        <v>378.43768172923086</v>
      </c>
      <c r="AQ58" s="26"/>
      <c r="AR58" s="26"/>
      <c r="AS58" s="26"/>
      <c r="AT58" s="26"/>
      <c r="AU58" s="26"/>
      <c r="AV58" s="26">
        <v>760</v>
      </c>
      <c r="AW58" s="37">
        <f>30*10</f>
        <v>300</v>
      </c>
      <c r="AX58" s="39">
        <f t="shared" ref="AX58:AX69" si="242">AW58/O58</f>
        <v>0.11252813203300825</v>
      </c>
      <c r="AY58" s="26">
        <v>3</v>
      </c>
      <c r="AZ58" s="25" t="s">
        <v>386</v>
      </c>
      <c r="BA58" s="26" t="s">
        <v>95</v>
      </c>
      <c r="BB58" s="26"/>
      <c r="BC58" s="26"/>
      <c r="BD58" s="26"/>
      <c r="BE58" s="26"/>
      <c r="BF58" s="147"/>
      <c r="BG58" s="147"/>
      <c r="BH58" s="122">
        <v>40963</v>
      </c>
      <c r="BI58" s="122"/>
      <c r="BJ58" s="548">
        <v>40998</v>
      </c>
      <c r="BK58" s="548">
        <v>41170</v>
      </c>
      <c r="BL58" s="549"/>
      <c r="BM58" s="547">
        <f t="shared" si="193"/>
        <v>5.7333333333333334</v>
      </c>
      <c r="BN58" s="490"/>
      <c r="BO58" s="50"/>
      <c r="BP58" s="525">
        <v>41288</v>
      </c>
      <c r="BQ58" s="525"/>
      <c r="BR58" s="525"/>
      <c r="BS58" s="77">
        <f t="shared" si="229"/>
        <v>41378</v>
      </c>
      <c r="BT58" s="50"/>
      <c r="BU58" s="150">
        <v>41395</v>
      </c>
      <c r="BV58" s="150">
        <f t="shared" si="194"/>
        <v>42491</v>
      </c>
      <c r="BW58" s="373">
        <v>52325</v>
      </c>
      <c r="BX58" s="150" t="str">
        <f>IF(Tableau6[[#This Row],[Montant des loyers perçus avant 1e échéance]]&lt;BW58,"oui","non")</f>
        <v>non</v>
      </c>
      <c r="BY58" s="475">
        <f t="shared" si="237"/>
        <v>-7.833333333333333</v>
      </c>
      <c r="BZ58" s="373" t="str">
        <f t="shared" si="238"/>
        <v>0</v>
      </c>
      <c r="CA58" s="373">
        <f>IF(BW58-BZ58&lt;0,0,Tableau6[[#This Row],[Montant échéance annuelle]]-Tableau6[[#This Row],[Montant des loyers perçus avant 1e échéance]])</f>
        <v>52325</v>
      </c>
      <c r="CB58" s="64"/>
      <c r="CC58" s="64"/>
      <c r="CD58" s="64"/>
      <c r="CE58" s="273" t="str">
        <f t="shared" si="184"/>
        <v>0</v>
      </c>
      <c r="CF58" s="64"/>
      <c r="CG58" s="64"/>
      <c r="CH58" s="273" t="str">
        <f t="shared" si="185"/>
        <v>0</v>
      </c>
      <c r="CI58" s="64"/>
      <c r="CJ58" s="64"/>
      <c r="CK58" s="273" t="str">
        <f t="shared" si="186"/>
        <v>0</v>
      </c>
      <c r="CL58" s="64"/>
      <c r="CM58" s="64"/>
      <c r="CN58" s="273" t="str">
        <f t="shared" si="187"/>
        <v>0</v>
      </c>
      <c r="CO58" s="66"/>
      <c r="CP58" s="311"/>
      <c r="CQ58" s="273" t="str">
        <f t="shared" si="195"/>
        <v>0</v>
      </c>
      <c r="CR58" s="239"/>
      <c r="CS58" s="117"/>
      <c r="CT58" s="64"/>
      <c r="CU58" s="117"/>
      <c r="CV58" s="273" t="str">
        <f t="shared" si="230"/>
        <v>0</v>
      </c>
      <c r="CW58" s="64"/>
      <c r="CX58" s="184">
        <v>41309</v>
      </c>
      <c r="CY58" s="175">
        <v>2013</v>
      </c>
      <c r="CZ58" s="232">
        <f t="shared" ref="CZ58:CZ91" si="243">(DATEDIF(BK58,CX58,"d"))/30</f>
        <v>4.6333333333333337</v>
      </c>
      <c r="DA58" s="273" t="str">
        <f t="shared" si="197"/>
        <v>0</v>
      </c>
      <c r="DB58" s="133">
        <v>14</v>
      </c>
      <c r="DC58" s="169">
        <f t="shared" si="198"/>
        <v>46</v>
      </c>
      <c r="DD58" s="64"/>
      <c r="DE58" s="117"/>
      <c r="DF58" s="273" t="str">
        <f t="shared" si="199"/>
        <v>0</v>
      </c>
      <c r="DG58" s="64"/>
      <c r="DH58" s="309"/>
      <c r="DI58" s="276" t="str">
        <f t="shared" si="200"/>
        <v>0</v>
      </c>
      <c r="DJ58" s="66"/>
      <c r="DK58" s="336"/>
      <c r="DL58" s="273" t="str">
        <f t="shared" si="201"/>
        <v>0</v>
      </c>
      <c r="DM58" s="64"/>
      <c r="DN58" s="64"/>
      <c r="DO58" s="273" t="str">
        <f t="shared" si="202"/>
        <v>0</v>
      </c>
      <c r="DP58" s="64"/>
      <c r="DQ58" s="64"/>
      <c r="DR58" s="273" t="str">
        <f t="shared" si="203"/>
        <v>0</v>
      </c>
      <c r="DS58" s="64"/>
      <c r="DT58" s="64"/>
      <c r="DU58" s="273" t="str">
        <f t="shared" si="204"/>
        <v>0</v>
      </c>
      <c r="DV58" s="64"/>
      <c r="DW58" s="64"/>
      <c r="DX58" s="273" t="str">
        <f t="shared" si="205"/>
        <v>0</v>
      </c>
      <c r="DY58" s="64"/>
      <c r="DZ58" s="64"/>
      <c r="EA58" s="64"/>
      <c r="EB58" s="579">
        <f t="shared" si="206"/>
        <v>41733</v>
      </c>
      <c r="EC58" s="184">
        <v>42713</v>
      </c>
      <c r="ED58" s="401">
        <f t="shared" si="207"/>
        <v>32.666666666666664</v>
      </c>
      <c r="EE58" s="511"/>
      <c r="EF58" s="791"/>
      <c r="EG58" s="796">
        <v>42788</v>
      </c>
      <c r="EH58" s="159" t="s">
        <v>101</v>
      </c>
      <c r="EI58" s="67" t="s">
        <v>101</v>
      </c>
      <c r="EJ58" s="327"/>
      <c r="EK58" s="455">
        <f t="shared" si="220"/>
        <v>41763</v>
      </c>
      <c r="EL58" s="183">
        <v>42726</v>
      </c>
      <c r="EM58" s="177">
        <v>2016</v>
      </c>
      <c r="EN58" s="398">
        <f t="shared" si="239"/>
        <v>32.1</v>
      </c>
      <c r="EO58" s="389">
        <f>79535/12</f>
        <v>6627.916666666667</v>
      </c>
      <c r="EP58" s="158">
        <f t="shared" si="208"/>
        <v>212756.12500000003</v>
      </c>
      <c r="EQ58" s="159" t="s">
        <v>101</v>
      </c>
      <c r="ER58" s="159"/>
      <c r="ES58" s="133"/>
      <c r="ET58" s="296"/>
      <c r="EU58" s="387">
        <f t="shared" ref="EU58:EU67" si="244">HF58</f>
        <v>5573.57</v>
      </c>
      <c r="EV58" s="300"/>
      <c r="EW58" s="300"/>
      <c r="EX58" s="300"/>
      <c r="EY58" s="416">
        <f t="shared" si="209"/>
        <v>0</v>
      </c>
      <c r="EZ58" s="297"/>
      <c r="FA58" s="308" t="s">
        <v>518</v>
      </c>
      <c r="FB58" s="297"/>
      <c r="FC58" s="297"/>
      <c r="FD58" s="89">
        <f t="shared" si="241"/>
        <v>731</v>
      </c>
      <c r="FE58" s="61" t="s">
        <v>373</v>
      </c>
      <c r="FF58" s="61"/>
      <c r="FG58" s="166" t="s">
        <v>398</v>
      </c>
      <c r="FH58" s="61" t="s">
        <v>548</v>
      </c>
      <c r="FI58" s="98">
        <v>42928</v>
      </c>
      <c r="FJ58" s="98">
        <v>43000</v>
      </c>
      <c r="FK58" s="64">
        <f t="shared" si="210"/>
        <v>43078</v>
      </c>
      <c r="FL58" s="64"/>
      <c r="FM58" s="375">
        <v>41687</v>
      </c>
      <c r="FN58" s="95">
        <v>42779</v>
      </c>
      <c r="FO58" s="95">
        <v>42779</v>
      </c>
      <c r="FP58" s="95"/>
      <c r="FQ58" s="63"/>
      <c r="FR58" s="63"/>
      <c r="FS58" s="354"/>
      <c r="FT58" s="63"/>
      <c r="FU58" s="88" t="s">
        <v>543</v>
      </c>
      <c r="FV58" s="22" t="s">
        <v>287</v>
      </c>
      <c r="FW58" s="119">
        <v>42808</v>
      </c>
      <c r="FX58" s="119" t="s">
        <v>101</v>
      </c>
      <c r="FY58" s="64" t="s">
        <v>101</v>
      </c>
      <c r="FZ58" s="63"/>
      <c r="GA58" s="334">
        <v>2618300</v>
      </c>
      <c r="GB58" s="471">
        <f>GD58+GG58+GJ58+HF58+Tableau6[[#This Row],[PRÊT CREDIT D''IMPOT (PM)]]</f>
        <v>3209473.57</v>
      </c>
      <c r="GC58" s="644">
        <f t="shared" si="240"/>
        <v>3209473.57</v>
      </c>
      <c r="GD58" s="507">
        <f t="shared" si="219"/>
        <v>339997</v>
      </c>
      <c r="GE58" s="20">
        <f t="shared" si="211"/>
        <v>2587.8677390743428</v>
      </c>
      <c r="GF58" s="20">
        <f t="shared" si="212"/>
        <v>188792.56294117647</v>
      </c>
      <c r="GG58" s="507">
        <v>750248</v>
      </c>
      <c r="GH58" s="351"/>
      <c r="GI58" s="20">
        <f t="shared" si="225"/>
        <v>44132.23529411765</v>
      </c>
      <c r="GJ58" s="507">
        <f t="shared" si="213"/>
        <v>2113655</v>
      </c>
      <c r="GK58" s="5">
        <f t="shared" ref="GK58:GK69" si="245">+GL58+GM58</f>
        <v>1395754</v>
      </c>
      <c r="GL58" s="44">
        <v>259962</v>
      </c>
      <c r="GM58" s="44">
        <v>1135792</v>
      </c>
      <c r="GN58" s="345">
        <f t="shared" si="214"/>
        <v>82103.176470588238</v>
      </c>
      <c r="GO58" s="35">
        <v>717901</v>
      </c>
      <c r="GP58" s="34">
        <v>254997</v>
      </c>
      <c r="GQ58" s="34">
        <v>85000</v>
      </c>
      <c r="GR58" s="18">
        <f t="shared" si="215"/>
        <v>7.9451347530492364E-2</v>
      </c>
      <c r="GS58" s="488"/>
      <c r="GT58" s="488"/>
      <c r="GU58" s="34">
        <v>0</v>
      </c>
      <c r="GV58" s="20">
        <f t="shared" si="170"/>
        <v>14999.823529411764</v>
      </c>
      <c r="GW58" s="20">
        <f t="shared" si="171"/>
        <v>59132.058823529413</v>
      </c>
      <c r="GX58" s="569">
        <v>508572.84914999997</v>
      </c>
      <c r="GY58" s="569">
        <v>340000</v>
      </c>
      <c r="GZ58" s="567" t="e">
        <f>(#REF!+#REF!+GY58)/AD58</f>
        <v>#REF!</v>
      </c>
      <c r="HA58" s="569">
        <v>0</v>
      </c>
      <c r="HB58" s="567">
        <f t="shared" si="172"/>
        <v>79132.058823529413</v>
      </c>
      <c r="HC58" s="568">
        <f t="shared" ref="HC58:HC71" si="246">(GG58+GP58+GY58+HA58)/(GX58+GB58-HD58)</f>
        <v>0.37783432230133196</v>
      </c>
      <c r="HD58" s="569">
        <v>157636.68239999999</v>
      </c>
      <c r="HE58" s="569"/>
      <c r="HF58" s="507">
        <v>5573.57</v>
      </c>
      <c r="HG58" s="633"/>
      <c r="HH58" s="634">
        <f t="shared" si="216"/>
        <v>0</v>
      </c>
      <c r="HI58" s="635">
        <f t="shared" si="173"/>
        <v>3209473.57</v>
      </c>
      <c r="HJ58" s="633" t="e">
        <f t="shared" ca="1" si="221"/>
        <v>#VALUE!</v>
      </c>
      <c r="HK58" s="633"/>
      <c r="HL58" s="633"/>
      <c r="HM58" s="633">
        <f t="shared" si="217"/>
        <v>339997</v>
      </c>
      <c r="HN58" s="636">
        <f t="shared" si="218"/>
        <v>0</v>
      </c>
      <c r="HO58" s="636"/>
      <c r="HP58" s="563"/>
      <c r="HQ58" s="47"/>
      <c r="HR58" s="563"/>
      <c r="HS58" s="563">
        <f>SUM(Tableau6[[#This Row],[GO]:[CARRELAGE]])</f>
        <v>0</v>
      </c>
      <c r="HT58" s="461"/>
      <c r="HU58" s="461"/>
      <c r="HV58" s="461"/>
      <c r="HW58" s="461"/>
      <c r="HX58" s="461"/>
      <c r="HY58" s="461"/>
      <c r="HZ58" s="461"/>
      <c r="IA58" s="461"/>
      <c r="IB58" s="461"/>
      <c r="IC58" s="461"/>
      <c r="ID58" s="461"/>
      <c r="IE58" s="461"/>
      <c r="IF58" s="461"/>
      <c r="IG58" s="563"/>
      <c r="IH58" s="563"/>
      <c r="II58" s="563">
        <f>HP58+HR58+Tableau6[[#This Row],[TRAVAUX BATIS]]+Tableau6[[#This Row],[HONORAIRES]]+IH58</f>
        <v>0</v>
      </c>
      <c r="IJ58" s="654">
        <f>Tableau6[[#This Row],[TOTAL PRP HT]]-Tableau6[[#This Row],[PRP TTC HORS FRAFU]]/1.021</f>
        <v>-3143460.8912830558</v>
      </c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</row>
    <row r="59" spans="1:256" ht="29.25" customHeight="1">
      <c r="A59" s="48" t="s">
        <v>656</v>
      </c>
      <c r="B59" s="22" t="s">
        <v>21</v>
      </c>
      <c r="C59" s="22" t="s">
        <v>86</v>
      </c>
      <c r="D59" s="22">
        <v>2012</v>
      </c>
      <c r="E59" s="22" t="s">
        <v>65</v>
      </c>
      <c r="F59" s="22"/>
      <c r="G59" s="423"/>
      <c r="H59" s="22" t="s">
        <v>181</v>
      </c>
      <c r="I59" s="22"/>
      <c r="J59" s="22"/>
      <c r="K59" s="215" t="s">
        <v>408</v>
      </c>
      <c r="L59" s="780"/>
      <c r="M59" s="780"/>
      <c r="N59" s="780"/>
      <c r="O59" s="103">
        <v>12495</v>
      </c>
      <c r="P59" s="103">
        <v>825000</v>
      </c>
      <c r="Q59" s="103">
        <v>546365</v>
      </c>
      <c r="R59" s="103">
        <f t="shared" si="231"/>
        <v>12692.307692307691</v>
      </c>
      <c r="S59" s="103">
        <f t="shared" si="232"/>
        <v>66.026410564225685</v>
      </c>
      <c r="T59" s="103">
        <f t="shared" si="233"/>
        <v>43.726690676270508</v>
      </c>
      <c r="U59" s="103">
        <f t="shared" si="234"/>
        <v>102.26067849365454</v>
      </c>
      <c r="V59" s="103">
        <f t="shared" si="235"/>
        <v>8405.6153846153848</v>
      </c>
      <c r="W59" s="103">
        <f t="shared" si="236"/>
        <v>192.23076923076923</v>
      </c>
      <c r="X59" s="103"/>
      <c r="Y59" s="444">
        <f t="shared" si="188"/>
        <v>52.020808323329334</v>
      </c>
      <c r="Z59" s="104" t="s">
        <v>158</v>
      </c>
      <c r="AA59" s="104">
        <v>850</v>
      </c>
      <c r="AB59" s="105"/>
      <c r="AC59" s="22" t="s">
        <v>10</v>
      </c>
      <c r="AD59" s="426">
        <f t="shared" si="189"/>
        <v>65</v>
      </c>
      <c r="AE59" s="426">
        <f t="shared" si="190"/>
        <v>65</v>
      </c>
      <c r="AF59" s="32"/>
      <c r="AG59" s="22">
        <v>65</v>
      </c>
      <c r="AH59" s="32"/>
      <c r="AI59" s="3"/>
      <c r="AJ59" s="617">
        <v>4862.7300000000032</v>
      </c>
      <c r="AK59" s="225">
        <v>5342.8650000000043</v>
      </c>
      <c r="AL59" s="492">
        <f t="shared" si="191"/>
        <v>74.811230769230818</v>
      </c>
      <c r="AM59" s="4">
        <f t="shared" si="192"/>
        <v>82.197923076923146</v>
      </c>
      <c r="AN59" s="26">
        <v>5.51</v>
      </c>
      <c r="AO59" s="26">
        <v>5.01</v>
      </c>
      <c r="AP59" s="26">
        <v>411.89554665846191</v>
      </c>
      <c r="AQ59" s="39">
        <f>0/AD59</f>
        <v>0</v>
      </c>
      <c r="AR59" s="39">
        <f>19/AD59</f>
        <v>0.29230769230769232</v>
      </c>
      <c r="AS59" s="39">
        <f>20/AD59</f>
        <v>0.30769230769230771</v>
      </c>
      <c r="AT59" s="39">
        <f>23/AD59</f>
        <v>0.35384615384615387</v>
      </c>
      <c r="AU59" s="39">
        <f>3/AD59</f>
        <v>4.6153846153846156E-2</v>
      </c>
      <c r="AV59" s="26" t="s">
        <v>155</v>
      </c>
      <c r="AW59" s="37">
        <v>2000</v>
      </c>
      <c r="AX59" s="39">
        <f t="shared" si="242"/>
        <v>0.1600640256102441</v>
      </c>
      <c r="AY59" s="26">
        <v>2.5</v>
      </c>
      <c r="AZ59" s="25" t="s">
        <v>386</v>
      </c>
      <c r="BA59" s="26" t="s">
        <v>94</v>
      </c>
      <c r="BB59" s="26"/>
      <c r="BC59" s="26"/>
      <c r="BD59" s="26"/>
      <c r="BE59" s="26"/>
      <c r="BF59" s="22"/>
      <c r="BG59" s="22"/>
      <c r="BH59" s="89">
        <v>40963</v>
      </c>
      <c r="BI59" s="89"/>
      <c r="BJ59" s="548">
        <v>40998</v>
      </c>
      <c r="BK59" s="548">
        <v>41091</v>
      </c>
      <c r="BL59" s="549"/>
      <c r="BM59" s="547">
        <f t="shared" si="193"/>
        <v>3.1</v>
      </c>
      <c r="BN59" s="490"/>
      <c r="BO59" s="50"/>
      <c r="BP59" s="525">
        <v>41262</v>
      </c>
      <c r="BQ59" s="525"/>
      <c r="BR59" s="525"/>
      <c r="BS59" s="77">
        <f t="shared" si="229"/>
        <v>41352</v>
      </c>
      <c r="BT59" s="50"/>
      <c r="BU59" s="150">
        <v>41365</v>
      </c>
      <c r="BV59" s="150">
        <f t="shared" si="194"/>
        <v>42461</v>
      </c>
      <c r="BW59" s="373">
        <v>228526</v>
      </c>
      <c r="BX59" s="150" t="str">
        <f>IF(Tableau6[[#This Row],[Montant des loyers perçus avant 1e échéance]]&lt;BW59,"oui","non")</f>
        <v>non</v>
      </c>
      <c r="BY59" s="475">
        <f t="shared" si="237"/>
        <v>-13.933333333333334</v>
      </c>
      <c r="BZ59" s="373" t="str">
        <f t="shared" si="238"/>
        <v>0</v>
      </c>
      <c r="CA59" s="373">
        <f>IF(BW59-BZ59&lt;0,0,Tableau6[[#This Row],[Montant échéance annuelle]]-Tableau6[[#This Row],[Montant des loyers perçus avant 1e échéance]])</f>
        <v>228526</v>
      </c>
      <c r="CB59" s="64"/>
      <c r="CC59" s="57"/>
      <c r="CD59" s="57"/>
      <c r="CE59" s="273" t="str">
        <f t="shared" si="184"/>
        <v>0</v>
      </c>
      <c r="CF59" s="64"/>
      <c r="CG59" s="64"/>
      <c r="CH59" s="273" t="str">
        <f t="shared" si="185"/>
        <v>0</v>
      </c>
      <c r="CI59" s="66"/>
      <c r="CJ59" s="64"/>
      <c r="CK59" s="273" t="str">
        <f t="shared" si="186"/>
        <v>0</v>
      </c>
      <c r="CL59" s="66"/>
      <c r="CM59" s="64"/>
      <c r="CN59" s="273" t="str">
        <f t="shared" si="187"/>
        <v>0</v>
      </c>
      <c r="CO59" s="66"/>
      <c r="CP59" s="311"/>
      <c r="CQ59" s="273" t="str">
        <f t="shared" si="195"/>
        <v>0</v>
      </c>
      <c r="CR59" s="124"/>
      <c r="CS59" s="117"/>
      <c r="CT59" s="64"/>
      <c r="CU59" s="117"/>
      <c r="CV59" s="273" t="str">
        <f t="shared" si="230"/>
        <v>0</v>
      </c>
      <c r="CW59" s="64"/>
      <c r="CX59" s="181">
        <v>41320</v>
      </c>
      <c r="CY59" s="175">
        <v>2013</v>
      </c>
      <c r="CZ59" s="232">
        <f t="shared" si="243"/>
        <v>7.6333333333333337</v>
      </c>
      <c r="DA59" s="273" t="str">
        <f t="shared" si="197"/>
        <v>0</v>
      </c>
      <c r="DB59" s="59">
        <v>21</v>
      </c>
      <c r="DC59" s="59">
        <f t="shared" si="198"/>
        <v>51</v>
      </c>
      <c r="DD59" s="64"/>
      <c r="DE59" s="117"/>
      <c r="DF59" s="273" t="str">
        <f t="shared" si="199"/>
        <v>0</v>
      </c>
      <c r="DG59" s="64"/>
      <c r="DH59" s="309"/>
      <c r="DI59" s="276" t="str">
        <f t="shared" si="200"/>
        <v>0</v>
      </c>
      <c r="DJ59" s="66"/>
      <c r="DK59" s="336"/>
      <c r="DL59" s="273" t="str">
        <f t="shared" si="201"/>
        <v>0</v>
      </c>
      <c r="DM59" s="117"/>
      <c r="DN59" s="64"/>
      <c r="DO59" s="273" t="str">
        <f t="shared" si="202"/>
        <v>0</v>
      </c>
      <c r="DP59" s="57"/>
      <c r="DQ59" s="57"/>
      <c r="DR59" s="273" t="str">
        <f t="shared" si="203"/>
        <v>0</v>
      </c>
      <c r="DS59" s="57"/>
      <c r="DT59" s="57"/>
      <c r="DU59" s="273" t="str">
        <f t="shared" si="204"/>
        <v>0</v>
      </c>
      <c r="DV59" s="57"/>
      <c r="DW59" s="57"/>
      <c r="DX59" s="273" t="str">
        <f t="shared" si="205"/>
        <v>0</v>
      </c>
      <c r="DY59" s="57"/>
      <c r="DZ59" s="57"/>
      <c r="EA59" s="57"/>
      <c r="EB59" s="313">
        <f t="shared" si="206"/>
        <v>41958</v>
      </c>
      <c r="EC59" s="182">
        <v>42875</v>
      </c>
      <c r="ED59" s="401">
        <f t="shared" si="207"/>
        <v>30.566666666666666</v>
      </c>
      <c r="EE59" s="511"/>
      <c r="EF59" s="649"/>
      <c r="EG59" s="763">
        <v>42879</v>
      </c>
      <c r="EH59" s="58">
        <v>42535</v>
      </c>
      <c r="EI59" s="67">
        <v>42864</v>
      </c>
      <c r="EJ59" s="240"/>
      <c r="EK59" s="455">
        <f t="shared" si="220"/>
        <v>41988</v>
      </c>
      <c r="EL59" s="183">
        <v>42879</v>
      </c>
      <c r="EM59" s="177">
        <v>2017</v>
      </c>
      <c r="EN59" s="398">
        <f t="shared" si="239"/>
        <v>29.7</v>
      </c>
      <c r="EO59" s="233">
        <f>329858.71178776/12</f>
        <v>27488.225982313335</v>
      </c>
      <c r="EP59" s="158">
        <f t="shared" si="208"/>
        <v>816400.31167470606</v>
      </c>
      <c r="EQ59" s="90" t="s">
        <v>101</v>
      </c>
      <c r="ER59" s="90"/>
      <c r="ES59" s="738"/>
      <c r="ET59" s="296"/>
      <c r="EU59" s="387">
        <f t="shared" si="244"/>
        <v>36111</v>
      </c>
      <c r="EV59" s="300"/>
      <c r="EW59" s="300"/>
      <c r="EX59" s="300"/>
      <c r="EY59" s="416">
        <f t="shared" si="209"/>
        <v>0</v>
      </c>
      <c r="EZ59" s="297"/>
      <c r="FA59" s="308" t="s">
        <v>507</v>
      </c>
      <c r="FB59" s="297"/>
      <c r="FC59" s="297"/>
      <c r="FD59" s="89">
        <f t="shared" si="241"/>
        <v>731</v>
      </c>
      <c r="FE59" s="63"/>
      <c r="FF59" s="121" t="s">
        <v>101</v>
      </c>
      <c r="FG59" s="63"/>
      <c r="FH59" s="63"/>
      <c r="FI59" s="95">
        <v>43186</v>
      </c>
      <c r="FJ59" s="137" t="s">
        <v>724</v>
      </c>
      <c r="FK59" s="159">
        <f t="shared" si="210"/>
        <v>43240</v>
      </c>
      <c r="FL59" s="159"/>
      <c r="FM59" s="375">
        <v>206245</v>
      </c>
      <c r="FN59" s="95" t="s">
        <v>101</v>
      </c>
      <c r="FO59" s="95">
        <v>42907</v>
      </c>
      <c r="FP59" s="95"/>
      <c r="FQ59" s="63"/>
      <c r="FR59" s="63"/>
      <c r="FS59" s="160">
        <v>43185</v>
      </c>
      <c r="FT59" s="63"/>
      <c r="FU59" s="88" t="s">
        <v>541</v>
      </c>
      <c r="FV59" s="22"/>
      <c r="FW59" s="160">
        <v>43223</v>
      </c>
      <c r="FX59" s="57" t="s">
        <v>101</v>
      </c>
      <c r="FY59" s="63"/>
      <c r="FZ59" s="57" t="s">
        <v>101</v>
      </c>
      <c r="GA59" s="334">
        <v>9682468.3900000006</v>
      </c>
      <c r="GB59" s="471">
        <f>GD59+GG59+GJ59+HF59+Tableau6[[#This Row],[PRÊT CREDIT D''IMPOT (PM)]]</f>
        <v>10359154.550000001</v>
      </c>
      <c r="GC59" s="644">
        <f t="shared" si="240"/>
        <v>10359154.550000001</v>
      </c>
      <c r="GD59" s="507">
        <f t="shared" si="219"/>
        <v>790394</v>
      </c>
      <c r="GE59" s="20">
        <f t="shared" si="211"/>
        <v>1938.8763425615268</v>
      </c>
      <c r="GF59" s="20">
        <f t="shared" si="212"/>
        <v>159371.60846153848</v>
      </c>
      <c r="GG59" s="507">
        <v>3195831</v>
      </c>
      <c r="GH59" s="351"/>
      <c r="GI59" s="20">
        <f t="shared" si="225"/>
        <v>49166.630769230767</v>
      </c>
      <c r="GJ59" s="507">
        <f t="shared" si="213"/>
        <v>6336818.5499999998</v>
      </c>
      <c r="GK59" s="5">
        <f t="shared" si="245"/>
        <v>6112292.5499999998</v>
      </c>
      <c r="GL59" s="44">
        <v>1264343</v>
      </c>
      <c r="GM59" s="44">
        <v>4847949.55</v>
      </c>
      <c r="GN59" s="345">
        <f t="shared" si="214"/>
        <v>94035.27</v>
      </c>
      <c r="GO59" s="35">
        <v>224526</v>
      </c>
      <c r="GP59" s="34">
        <v>790394</v>
      </c>
      <c r="GQ59" s="34"/>
      <c r="GR59" s="18">
        <f t="shared" si="215"/>
        <v>7.6299083693079944E-2</v>
      </c>
      <c r="GS59" s="35"/>
      <c r="GT59" s="35"/>
      <c r="GU59" s="34">
        <v>0</v>
      </c>
      <c r="GV59" s="20">
        <f t="shared" si="170"/>
        <v>12159.907692307692</v>
      </c>
      <c r="GW59" s="20">
        <f t="shared" si="171"/>
        <v>61326.538461538461</v>
      </c>
      <c r="GX59" s="569">
        <v>1951680.4950927752</v>
      </c>
      <c r="GY59" s="569">
        <v>1300000</v>
      </c>
      <c r="GZ59" s="567">
        <f>(GG59+GP59+GY59)/AD59</f>
        <v>81326.538461538468</v>
      </c>
      <c r="HA59" s="569">
        <v>0</v>
      </c>
      <c r="HB59" s="567">
        <f t="shared" si="172"/>
        <v>81326.538461538468</v>
      </c>
      <c r="HC59" s="568">
        <f t="shared" si="246"/>
        <v>0.44977679130011533</v>
      </c>
      <c r="HD59" s="569">
        <v>557838.66500000004</v>
      </c>
      <c r="HE59" s="807"/>
      <c r="HF59" s="507">
        <v>36111</v>
      </c>
      <c r="HG59" s="633"/>
      <c r="HH59" s="634">
        <f t="shared" si="216"/>
        <v>0</v>
      </c>
      <c r="HI59" s="635">
        <f t="shared" si="173"/>
        <v>10359154.550000001</v>
      </c>
      <c r="HJ59" s="633" t="e">
        <f t="shared" ca="1" si="221"/>
        <v>#VALUE!</v>
      </c>
      <c r="HK59" s="633"/>
      <c r="HL59" s="633"/>
      <c r="HM59" s="633">
        <f t="shared" si="217"/>
        <v>790394</v>
      </c>
      <c r="HN59" s="636">
        <f t="shared" si="218"/>
        <v>0</v>
      </c>
      <c r="HO59" s="636"/>
      <c r="HP59" s="563"/>
      <c r="HQ59" s="47"/>
      <c r="HR59" s="563"/>
      <c r="HS59" s="563">
        <f>SUM(Tableau6[[#This Row],[GO]:[CARRELAGE]])</f>
        <v>0</v>
      </c>
      <c r="HT59" s="461"/>
      <c r="HU59" s="461"/>
      <c r="HV59" s="461"/>
      <c r="HW59" s="461"/>
      <c r="HX59" s="461"/>
      <c r="HY59" s="461"/>
      <c r="HZ59" s="461"/>
      <c r="IA59" s="461"/>
      <c r="IB59" s="461"/>
      <c r="IC59" s="461"/>
      <c r="ID59" s="461"/>
      <c r="IE59" s="461"/>
      <c r="IF59" s="461"/>
      <c r="IG59" s="563"/>
      <c r="IH59" s="563"/>
      <c r="II59" s="563">
        <f>HP59+HR59+Tableau6[[#This Row],[TRAVAUX BATIS]]+Tableau6[[#This Row],[HONORAIRES]]+IH59</f>
        <v>0</v>
      </c>
      <c r="IJ59" s="654">
        <f>Tableau6[[#This Row],[TOTAL PRP HT]]-Tableau6[[#This Row],[PRP TTC HORS FRAFU]]/1.021</f>
        <v>-10146086.728697358</v>
      </c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</row>
    <row r="60" spans="1:256" ht="33.75" customHeight="1">
      <c r="A60" s="360" t="s">
        <v>19</v>
      </c>
      <c r="B60" s="22" t="s">
        <v>17</v>
      </c>
      <c r="C60" s="22" t="s">
        <v>86</v>
      </c>
      <c r="D60" s="22">
        <v>2013</v>
      </c>
      <c r="E60" s="22" t="s">
        <v>18</v>
      </c>
      <c r="F60" s="22" t="s">
        <v>16</v>
      </c>
      <c r="G60" s="423" t="s">
        <v>329</v>
      </c>
      <c r="H60" s="22" t="s">
        <v>181</v>
      </c>
      <c r="I60" s="22"/>
      <c r="J60" s="22"/>
      <c r="K60" s="134" t="s">
        <v>357</v>
      </c>
      <c r="L60" s="152" t="s">
        <v>43</v>
      </c>
      <c r="M60" s="152" t="s">
        <v>100</v>
      </c>
      <c r="N60" s="152" t="s">
        <v>101</v>
      </c>
      <c r="O60" s="103">
        <v>4625</v>
      </c>
      <c r="P60" s="103">
        <v>215000</v>
      </c>
      <c r="Q60" s="103">
        <v>104244</v>
      </c>
      <c r="R60" s="103">
        <f t="shared" si="231"/>
        <v>15357.142857142857</v>
      </c>
      <c r="S60" s="103">
        <f t="shared" si="232"/>
        <v>46.486486486486484</v>
      </c>
      <c r="T60" s="103">
        <f t="shared" si="233"/>
        <v>22.539243243243245</v>
      </c>
      <c r="U60" s="103">
        <f t="shared" si="234"/>
        <v>89.684215959977479</v>
      </c>
      <c r="V60" s="103">
        <f t="shared" si="235"/>
        <v>7446</v>
      </c>
      <c r="W60" s="103">
        <f t="shared" si="236"/>
        <v>330.35714285714283</v>
      </c>
      <c r="X60" s="104">
        <v>1148.97</v>
      </c>
      <c r="Y60" s="444">
        <f t="shared" si="188"/>
        <v>30.27027027027027</v>
      </c>
      <c r="Z60" s="104" t="s">
        <v>161</v>
      </c>
      <c r="AA60" s="104">
        <v>20</v>
      </c>
      <c r="AB60" s="105"/>
      <c r="AC60" s="22" t="s">
        <v>10</v>
      </c>
      <c r="AD60" s="426">
        <f t="shared" si="189"/>
        <v>14</v>
      </c>
      <c r="AE60" s="426">
        <f t="shared" si="190"/>
        <v>14</v>
      </c>
      <c r="AF60" s="32"/>
      <c r="AG60" s="22">
        <v>14</v>
      </c>
      <c r="AH60" s="32"/>
      <c r="AI60" s="3"/>
      <c r="AJ60" s="614">
        <v>1141.9099999999999</v>
      </c>
      <c r="AK60" s="225">
        <v>1162.3449999999998</v>
      </c>
      <c r="AL60" s="492">
        <f t="shared" si="191"/>
        <v>81.564999999999984</v>
      </c>
      <c r="AM60" s="4">
        <f t="shared" si="192"/>
        <v>83.024642857142837</v>
      </c>
      <c r="AN60" s="26">
        <v>5.2</v>
      </c>
      <c r="AO60" s="26">
        <v>5.1100000000000003</v>
      </c>
      <c r="AP60" s="26">
        <v>424.27657409999989</v>
      </c>
      <c r="AQ60" s="28"/>
      <c r="AR60" s="28"/>
      <c r="AS60" s="28"/>
      <c r="AT60" s="28"/>
      <c r="AU60" s="28"/>
      <c r="AV60" s="26"/>
      <c r="AW60" s="37">
        <v>551.16</v>
      </c>
      <c r="AX60" s="39">
        <f t="shared" si="242"/>
        <v>0.11916972972972972</v>
      </c>
      <c r="AY60" s="28">
        <v>1.5</v>
      </c>
      <c r="AZ60" s="22" t="s">
        <v>385</v>
      </c>
      <c r="BA60" s="22" t="s">
        <v>95</v>
      </c>
      <c r="BB60" s="22"/>
      <c r="BC60" s="22"/>
      <c r="BD60" s="22"/>
      <c r="BE60" s="22"/>
      <c r="BF60" s="56">
        <v>41233</v>
      </c>
      <c r="BG60" s="56"/>
      <c r="BH60" s="56">
        <v>40963</v>
      </c>
      <c r="BI60" s="56"/>
      <c r="BJ60" s="548">
        <v>41363</v>
      </c>
      <c r="BK60" s="548">
        <v>41515</v>
      </c>
      <c r="BL60" s="549"/>
      <c r="BM60" s="547">
        <f t="shared" si="193"/>
        <v>5.0666666666666664</v>
      </c>
      <c r="BN60" s="490"/>
      <c r="BO60" s="77">
        <v>41549</v>
      </c>
      <c r="BP60" s="99">
        <v>41575</v>
      </c>
      <c r="BQ60" s="537">
        <f t="shared" ref="BQ60:BQ107" si="247">(DATEDIF(BO60,BP60,"d"))/30</f>
        <v>0.8666666666666667</v>
      </c>
      <c r="BR60" s="100"/>
      <c r="BS60" s="77">
        <f t="shared" si="229"/>
        <v>41667</v>
      </c>
      <c r="BT60" s="77"/>
      <c r="BU60" s="151">
        <v>41671</v>
      </c>
      <c r="BV60" s="150">
        <f t="shared" si="194"/>
        <v>42767</v>
      </c>
      <c r="BW60" s="373"/>
      <c r="BX60" s="150" t="str">
        <f>IF(Tableau6[[#This Row],[Montant des loyers perçus avant 1e échéance]]&lt;BW60,"oui","non")</f>
        <v>non</v>
      </c>
      <c r="BY60" s="475">
        <f t="shared" si="237"/>
        <v>15.133333333333333</v>
      </c>
      <c r="BZ60" s="373">
        <f t="shared" si="238"/>
        <v>92606.990668586979</v>
      </c>
      <c r="CA60" s="373">
        <f>IF(BW60-BZ60&lt;0,0,Tableau6[[#This Row],[Montant échéance annuelle]]-Tableau6[[#This Row],[Montant des loyers perçus avant 1e échéance]])</f>
        <v>0</v>
      </c>
      <c r="CB60" s="64"/>
      <c r="CC60" s="64"/>
      <c r="CD60" s="64"/>
      <c r="CE60" s="273" t="str">
        <f t="shared" si="184"/>
        <v>0</v>
      </c>
      <c r="CF60" s="64"/>
      <c r="CG60" s="64"/>
      <c r="CH60" s="273" t="str">
        <f t="shared" si="185"/>
        <v>0</v>
      </c>
      <c r="CI60" s="64"/>
      <c r="CJ60" s="64"/>
      <c r="CK60" s="273" t="str">
        <f t="shared" si="186"/>
        <v>0</v>
      </c>
      <c r="CL60" s="64"/>
      <c r="CM60" s="64"/>
      <c r="CN60" s="273" t="str">
        <f t="shared" si="187"/>
        <v>0</v>
      </c>
      <c r="CO60" s="66"/>
      <c r="CP60" s="311"/>
      <c r="CQ60" s="273" t="str">
        <f t="shared" si="195"/>
        <v>0</v>
      </c>
      <c r="CR60" s="239"/>
      <c r="CS60" s="117"/>
      <c r="CT60" s="64"/>
      <c r="CU60" s="117"/>
      <c r="CV60" s="273" t="str">
        <f t="shared" si="230"/>
        <v>0</v>
      </c>
      <c r="CW60" s="64"/>
      <c r="CX60" s="181">
        <v>41848</v>
      </c>
      <c r="CY60" s="175">
        <v>2014</v>
      </c>
      <c r="CZ60" s="232">
        <f t="shared" si="243"/>
        <v>11.1</v>
      </c>
      <c r="DA60" s="273" t="str">
        <f t="shared" si="197"/>
        <v>0</v>
      </c>
      <c r="DB60" s="126">
        <v>14</v>
      </c>
      <c r="DC60" s="126">
        <f t="shared" si="198"/>
        <v>14</v>
      </c>
      <c r="DD60" s="159"/>
      <c r="DE60" s="158"/>
      <c r="DF60" s="381" t="str">
        <f t="shared" si="199"/>
        <v>0</v>
      </c>
      <c r="DG60" s="159"/>
      <c r="DH60" s="159"/>
      <c r="DI60" s="337" t="str">
        <f t="shared" si="200"/>
        <v>0</v>
      </c>
      <c r="DJ60" s="133"/>
      <c r="DK60" s="336"/>
      <c r="DL60" s="381" t="str">
        <f t="shared" si="201"/>
        <v>0</v>
      </c>
      <c r="DM60" s="159"/>
      <c r="DN60" s="159"/>
      <c r="DO60" s="381" t="str">
        <f t="shared" si="202"/>
        <v>0</v>
      </c>
      <c r="DP60" s="159"/>
      <c r="DQ60" s="159"/>
      <c r="DR60" s="381" t="str">
        <f t="shared" si="203"/>
        <v>0</v>
      </c>
      <c r="DS60" s="159"/>
      <c r="DT60" s="159"/>
      <c r="DU60" s="381" t="str">
        <f t="shared" si="204"/>
        <v>0</v>
      </c>
      <c r="DV60" s="159"/>
      <c r="DW60" s="159"/>
      <c r="DX60" s="381" t="str">
        <f t="shared" si="205"/>
        <v>0</v>
      </c>
      <c r="DY60" s="159"/>
      <c r="DZ60" s="159"/>
      <c r="EA60" s="159"/>
      <c r="EB60" s="240">
        <f t="shared" si="206"/>
        <v>42275</v>
      </c>
      <c r="EC60" s="181">
        <v>42276</v>
      </c>
      <c r="ED60" s="401">
        <f t="shared" si="207"/>
        <v>3.3333333333333333E-2</v>
      </c>
      <c r="EE60" s="511"/>
      <c r="EF60" s="793"/>
      <c r="EG60" s="763">
        <v>42333</v>
      </c>
      <c r="EH60" s="120" t="s">
        <v>101</v>
      </c>
      <c r="EI60" s="58"/>
      <c r="EJ60" s="240"/>
      <c r="EK60" s="455">
        <f t="shared" si="220"/>
        <v>42305</v>
      </c>
      <c r="EL60" s="185">
        <v>42313</v>
      </c>
      <c r="EM60" s="241">
        <v>2015</v>
      </c>
      <c r="EN60" s="396">
        <f t="shared" si="239"/>
        <v>0.26666666666666666</v>
      </c>
      <c r="EO60" s="393">
        <f>73432.856036765/12</f>
        <v>6119.4046697304175</v>
      </c>
      <c r="EP60" s="117">
        <f t="shared" si="208"/>
        <v>1631.8412452614446</v>
      </c>
      <c r="EQ60" s="58"/>
      <c r="ER60" s="58"/>
      <c r="ES60" s="59"/>
      <c r="ET60" s="296"/>
      <c r="EU60" s="387">
        <f t="shared" si="244"/>
        <v>23860</v>
      </c>
      <c r="EV60" s="300"/>
      <c r="EW60" s="300"/>
      <c r="EX60" s="300">
        <f>(25658+3320+12600+10350+8537+1080+595+1470+1190)*1.021</f>
        <v>66160.799999999988</v>
      </c>
      <c r="EY60" s="416">
        <f t="shared" si="209"/>
        <v>2.7264579017489746E-2</v>
      </c>
      <c r="EZ60" s="297"/>
      <c r="FA60" s="308" t="s">
        <v>522</v>
      </c>
      <c r="FB60" s="297"/>
      <c r="FC60" s="297" t="s">
        <v>684</v>
      </c>
      <c r="FD60" s="89">
        <f t="shared" si="241"/>
        <v>731</v>
      </c>
      <c r="FE60" s="58">
        <v>42725</v>
      </c>
      <c r="FF60" s="58">
        <v>42536</v>
      </c>
      <c r="FG60" s="58" t="s">
        <v>101</v>
      </c>
      <c r="FH60" s="58" t="s">
        <v>101</v>
      </c>
      <c r="FI60" s="58">
        <v>42555</v>
      </c>
      <c r="FJ60" s="58">
        <v>42870</v>
      </c>
      <c r="FK60" s="58">
        <v>42660</v>
      </c>
      <c r="FL60" s="58"/>
      <c r="FM60" s="379">
        <v>13313</v>
      </c>
      <c r="FN60" s="95">
        <v>42324</v>
      </c>
      <c r="FO60" s="95">
        <v>42402</v>
      </c>
      <c r="FP60" s="95"/>
      <c r="FQ60" s="147"/>
      <c r="FR60" s="147"/>
      <c r="FS60" s="122">
        <v>42459</v>
      </c>
      <c r="FT60" s="22"/>
      <c r="FU60" s="325" t="s">
        <v>414</v>
      </c>
      <c r="FV60" s="22" t="s">
        <v>287</v>
      </c>
      <c r="FW60" s="119" t="s">
        <v>101</v>
      </c>
      <c r="FX60" s="119" t="s">
        <v>101</v>
      </c>
      <c r="FY60" s="119" t="s">
        <v>101</v>
      </c>
      <c r="FZ60" s="119" t="s">
        <v>101</v>
      </c>
      <c r="GA60" s="332">
        <v>2360150.41</v>
      </c>
      <c r="GB60" s="471">
        <f>GD60+GG60+GJ60+HF60+Tableau6[[#This Row],[PRÊT CREDIT D''IMPOT (PM)]]</f>
        <v>2426621</v>
      </c>
      <c r="GC60" s="644">
        <f t="shared" si="240"/>
        <v>2426621</v>
      </c>
      <c r="GD60" s="507">
        <f t="shared" si="219"/>
        <v>500000</v>
      </c>
      <c r="GE60" s="20">
        <f t="shared" si="211"/>
        <v>2087.6942732149237</v>
      </c>
      <c r="GF60" s="20">
        <f t="shared" si="212"/>
        <v>173330.07142857142</v>
      </c>
      <c r="GG60" s="507">
        <v>642565</v>
      </c>
      <c r="GH60" s="351"/>
      <c r="GI60" s="20">
        <f t="shared" si="225"/>
        <v>45897.5</v>
      </c>
      <c r="GJ60" s="507">
        <f t="shared" si="213"/>
        <v>1260196</v>
      </c>
      <c r="GK60" s="5">
        <f t="shared" si="245"/>
        <v>1260196</v>
      </c>
      <c r="GL60" s="44">
        <v>284216</v>
      </c>
      <c r="GM60" s="44">
        <v>975980</v>
      </c>
      <c r="GN60" s="345">
        <f t="shared" si="214"/>
        <v>90014</v>
      </c>
      <c r="GO60" s="35"/>
      <c r="GP60" s="35">
        <v>500000</v>
      </c>
      <c r="GQ60" s="35"/>
      <c r="GR60" s="18">
        <f t="shared" si="215"/>
        <v>0.20604783359247283</v>
      </c>
      <c r="GS60" s="35"/>
      <c r="GT60" s="35"/>
      <c r="GU60" s="35">
        <v>0</v>
      </c>
      <c r="GV60" s="20">
        <f t="shared" si="170"/>
        <v>35714.285714285717</v>
      </c>
      <c r="GW60" s="20">
        <f t="shared" si="171"/>
        <v>81611.78571428571</v>
      </c>
      <c r="GX60" s="569">
        <v>461213.14905750001</v>
      </c>
      <c r="GY60" s="569">
        <v>238500</v>
      </c>
      <c r="GZ60" s="567" t="e">
        <f>(#REF!+#REF!+GY60)/AD60</f>
        <v>#REF!</v>
      </c>
      <c r="HA60" s="569">
        <v>0</v>
      </c>
      <c r="HB60" s="567">
        <f t="shared" si="172"/>
        <v>98647.5</v>
      </c>
      <c r="HC60" s="568">
        <f t="shared" si="246"/>
        <v>0.49653574328412386</v>
      </c>
      <c r="HD60" s="569">
        <v>106433.17505000001</v>
      </c>
      <c r="HE60" s="569"/>
      <c r="HF60" s="507">
        <v>23860</v>
      </c>
      <c r="HG60" s="633"/>
      <c r="HH60" s="634">
        <f t="shared" si="216"/>
        <v>0</v>
      </c>
      <c r="HI60" s="635">
        <f t="shared" si="173"/>
        <v>2426621</v>
      </c>
      <c r="HJ60" s="633" t="e">
        <f t="shared" ca="1" si="221"/>
        <v>#VALUE!</v>
      </c>
      <c r="HK60" s="633"/>
      <c r="HL60" s="633"/>
      <c r="HM60" s="633">
        <f t="shared" si="217"/>
        <v>500000</v>
      </c>
      <c r="HN60" s="636">
        <f t="shared" si="218"/>
        <v>0</v>
      </c>
      <c r="HO60" s="636"/>
      <c r="HP60" s="563"/>
      <c r="HQ60" s="47"/>
      <c r="HR60" s="563"/>
      <c r="HS60" s="563">
        <f>SUM(Tableau6[[#This Row],[GO]:[CARRELAGE]])</f>
        <v>0</v>
      </c>
      <c r="HT60" s="461"/>
      <c r="HU60" s="461"/>
      <c r="HV60" s="461"/>
      <c r="HW60" s="461"/>
      <c r="HX60" s="461"/>
      <c r="HY60" s="461"/>
      <c r="HZ60" s="461"/>
      <c r="IA60" s="461"/>
      <c r="IB60" s="461"/>
      <c r="IC60" s="461"/>
      <c r="ID60" s="461"/>
      <c r="IE60" s="461"/>
      <c r="IF60" s="461"/>
      <c r="IG60" s="563"/>
      <c r="IH60" s="563"/>
      <c r="II60" s="563">
        <f>HP60+HR60+Tableau6[[#This Row],[TRAVAUX BATIS]]+Tableau6[[#This Row],[HONORAIRES]]+IH60</f>
        <v>0</v>
      </c>
      <c r="IJ60" s="654">
        <f>Tableau6[[#This Row],[TOTAL PRP HT]]-Tableau6[[#This Row],[PRP TTC HORS FRAFU]]/1.021</f>
        <v>-2376710.0881488738</v>
      </c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</row>
    <row r="61" spans="1:256" ht="51.75" customHeight="1">
      <c r="A61" s="360" t="s">
        <v>263</v>
      </c>
      <c r="B61" s="22" t="s">
        <v>21</v>
      </c>
      <c r="C61" s="22" t="s">
        <v>86</v>
      </c>
      <c r="D61" s="22">
        <v>2013</v>
      </c>
      <c r="E61" s="22" t="s">
        <v>39</v>
      </c>
      <c r="F61" s="22"/>
      <c r="G61" s="57" t="s">
        <v>450</v>
      </c>
      <c r="H61" s="22" t="s">
        <v>181</v>
      </c>
      <c r="I61" s="22"/>
      <c r="J61" s="22"/>
      <c r="K61" s="134"/>
      <c r="L61" s="81" t="s">
        <v>44</v>
      </c>
      <c r="M61" s="82" t="s">
        <v>51</v>
      </c>
      <c r="N61" s="83"/>
      <c r="O61" s="103">
        <f>1825+425</f>
        <v>2250</v>
      </c>
      <c r="P61" s="103">
        <v>102507</v>
      </c>
      <c r="Q61" s="103">
        <v>68451</v>
      </c>
      <c r="R61" s="103">
        <f t="shared" si="231"/>
        <v>11389.666666666666</v>
      </c>
      <c r="S61" s="103">
        <f t="shared" si="232"/>
        <v>45.558666666666667</v>
      </c>
      <c r="T61" s="109">
        <f t="shared" si="233"/>
        <v>30.422666666666668</v>
      </c>
      <c r="U61" s="109">
        <f t="shared" si="234"/>
        <v>97.255018967648425</v>
      </c>
      <c r="V61" s="109">
        <f t="shared" si="235"/>
        <v>7605.666666666667</v>
      </c>
      <c r="W61" s="103">
        <f t="shared" si="236"/>
        <v>250</v>
      </c>
      <c r="X61" s="104"/>
      <c r="Y61" s="444">
        <f t="shared" si="188"/>
        <v>40</v>
      </c>
      <c r="Z61" s="104" t="s">
        <v>158</v>
      </c>
      <c r="AA61" s="104"/>
      <c r="AB61" s="105"/>
      <c r="AC61" s="22" t="s">
        <v>10</v>
      </c>
      <c r="AD61" s="426">
        <f t="shared" si="189"/>
        <v>9</v>
      </c>
      <c r="AE61" s="426">
        <f t="shared" si="190"/>
        <v>9</v>
      </c>
      <c r="AF61" s="32"/>
      <c r="AG61" s="22">
        <v>9</v>
      </c>
      <c r="AH61" s="32"/>
      <c r="AI61" s="3"/>
      <c r="AJ61" s="614">
        <v>701.11</v>
      </c>
      <c r="AK61" s="222">
        <v>703.83</v>
      </c>
      <c r="AL61" s="492">
        <f t="shared" si="191"/>
        <v>77.901111111111106</v>
      </c>
      <c r="AM61" s="4">
        <f t="shared" si="192"/>
        <v>78.203333333333333</v>
      </c>
      <c r="AN61" s="26">
        <v>5.22</v>
      </c>
      <c r="AO61" s="26">
        <v>5.2</v>
      </c>
      <c r="AP61" s="26">
        <v>406.33</v>
      </c>
      <c r="AQ61" s="39">
        <v>0</v>
      </c>
      <c r="AR61" s="39">
        <v>0</v>
      </c>
      <c r="AS61" s="39">
        <f>4/AD61</f>
        <v>0.44444444444444442</v>
      </c>
      <c r="AT61" s="39">
        <f>4/AD61</f>
        <v>0.44444444444444442</v>
      </c>
      <c r="AU61" s="39">
        <f>1/AD61</f>
        <v>0.1111111111111111</v>
      </c>
      <c r="AV61" s="26"/>
      <c r="AW61" s="37" t="s">
        <v>229</v>
      </c>
      <c r="AX61" s="39" t="e">
        <f t="shared" si="242"/>
        <v>#VALUE!</v>
      </c>
      <c r="AY61" s="26">
        <v>2</v>
      </c>
      <c r="AZ61" s="25" t="s">
        <v>386</v>
      </c>
      <c r="BA61" s="22" t="s">
        <v>95</v>
      </c>
      <c r="BB61" s="22"/>
      <c r="BC61" s="22"/>
      <c r="BD61" s="22"/>
      <c r="BE61" s="22"/>
      <c r="BF61" s="22"/>
      <c r="BG61" s="22"/>
      <c r="BH61" s="89">
        <v>40963</v>
      </c>
      <c r="BI61" s="89"/>
      <c r="BJ61" s="548">
        <v>41363</v>
      </c>
      <c r="BK61" s="548">
        <v>41486</v>
      </c>
      <c r="BL61" s="549"/>
      <c r="BM61" s="547">
        <f t="shared" si="193"/>
        <v>4.0999999999999996</v>
      </c>
      <c r="BN61" s="490"/>
      <c r="BO61" s="77">
        <v>41549</v>
      </c>
      <c r="BP61" s="99">
        <v>41576</v>
      </c>
      <c r="BQ61" s="537">
        <f t="shared" si="247"/>
        <v>0.9</v>
      </c>
      <c r="BR61" s="100"/>
      <c r="BS61" s="77">
        <f t="shared" si="229"/>
        <v>41668</v>
      </c>
      <c r="BT61" s="77"/>
      <c r="BU61" s="151">
        <v>41671</v>
      </c>
      <c r="BV61" s="150">
        <f t="shared" si="194"/>
        <v>42767</v>
      </c>
      <c r="BW61" s="373">
        <f>4652+21135</f>
        <v>25787</v>
      </c>
      <c r="BX61" s="150" t="str">
        <f>IF(Tableau6[[#This Row],[Montant des loyers perçus avant 1e échéance]]&lt;BW61,"oui","non")</f>
        <v>oui</v>
      </c>
      <c r="BY61" s="475">
        <f t="shared" si="237"/>
        <v>6.333333333333333</v>
      </c>
      <c r="BZ61" s="373">
        <f t="shared" si="238"/>
        <v>23861.12734528524</v>
      </c>
      <c r="CA61" s="373">
        <f>IF(BW61-BZ61&lt;0,0,Tableau6[[#This Row],[Montant échéance annuelle]]-Tableau6[[#This Row],[Montant des loyers perçus avant 1e échéance]])</f>
        <v>1925.8726547147598</v>
      </c>
      <c r="CB61" s="64"/>
      <c r="CC61" s="64"/>
      <c r="CD61" s="64"/>
      <c r="CE61" s="273" t="str">
        <f t="shared" si="184"/>
        <v>0</v>
      </c>
      <c r="CF61" s="64"/>
      <c r="CG61" s="64"/>
      <c r="CH61" s="273" t="str">
        <f t="shared" si="185"/>
        <v>0</v>
      </c>
      <c r="CI61" s="64"/>
      <c r="CJ61" s="64"/>
      <c r="CK61" s="273" t="str">
        <f t="shared" si="186"/>
        <v>0</v>
      </c>
      <c r="CL61" s="64"/>
      <c r="CM61" s="64"/>
      <c r="CN61" s="273" t="str">
        <f t="shared" si="187"/>
        <v>0</v>
      </c>
      <c r="CO61" s="66"/>
      <c r="CP61" s="311"/>
      <c r="CQ61" s="273" t="str">
        <f t="shared" si="195"/>
        <v>0</v>
      </c>
      <c r="CR61" s="239"/>
      <c r="CS61" s="117"/>
      <c r="CT61" s="64"/>
      <c r="CU61" s="117"/>
      <c r="CV61" s="273" t="str">
        <f t="shared" si="230"/>
        <v>0</v>
      </c>
      <c r="CW61" s="64"/>
      <c r="CX61" s="181">
        <v>41900</v>
      </c>
      <c r="CY61" s="175">
        <v>2014</v>
      </c>
      <c r="CZ61" s="232">
        <f t="shared" si="243"/>
        <v>13.8</v>
      </c>
      <c r="DA61" s="273" t="str">
        <f t="shared" si="197"/>
        <v>0</v>
      </c>
      <c r="DB61" s="59">
        <v>13</v>
      </c>
      <c r="DC61" s="59">
        <f t="shared" si="198"/>
        <v>17</v>
      </c>
      <c r="DD61" s="159"/>
      <c r="DE61" s="158"/>
      <c r="DF61" s="381" t="str">
        <f t="shared" si="199"/>
        <v>0</v>
      </c>
      <c r="DG61" s="159"/>
      <c r="DH61" s="336"/>
      <c r="DI61" s="337" t="str">
        <f t="shared" si="200"/>
        <v>0</v>
      </c>
      <c r="DJ61" s="133"/>
      <c r="DK61" s="336"/>
      <c r="DL61" s="381" t="str">
        <f t="shared" si="201"/>
        <v>0</v>
      </c>
      <c r="DM61" s="158"/>
      <c r="DN61" s="159"/>
      <c r="DO61" s="381" t="str">
        <f t="shared" si="202"/>
        <v>0</v>
      </c>
      <c r="DP61" s="168"/>
      <c r="DQ61" s="168"/>
      <c r="DR61" s="381" t="str">
        <f t="shared" si="203"/>
        <v>0</v>
      </c>
      <c r="DS61" s="168"/>
      <c r="DT61" s="168"/>
      <c r="DU61" s="381" t="str">
        <f t="shared" si="204"/>
        <v>0</v>
      </c>
      <c r="DV61" s="159"/>
      <c r="DW61" s="159"/>
      <c r="DX61" s="381" t="str">
        <f t="shared" si="205"/>
        <v>0</v>
      </c>
      <c r="DY61" s="168"/>
      <c r="DZ61" s="168"/>
      <c r="EA61" s="168"/>
      <c r="EB61" s="240">
        <f t="shared" si="206"/>
        <v>42295</v>
      </c>
      <c r="EC61" s="181">
        <v>42424</v>
      </c>
      <c r="ED61" s="401">
        <f t="shared" si="207"/>
        <v>4.3</v>
      </c>
      <c r="EE61" s="511"/>
      <c r="EF61" s="794"/>
      <c r="EG61" s="763">
        <v>42566</v>
      </c>
      <c r="EH61" s="58" t="s">
        <v>101</v>
      </c>
      <c r="EI61" s="58">
        <v>42577</v>
      </c>
      <c r="EJ61" s="240"/>
      <c r="EK61" s="455">
        <f t="shared" si="220"/>
        <v>42326</v>
      </c>
      <c r="EL61" s="183">
        <v>42577</v>
      </c>
      <c r="EM61" s="177">
        <v>2016</v>
      </c>
      <c r="EN61" s="398">
        <f t="shared" si="239"/>
        <v>8.3666666666666671</v>
      </c>
      <c r="EO61" s="388">
        <f>45210.5570752773/12</f>
        <v>3767.5464229397749</v>
      </c>
      <c r="EP61" s="158">
        <f t="shared" si="208"/>
        <v>31521.805071929452</v>
      </c>
      <c r="EQ61" s="58"/>
      <c r="ER61" s="58"/>
      <c r="ES61" s="59"/>
      <c r="ET61" s="296"/>
      <c r="EU61" s="387">
        <f t="shared" si="244"/>
        <v>0</v>
      </c>
      <c r="EV61" s="300"/>
      <c r="EW61" s="300"/>
      <c r="EX61" s="415">
        <f>39383.9*1.021</f>
        <v>40210.961899999995</v>
      </c>
      <c r="EY61" s="416">
        <f t="shared" si="209"/>
        <v>2.5876362659390653E-2</v>
      </c>
      <c r="EZ61" s="302"/>
      <c r="FA61" s="316" t="s">
        <v>511</v>
      </c>
      <c r="FB61" s="302"/>
      <c r="FC61" s="302"/>
      <c r="FD61" s="89">
        <f t="shared" si="241"/>
        <v>731</v>
      </c>
      <c r="FE61" s="98" t="s">
        <v>101</v>
      </c>
      <c r="FF61" s="98">
        <v>42620</v>
      </c>
      <c r="FG61" s="98" t="s">
        <v>101</v>
      </c>
      <c r="FH61" s="98" t="s">
        <v>101</v>
      </c>
      <c r="FI61" s="125">
        <v>42768</v>
      </c>
      <c r="FJ61" s="56">
        <v>42859</v>
      </c>
      <c r="FK61" s="98">
        <f>DATE(YEAR(EC61)+1,MONTH(EC61),DAY(EC61))</f>
        <v>42790</v>
      </c>
      <c r="FL61" s="98"/>
      <c r="FM61" s="377">
        <v>12615</v>
      </c>
      <c r="FN61" s="125">
        <v>42621</v>
      </c>
      <c r="FO61" s="125">
        <v>42688</v>
      </c>
      <c r="FP61" s="125"/>
      <c r="FQ61" s="22"/>
      <c r="FR61" s="89"/>
      <c r="FS61" s="64">
        <v>42878</v>
      </c>
      <c r="FT61" s="22"/>
      <c r="FU61" s="24" t="s">
        <v>400</v>
      </c>
      <c r="FV61" s="22" t="s">
        <v>287</v>
      </c>
      <c r="FW61" s="119">
        <v>42808</v>
      </c>
      <c r="FX61" s="119" t="s">
        <v>101</v>
      </c>
      <c r="FY61" s="22"/>
      <c r="FZ61" s="22"/>
      <c r="GA61" s="332">
        <v>1547410</v>
      </c>
      <c r="GB61" s="471">
        <f>GD61+GG61+GJ61+HF61+Tableau6[[#This Row],[PRÊT CREDIT D''IMPOT (PM)]]</f>
        <v>1553965</v>
      </c>
      <c r="GC61" s="644">
        <f t="shared" si="240"/>
        <v>1553965</v>
      </c>
      <c r="GD61" s="507">
        <f t="shared" si="219"/>
        <v>225000</v>
      </c>
      <c r="GE61" s="20">
        <f t="shared" si="211"/>
        <v>2207.8697981046557</v>
      </c>
      <c r="GF61" s="20">
        <f t="shared" si="212"/>
        <v>172662.77777777778</v>
      </c>
      <c r="GG61" s="507">
        <v>426409</v>
      </c>
      <c r="GH61" s="351"/>
      <c r="GI61" s="20">
        <f t="shared" si="225"/>
        <v>47378.777777777781</v>
      </c>
      <c r="GJ61" s="507">
        <f t="shared" si="213"/>
        <v>902556</v>
      </c>
      <c r="GK61" s="5">
        <f t="shared" si="245"/>
        <v>864010</v>
      </c>
      <c r="GL61" s="44">
        <v>176535</v>
      </c>
      <c r="GM61" s="44">
        <v>687475</v>
      </c>
      <c r="GN61" s="345">
        <f t="shared" si="214"/>
        <v>96001.111111111109</v>
      </c>
      <c r="GO61" s="35"/>
      <c r="GP61" s="35">
        <v>225000</v>
      </c>
      <c r="GQ61" s="35"/>
      <c r="GR61" s="18">
        <f t="shared" si="215"/>
        <v>0.14479090584408272</v>
      </c>
      <c r="GS61" s="488">
        <v>38546</v>
      </c>
      <c r="GT61" s="488"/>
      <c r="GU61" s="35">
        <v>0</v>
      </c>
      <c r="GV61" s="20">
        <f t="shared" si="170"/>
        <v>25000</v>
      </c>
      <c r="GW61" s="20">
        <f t="shared" si="171"/>
        <v>72378.777777777781</v>
      </c>
      <c r="GX61" s="569">
        <v>270120.19565000001</v>
      </c>
      <c r="GY61" s="569">
        <v>180000</v>
      </c>
      <c r="GZ61" s="567" t="e">
        <f>(#REF!+#REF!+GY61)/AD61</f>
        <v>#REF!</v>
      </c>
      <c r="HA61" s="569">
        <v>0</v>
      </c>
      <c r="HB61" s="567">
        <f t="shared" si="172"/>
        <v>92378.777777777781</v>
      </c>
      <c r="HC61" s="568">
        <f t="shared" si="246"/>
        <v>0.47363006816549857</v>
      </c>
      <c r="HD61" s="569">
        <v>68687.774999999994</v>
      </c>
      <c r="HE61" s="807"/>
      <c r="HF61" s="507"/>
      <c r="HG61" s="633"/>
      <c r="HH61" s="634">
        <f t="shared" si="216"/>
        <v>0</v>
      </c>
      <c r="HI61" s="635">
        <f t="shared" si="173"/>
        <v>1553965</v>
      </c>
      <c r="HJ61" s="633" t="e">
        <f t="shared" ca="1" si="221"/>
        <v>#VALUE!</v>
      </c>
      <c r="HK61" s="633"/>
      <c r="HL61" s="633"/>
      <c r="HM61" s="633">
        <f t="shared" si="217"/>
        <v>225000</v>
      </c>
      <c r="HN61" s="636">
        <f t="shared" si="218"/>
        <v>0</v>
      </c>
      <c r="HO61" s="636"/>
      <c r="HP61" s="563"/>
      <c r="HQ61" s="47"/>
      <c r="HR61" s="563"/>
      <c r="HS61" s="563">
        <f>SUM(Tableau6[[#This Row],[GO]:[CARRELAGE]])</f>
        <v>0</v>
      </c>
      <c r="HT61" s="461"/>
      <c r="HU61" s="461"/>
      <c r="HV61" s="461"/>
      <c r="HW61" s="461"/>
      <c r="HX61" s="461"/>
      <c r="HY61" s="461"/>
      <c r="HZ61" s="461"/>
      <c r="IA61" s="461"/>
      <c r="IB61" s="461"/>
      <c r="IC61" s="461"/>
      <c r="ID61" s="461"/>
      <c r="IE61" s="461"/>
      <c r="IF61" s="461"/>
      <c r="IG61" s="563"/>
      <c r="IH61" s="563"/>
      <c r="II61" s="563">
        <f>HP61+HR61+Tableau6[[#This Row],[TRAVAUX BATIS]]+Tableau6[[#This Row],[HONORAIRES]]+IH61</f>
        <v>0</v>
      </c>
      <c r="IJ61" s="654">
        <f>Tableau6[[#This Row],[TOTAL PRP HT]]-Tableau6[[#This Row],[PRP TTC HORS FRAFU]]/1.021</f>
        <v>-1522002.9382957886</v>
      </c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</row>
    <row r="62" spans="1:256" ht="53.25" customHeight="1">
      <c r="A62" s="48" t="s">
        <v>265</v>
      </c>
      <c r="B62" s="22" t="s">
        <v>21</v>
      </c>
      <c r="C62" s="22" t="s">
        <v>86</v>
      </c>
      <c r="D62" s="22">
        <v>2013</v>
      </c>
      <c r="E62" s="22" t="s">
        <v>22</v>
      </c>
      <c r="F62" s="22"/>
      <c r="G62" s="57" t="s">
        <v>450</v>
      </c>
      <c r="H62" s="22" t="s">
        <v>181</v>
      </c>
      <c r="I62" s="22"/>
      <c r="J62" s="22"/>
      <c r="K62" s="134"/>
      <c r="L62" s="81" t="s">
        <v>43</v>
      </c>
      <c r="M62" s="82"/>
      <c r="N62" s="83" t="s">
        <v>101</v>
      </c>
      <c r="O62" s="103">
        <v>2330</v>
      </c>
      <c r="P62" s="103">
        <f>Q62</f>
        <v>800000</v>
      </c>
      <c r="Q62" s="103">
        <v>800000</v>
      </c>
      <c r="R62" s="103">
        <f t="shared" si="231"/>
        <v>18181.81818181818</v>
      </c>
      <c r="S62" s="103">
        <f t="shared" si="232"/>
        <v>343.34763948497852</v>
      </c>
      <c r="T62" s="103">
        <f t="shared" si="233"/>
        <v>343.34763948497852</v>
      </c>
      <c r="U62" s="103">
        <f t="shared" si="234"/>
        <v>219.88532980050908</v>
      </c>
      <c r="V62" s="103">
        <f t="shared" si="235"/>
        <v>18181.81818181818</v>
      </c>
      <c r="W62" s="103">
        <f t="shared" si="236"/>
        <v>52.954545454545453</v>
      </c>
      <c r="X62" s="104"/>
      <c r="Y62" s="444">
        <f t="shared" si="188"/>
        <v>188.8412017167382</v>
      </c>
      <c r="Z62" s="104" t="s">
        <v>148</v>
      </c>
      <c r="AA62" s="104">
        <v>580</v>
      </c>
      <c r="AB62" s="105"/>
      <c r="AC62" s="22" t="s">
        <v>9</v>
      </c>
      <c r="AD62" s="426">
        <f t="shared" si="189"/>
        <v>44</v>
      </c>
      <c r="AE62" s="426">
        <f t="shared" si="190"/>
        <v>44</v>
      </c>
      <c r="AF62" s="22">
        <v>44</v>
      </c>
      <c r="AG62" s="32"/>
      <c r="AH62" s="32"/>
      <c r="AI62" s="32"/>
      <c r="AJ62" s="614">
        <v>3139.3500000000004</v>
      </c>
      <c r="AK62" s="222">
        <v>3638.2599999999993</v>
      </c>
      <c r="AL62" s="492">
        <f t="shared" si="191"/>
        <v>71.348863636363646</v>
      </c>
      <c r="AM62" s="4">
        <f t="shared" si="192"/>
        <v>82.687727272727258</v>
      </c>
      <c r="AN62" s="26">
        <v>7.4111716116393511</v>
      </c>
      <c r="AO62" s="26">
        <v>6.39</v>
      </c>
      <c r="AP62" s="26">
        <v>528.77867270454544</v>
      </c>
      <c r="AQ62" s="39">
        <f>6/AD62</f>
        <v>0.13636363636363635</v>
      </c>
      <c r="AR62" s="39"/>
      <c r="AS62" s="39">
        <f>17/AF62</f>
        <v>0.38636363636363635</v>
      </c>
      <c r="AT62" s="39">
        <f>17/AD62</f>
        <v>0.38636363636363635</v>
      </c>
      <c r="AU62" s="39">
        <f>4/AD62</f>
        <v>9.0909090909090912E-2</v>
      </c>
      <c r="AV62" s="26">
        <v>1428</v>
      </c>
      <c r="AW62" s="37">
        <v>0</v>
      </c>
      <c r="AX62" s="39">
        <f t="shared" si="242"/>
        <v>0</v>
      </c>
      <c r="AY62" s="26">
        <v>4</v>
      </c>
      <c r="AZ62" s="25" t="s">
        <v>386</v>
      </c>
      <c r="BA62" s="22" t="s">
        <v>94</v>
      </c>
      <c r="BB62" s="22"/>
      <c r="BC62" s="22"/>
      <c r="BD62" s="22"/>
      <c r="BE62" s="22"/>
      <c r="BF62" s="22"/>
      <c r="BG62" s="22"/>
      <c r="BH62" s="89">
        <v>41348</v>
      </c>
      <c r="BI62" s="89"/>
      <c r="BJ62" s="548">
        <v>41363</v>
      </c>
      <c r="BK62" s="548">
        <v>41446</v>
      </c>
      <c r="BL62" s="549"/>
      <c r="BM62" s="547">
        <f t="shared" si="193"/>
        <v>2.7666666666666666</v>
      </c>
      <c r="BN62" s="490"/>
      <c r="BO62" s="77">
        <v>41550</v>
      </c>
      <c r="BP62" s="99">
        <v>41576</v>
      </c>
      <c r="BQ62" s="537">
        <f t="shared" si="247"/>
        <v>0.8666666666666667</v>
      </c>
      <c r="BR62" s="100"/>
      <c r="BS62" s="77">
        <f t="shared" si="229"/>
        <v>41668</v>
      </c>
      <c r="BT62" s="77"/>
      <c r="BU62" s="151">
        <v>41671</v>
      </c>
      <c r="BV62" s="150">
        <f t="shared" si="194"/>
        <v>42767</v>
      </c>
      <c r="BW62" s="373">
        <f>31422+134351</f>
        <v>165773</v>
      </c>
      <c r="BX62" s="150" t="str">
        <f>IF(Tableau6[[#This Row],[Montant des loyers perçus avant 1e échéance]]&lt;BW62,"oui","non")</f>
        <v>oui</v>
      </c>
      <c r="BY62" s="475">
        <f t="shared" si="237"/>
        <v>3.2</v>
      </c>
      <c r="BZ62" s="373">
        <f t="shared" si="238"/>
        <v>87097.600000000006</v>
      </c>
      <c r="CA62" s="373">
        <f>IF(BW62-BZ62&lt;0,0,Tableau6[[#This Row],[Montant échéance annuelle]]-Tableau6[[#This Row],[Montant des loyers perçus avant 1e échéance]])</f>
        <v>78675.399999999994</v>
      </c>
      <c r="CB62" s="64"/>
      <c r="CC62" s="64"/>
      <c r="CD62" s="64"/>
      <c r="CE62" s="273" t="str">
        <f t="shared" si="184"/>
        <v>0</v>
      </c>
      <c r="CF62" s="64"/>
      <c r="CG62" s="64"/>
      <c r="CH62" s="273" t="str">
        <f t="shared" si="185"/>
        <v>0</v>
      </c>
      <c r="CI62" s="64"/>
      <c r="CJ62" s="64"/>
      <c r="CK62" s="273" t="str">
        <f t="shared" si="186"/>
        <v>0</v>
      </c>
      <c r="CL62" s="64"/>
      <c r="CM62" s="64"/>
      <c r="CN62" s="273" t="str">
        <f t="shared" si="187"/>
        <v>0</v>
      </c>
      <c r="CO62" s="66"/>
      <c r="CP62" s="311"/>
      <c r="CQ62" s="273" t="str">
        <f t="shared" si="195"/>
        <v>0</v>
      </c>
      <c r="CR62" s="239"/>
      <c r="CS62" s="117"/>
      <c r="CT62" s="64"/>
      <c r="CU62" s="117"/>
      <c r="CV62" s="273" t="str">
        <f t="shared" si="230"/>
        <v>0</v>
      </c>
      <c r="CW62" s="64"/>
      <c r="CX62" s="181">
        <v>41766</v>
      </c>
      <c r="CY62" s="175">
        <v>2014</v>
      </c>
      <c r="CZ62" s="232">
        <f t="shared" si="243"/>
        <v>10.666666666666666</v>
      </c>
      <c r="DA62" s="273" t="str">
        <f t="shared" si="197"/>
        <v>0</v>
      </c>
      <c r="DB62" s="59">
        <v>15</v>
      </c>
      <c r="DC62" s="59">
        <f t="shared" si="198"/>
        <v>28</v>
      </c>
      <c r="DD62" s="159"/>
      <c r="DE62" s="158"/>
      <c r="DF62" s="381" t="str">
        <f t="shared" si="199"/>
        <v>0</v>
      </c>
      <c r="DG62" s="159"/>
      <c r="DH62" s="336"/>
      <c r="DI62" s="337" t="str">
        <f t="shared" si="200"/>
        <v>0</v>
      </c>
      <c r="DJ62" s="133"/>
      <c r="DK62" s="336"/>
      <c r="DL62" s="381" t="str">
        <f t="shared" si="201"/>
        <v>0</v>
      </c>
      <c r="DM62" s="158"/>
      <c r="DN62" s="159"/>
      <c r="DO62" s="381" t="str">
        <f t="shared" si="202"/>
        <v>0</v>
      </c>
      <c r="DP62" s="168"/>
      <c r="DQ62" s="168"/>
      <c r="DR62" s="381" t="str">
        <f t="shared" si="203"/>
        <v>0</v>
      </c>
      <c r="DS62" s="168"/>
      <c r="DT62" s="168"/>
      <c r="DU62" s="381" t="str">
        <f t="shared" si="204"/>
        <v>0</v>
      </c>
      <c r="DV62" s="159"/>
      <c r="DW62" s="159"/>
      <c r="DX62" s="381" t="str">
        <f t="shared" si="205"/>
        <v>0</v>
      </c>
      <c r="DY62" s="168"/>
      <c r="DZ62" s="168"/>
      <c r="EA62" s="168"/>
      <c r="EB62" s="240">
        <f t="shared" si="206"/>
        <v>42223</v>
      </c>
      <c r="EC62" s="183">
        <v>42640</v>
      </c>
      <c r="ED62" s="401">
        <f t="shared" si="207"/>
        <v>13.9</v>
      </c>
      <c r="EE62" s="511"/>
      <c r="EF62" s="649"/>
      <c r="EG62" s="797">
        <v>42745</v>
      </c>
      <c r="EH62" s="58">
        <v>42523</v>
      </c>
      <c r="EI62" s="58">
        <f>DATE(YEAR(EC62),MONTH(EC62)+1,DAY(EC62))</f>
        <v>42670</v>
      </c>
      <c r="EJ62" s="240"/>
      <c r="EK62" s="455">
        <f t="shared" si="220"/>
        <v>42254</v>
      </c>
      <c r="EL62" s="183">
        <v>42671</v>
      </c>
      <c r="EM62" s="177">
        <v>2016</v>
      </c>
      <c r="EN62" s="398">
        <f t="shared" si="239"/>
        <v>13.9</v>
      </c>
      <c r="EO62" s="388">
        <v>27218</v>
      </c>
      <c r="EP62" s="158">
        <f t="shared" si="208"/>
        <v>378330.2</v>
      </c>
      <c r="EQ62" s="58" t="s">
        <v>101</v>
      </c>
      <c r="ER62" s="58"/>
      <c r="ES62" s="59"/>
      <c r="ET62" s="296"/>
      <c r="EU62" s="387">
        <f t="shared" si="244"/>
        <v>0</v>
      </c>
      <c r="EV62" s="300">
        <v>285000</v>
      </c>
      <c r="EW62" s="300"/>
      <c r="EX62" s="300">
        <f>190041.07*1.021</f>
        <v>194031.93247</v>
      </c>
      <c r="EY62" s="416">
        <f t="shared" si="209"/>
        <v>2.6509981000663596E-2</v>
      </c>
      <c r="EZ62" s="297"/>
      <c r="FA62" s="308"/>
      <c r="FB62" s="297"/>
      <c r="FC62" s="297"/>
      <c r="FD62" s="89">
        <f t="shared" si="241"/>
        <v>731</v>
      </c>
      <c r="FE62" s="166" t="s">
        <v>101</v>
      </c>
      <c r="FF62" s="98">
        <v>42851</v>
      </c>
      <c r="FG62" s="159" t="s">
        <v>101</v>
      </c>
      <c r="FH62" s="159" t="s">
        <v>101</v>
      </c>
      <c r="FI62" s="125">
        <v>42912</v>
      </c>
      <c r="FJ62" s="98" t="s">
        <v>101</v>
      </c>
      <c r="FK62" s="98">
        <f>DATE(YEAR(EC62)+1,MONTH(EC62),DAY(EC62))</f>
        <v>43005</v>
      </c>
      <c r="FL62" s="98"/>
      <c r="FM62" s="377">
        <v>205656</v>
      </c>
      <c r="FN62" s="125">
        <v>42705</v>
      </c>
      <c r="FO62" s="125">
        <v>42873</v>
      </c>
      <c r="FP62" s="125"/>
      <c r="FQ62" s="57"/>
      <c r="FR62" s="57"/>
      <c r="FS62" s="57"/>
      <c r="FT62" s="22"/>
      <c r="FU62" s="24" t="s">
        <v>542</v>
      </c>
      <c r="FV62" s="22"/>
      <c r="FW62" s="86">
        <v>42955</v>
      </c>
      <c r="FX62" s="86">
        <v>43139</v>
      </c>
      <c r="FY62" s="22"/>
      <c r="FZ62" s="22"/>
      <c r="GA62" s="332">
        <v>7150691</v>
      </c>
      <c r="GB62" s="471">
        <f>GD62+GG62+GJ62+HF62+Tableau6[[#This Row],[PRÊT CREDIT D''IMPOT (PM)]]</f>
        <v>7319203</v>
      </c>
      <c r="GC62" s="644">
        <f t="shared" si="240"/>
        <v>7319203</v>
      </c>
      <c r="GD62" s="507">
        <f t="shared" si="219"/>
        <v>15486</v>
      </c>
      <c r="GE62" s="20">
        <f t="shared" si="211"/>
        <v>2011.7317069148444</v>
      </c>
      <c r="GF62" s="20">
        <f t="shared" si="212"/>
        <v>166345.52272727274</v>
      </c>
      <c r="GG62" s="507">
        <v>2438948</v>
      </c>
      <c r="GH62" s="351"/>
      <c r="GI62" s="20">
        <f t="shared" si="225"/>
        <v>55430.63636363636</v>
      </c>
      <c r="GJ62" s="507">
        <f t="shared" si="213"/>
        <v>4864769</v>
      </c>
      <c r="GK62" s="5">
        <f t="shared" si="245"/>
        <v>4693223</v>
      </c>
      <c r="GL62" s="44">
        <v>982573</v>
      </c>
      <c r="GM62" s="44">
        <v>3710650</v>
      </c>
      <c r="GN62" s="346">
        <f t="shared" si="214"/>
        <v>106664.15909090909</v>
      </c>
      <c r="GO62" s="35">
        <v>171546</v>
      </c>
      <c r="GP62" s="35">
        <v>1</v>
      </c>
      <c r="GQ62" s="35"/>
      <c r="GR62" s="18">
        <f t="shared" si="215"/>
        <v>1.3662689776468832E-7</v>
      </c>
      <c r="GS62" s="488"/>
      <c r="GT62" s="488"/>
      <c r="GU62" s="35">
        <v>15485</v>
      </c>
      <c r="GV62" s="20">
        <f t="shared" ref="GV62:GV93" si="248">GP62/AD62</f>
        <v>2.2727272727272728E-2</v>
      </c>
      <c r="GW62" s="20">
        <f t="shared" ref="GW62:GW93" si="249">(GG62+GP62)/AD62</f>
        <v>55430.659090909088</v>
      </c>
      <c r="GX62" s="569"/>
      <c r="GY62" s="569"/>
      <c r="GZ62" s="567" t="e">
        <f>(#REF!+#REF!+GY62)/AD62</f>
        <v>#REF!</v>
      </c>
      <c r="HA62" s="569"/>
      <c r="HB62" s="567">
        <f t="shared" ref="HB62:HB93" si="250">(GG62+GP62+GY62+HA62)/AD62</f>
        <v>55430.659090909088</v>
      </c>
      <c r="HC62" s="568">
        <f t="shared" si="246"/>
        <v>0.33322603567628878</v>
      </c>
      <c r="HD62" s="569"/>
      <c r="HE62" s="569"/>
      <c r="HF62" s="507">
        <v>0</v>
      </c>
      <c r="HG62" s="633"/>
      <c r="HH62" s="634">
        <f t="shared" si="216"/>
        <v>0</v>
      </c>
      <c r="HI62" s="635">
        <f t="shared" si="173"/>
        <v>7319203</v>
      </c>
      <c r="HJ62" s="633" t="e">
        <f t="shared" ca="1" si="221"/>
        <v>#VALUE!</v>
      </c>
      <c r="HK62" s="633"/>
      <c r="HL62" s="633"/>
      <c r="HM62" s="633">
        <f t="shared" si="217"/>
        <v>15486</v>
      </c>
      <c r="HN62" s="636">
        <f t="shared" si="218"/>
        <v>0</v>
      </c>
      <c r="HO62" s="636"/>
      <c r="HP62" s="563">
        <v>992251.75</v>
      </c>
      <c r="HQ62" s="47">
        <v>800000</v>
      </c>
      <c r="HR62" s="563">
        <v>474739.22</v>
      </c>
      <c r="HS62" s="563">
        <f>SUM(Tableau6[[#This Row],[GO]:[CARRELAGE]])</f>
        <v>4170803.8200000003</v>
      </c>
      <c r="HT62" s="461">
        <v>2271946</v>
      </c>
      <c r="HU62" s="461">
        <v>423123.99</v>
      </c>
      <c r="HV62" s="461"/>
      <c r="HW62" s="461">
        <v>909381</v>
      </c>
      <c r="HX62" s="461"/>
      <c r="HY62" s="461"/>
      <c r="HZ62" s="461"/>
      <c r="IA62" s="461"/>
      <c r="IB62" s="461"/>
      <c r="IC62" s="461"/>
      <c r="ID62" s="461"/>
      <c r="IE62" s="461"/>
      <c r="IF62" s="461">
        <v>566352.82999999996</v>
      </c>
      <c r="IG62" s="563"/>
      <c r="IH62" s="563"/>
      <c r="II62" s="563">
        <f>HP62+HR62+Tableau6[[#This Row],[TRAVAUX BATIS]]+Tableau6[[#This Row],[HONORAIRES]]+IH62</f>
        <v>5637794.79</v>
      </c>
      <c r="IJ62" s="654">
        <f>Tableau6[[#This Row],[TOTAL PRP HT]]-Tableau6[[#This Row],[PRP TTC HORS FRAFU]]/1.021</f>
        <v>-1530866.3265524004</v>
      </c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</row>
    <row r="63" spans="1:256" ht="56.25" customHeight="1">
      <c r="A63" s="360" t="s">
        <v>239</v>
      </c>
      <c r="B63" s="22" t="s">
        <v>20</v>
      </c>
      <c r="C63" s="22" t="s">
        <v>87</v>
      </c>
      <c r="D63" s="22">
        <v>2013</v>
      </c>
      <c r="E63" s="22" t="s">
        <v>35</v>
      </c>
      <c r="F63" s="22" t="s">
        <v>686</v>
      </c>
      <c r="G63" s="57" t="s">
        <v>329</v>
      </c>
      <c r="H63" s="22" t="s">
        <v>181</v>
      </c>
      <c r="I63" s="22"/>
      <c r="J63" s="22" t="s">
        <v>258</v>
      </c>
      <c r="K63" s="215" t="s">
        <v>439</v>
      </c>
      <c r="L63" s="81" t="s">
        <v>42</v>
      </c>
      <c r="M63" s="82" t="s">
        <v>50</v>
      </c>
      <c r="N63" s="83"/>
      <c r="O63" s="103">
        <v>18523</v>
      </c>
      <c r="P63" s="103">
        <v>492000</v>
      </c>
      <c r="Q63" s="103">
        <v>699015</v>
      </c>
      <c r="R63" s="103">
        <f t="shared" si="231"/>
        <v>13297.297297297297</v>
      </c>
      <c r="S63" s="103">
        <f t="shared" si="232"/>
        <v>26.56157209955191</v>
      </c>
      <c r="T63" s="103">
        <f t="shared" si="233"/>
        <v>37.737677482049342</v>
      </c>
      <c r="U63" s="103">
        <f>Q63/(AK63+AK106)</f>
        <v>119.90582705799615</v>
      </c>
      <c r="V63" s="103">
        <f>Q63/(AD63+AD106)</f>
        <v>11459.262295081968</v>
      </c>
      <c r="W63" s="103">
        <f>O63/(AD63+AD106)</f>
        <v>303.65573770491801</v>
      </c>
      <c r="X63" s="104"/>
      <c r="Y63" s="444">
        <f t="shared" si="188"/>
        <v>19.975166009825621</v>
      </c>
      <c r="Z63" s="104" t="s">
        <v>152</v>
      </c>
      <c r="AA63" s="104"/>
      <c r="AB63" s="105"/>
      <c r="AC63" s="22" t="s">
        <v>9</v>
      </c>
      <c r="AD63" s="426">
        <f t="shared" si="189"/>
        <v>37</v>
      </c>
      <c r="AE63" s="426">
        <f t="shared" si="190"/>
        <v>37</v>
      </c>
      <c r="AF63" s="22">
        <v>37</v>
      </c>
      <c r="AG63" s="32"/>
      <c r="AH63" s="32"/>
      <c r="AI63" s="32"/>
      <c r="AJ63" s="614">
        <v>3242.2099999999996</v>
      </c>
      <c r="AK63" s="225">
        <v>3588.5999999999995</v>
      </c>
      <c r="AL63" s="492">
        <f t="shared" si="191"/>
        <v>87.627297297297289</v>
      </c>
      <c r="AM63" s="4">
        <f t="shared" si="192"/>
        <v>96.989189189189176</v>
      </c>
      <c r="AN63" s="26">
        <v>6.79</v>
      </c>
      <c r="AO63" s="26">
        <v>6.1377656857827567</v>
      </c>
      <c r="AP63" s="26">
        <v>595.29691729729723</v>
      </c>
      <c r="AQ63" s="28"/>
      <c r="AR63" s="28"/>
      <c r="AS63" s="28"/>
      <c r="AT63" s="28"/>
      <c r="AU63" s="28"/>
      <c r="AV63" s="26">
        <v>3236</v>
      </c>
      <c r="AW63" s="37"/>
      <c r="AX63" s="39">
        <f t="shared" si="242"/>
        <v>0</v>
      </c>
      <c r="AY63" s="26">
        <v>3.5</v>
      </c>
      <c r="AZ63" s="25" t="s">
        <v>386</v>
      </c>
      <c r="BA63" s="23" t="s">
        <v>94</v>
      </c>
      <c r="BB63" s="23"/>
      <c r="BC63" s="23"/>
      <c r="BD63" s="23"/>
      <c r="BE63" s="23"/>
      <c r="BF63" s="56">
        <v>41170</v>
      </c>
      <c r="BG63" s="56"/>
      <c r="BH63" s="56">
        <v>40963</v>
      </c>
      <c r="BI63" s="56"/>
      <c r="BJ63" s="548">
        <v>41363</v>
      </c>
      <c r="BK63" s="548">
        <v>41493</v>
      </c>
      <c r="BL63" s="549"/>
      <c r="BM63" s="547">
        <f t="shared" si="193"/>
        <v>4.333333333333333</v>
      </c>
      <c r="BN63" s="490"/>
      <c r="BO63" s="77">
        <v>41549</v>
      </c>
      <c r="BP63" s="99">
        <v>41576</v>
      </c>
      <c r="BQ63" s="537">
        <f t="shared" si="247"/>
        <v>0.9</v>
      </c>
      <c r="BR63" s="100"/>
      <c r="BS63" s="77">
        <f t="shared" si="229"/>
        <v>41668</v>
      </c>
      <c r="BT63" s="77"/>
      <c r="BU63" s="151">
        <v>41671</v>
      </c>
      <c r="BV63" s="150">
        <f t="shared" si="194"/>
        <v>42767</v>
      </c>
      <c r="BW63" s="373"/>
      <c r="BX63" s="150" t="str">
        <f>IF(Tableau6[[#This Row],[Montant des loyers perçus avant 1e échéance]]&lt;BW63,"oui","non")</f>
        <v>non</v>
      </c>
      <c r="BY63" s="475">
        <f t="shared" si="237"/>
        <v>2.1</v>
      </c>
      <c r="BZ63" s="373">
        <f t="shared" si="238"/>
        <v>48587.131790020081</v>
      </c>
      <c r="CA63" s="373">
        <f>IF(BW63-BZ63&lt;0,0,Tableau6[[#This Row],[Montant échéance annuelle]]-Tableau6[[#This Row],[Montant des loyers perçus avant 1e échéance]])</f>
        <v>0</v>
      </c>
      <c r="CB63" s="64"/>
      <c r="CC63" s="64"/>
      <c r="CD63" s="64"/>
      <c r="CE63" s="273" t="str">
        <f t="shared" si="184"/>
        <v>0</v>
      </c>
      <c r="CF63" s="64"/>
      <c r="CG63" s="64"/>
      <c r="CH63" s="273" t="str">
        <f t="shared" si="185"/>
        <v>0</v>
      </c>
      <c r="CI63" s="64"/>
      <c r="CJ63" s="64"/>
      <c r="CK63" s="273" t="str">
        <f t="shared" si="186"/>
        <v>0</v>
      </c>
      <c r="CL63" s="64"/>
      <c r="CM63" s="64"/>
      <c r="CN63" s="273" t="str">
        <f t="shared" si="187"/>
        <v>0</v>
      </c>
      <c r="CO63" s="66"/>
      <c r="CP63" s="311"/>
      <c r="CQ63" s="273" t="str">
        <f t="shared" si="195"/>
        <v>0</v>
      </c>
      <c r="CR63" s="239"/>
      <c r="CS63" s="117"/>
      <c r="CT63" s="64"/>
      <c r="CU63" s="117"/>
      <c r="CV63" s="273" t="str">
        <f t="shared" si="230"/>
        <v>0</v>
      </c>
      <c r="CW63" s="64"/>
      <c r="CX63" s="181">
        <v>41801</v>
      </c>
      <c r="CY63" s="175">
        <v>2014</v>
      </c>
      <c r="CZ63" s="232">
        <f t="shared" si="243"/>
        <v>10.266666666666667</v>
      </c>
      <c r="DA63" s="273" t="str">
        <f t="shared" si="197"/>
        <v>0</v>
      </c>
      <c r="DB63" s="126">
        <v>24</v>
      </c>
      <c r="DC63" s="59">
        <f t="shared" si="198"/>
        <v>28</v>
      </c>
      <c r="DD63" s="64"/>
      <c r="DE63" s="117"/>
      <c r="DF63" s="273" t="str">
        <f t="shared" si="199"/>
        <v>0</v>
      </c>
      <c r="DG63" s="64"/>
      <c r="DH63" s="309"/>
      <c r="DI63" s="276" t="str">
        <f t="shared" si="200"/>
        <v>0</v>
      </c>
      <c r="DJ63" s="66"/>
      <c r="DK63" s="336"/>
      <c r="DL63" s="273" t="str">
        <f t="shared" si="201"/>
        <v>0</v>
      </c>
      <c r="DM63" s="64"/>
      <c r="DN63" s="64"/>
      <c r="DO63" s="273" t="str">
        <f t="shared" si="202"/>
        <v>0</v>
      </c>
      <c r="DP63" s="64"/>
      <c r="DQ63" s="64"/>
      <c r="DR63" s="273" t="str">
        <f t="shared" si="203"/>
        <v>0</v>
      </c>
      <c r="DS63" s="64"/>
      <c r="DT63" s="64"/>
      <c r="DU63" s="273" t="str">
        <f t="shared" si="204"/>
        <v>0</v>
      </c>
      <c r="DV63" s="64"/>
      <c r="DW63" s="64"/>
      <c r="DX63" s="273" t="str">
        <f t="shared" si="205"/>
        <v>0</v>
      </c>
      <c r="DY63" s="64"/>
      <c r="DZ63" s="64"/>
      <c r="EA63" s="64"/>
      <c r="EB63" s="313">
        <f t="shared" si="206"/>
        <v>42532</v>
      </c>
      <c r="EC63" s="181">
        <v>42682</v>
      </c>
      <c r="ED63" s="401">
        <f t="shared" si="207"/>
        <v>5</v>
      </c>
      <c r="EE63" s="511"/>
      <c r="EF63" s="794"/>
      <c r="EG63" s="763">
        <v>42726</v>
      </c>
      <c r="EH63" s="58">
        <v>42538</v>
      </c>
      <c r="EI63" s="58">
        <v>42692</v>
      </c>
      <c r="EJ63" s="240"/>
      <c r="EK63" s="455">
        <f t="shared" si="220"/>
        <v>42562</v>
      </c>
      <c r="EL63" s="183">
        <v>42704</v>
      </c>
      <c r="EM63" s="177">
        <v>2016</v>
      </c>
      <c r="EN63" s="398">
        <f t="shared" si="239"/>
        <v>4.7333333333333334</v>
      </c>
      <c r="EO63" s="388">
        <f>277640.753085829/12</f>
        <v>23136.729423819084</v>
      </c>
      <c r="EP63" s="158">
        <f t="shared" si="208"/>
        <v>109513.85260607699</v>
      </c>
      <c r="EQ63" s="58">
        <v>42670</v>
      </c>
      <c r="ER63" s="58"/>
      <c r="ES63" s="59"/>
      <c r="ET63" s="296"/>
      <c r="EU63" s="387">
        <f t="shared" si="244"/>
        <v>0</v>
      </c>
      <c r="EV63" s="300"/>
      <c r="EW63" s="300"/>
      <c r="EX63" s="300">
        <f>128413*1.021</f>
        <v>131109.67299999998</v>
      </c>
      <c r="EY63" s="416">
        <f>EX63/(GB63+GB64)</f>
        <v>9.6389719953015856E-3</v>
      </c>
      <c r="EZ63" s="297"/>
      <c r="FA63" s="308"/>
      <c r="FB63" s="297"/>
      <c r="FC63" s="297"/>
      <c r="FD63" s="89">
        <f t="shared" si="241"/>
        <v>731</v>
      </c>
      <c r="FE63" s="166" t="s">
        <v>101</v>
      </c>
      <c r="FF63" s="166" t="s">
        <v>101</v>
      </c>
      <c r="FG63" s="166" t="s">
        <v>101</v>
      </c>
      <c r="FH63" s="166" t="s">
        <v>101</v>
      </c>
      <c r="FI63" s="64">
        <v>43224</v>
      </c>
      <c r="FJ63" s="341" t="s">
        <v>101</v>
      </c>
      <c r="FK63" s="64">
        <f>DATE(YEAR(EC63)+1,MONTH(EC63),DAY(EC63))</f>
        <v>43047</v>
      </c>
      <c r="FL63" s="64"/>
      <c r="FM63" s="375">
        <v>91095</v>
      </c>
      <c r="FN63" s="160">
        <v>42795</v>
      </c>
      <c r="FO63" s="168"/>
      <c r="FP63" s="168"/>
      <c r="FQ63" s="168"/>
      <c r="FR63" s="168"/>
      <c r="FS63" s="144"/>
      <c r="FT63" s="22"/>
      <c r="FU63" s="221" t="s">
        <v>416</v>
      </c>
      <c r="FV63" s="22" t="s">
        <v>287</v>
      </c>
      <c r="FW63" s="119" t="s">
        <v>101</v>
      </c>
      <c r="FX63" s="88"/>
      <c r="FY63" s="57" t="s">
        <v>101</v>
      </c>
      <c r="FZ63" s="22"/>
      <c r="GA63" s="335">
        <v>6447379</v>
      </c>
      <c r="GB63" s="471">
        <f>GD63+GG63+GJ63+HF63+Tableau6[[#This Row],[PRÊT CREDIT D''IMPOT (PM)]]</f>
        <v>7137960</v>
      </c>
      <c r="GC63" s="644">
        <f t="shared" si="240"/>
        <v>7137960</v>
      </c>
      <c r="GD63" s="507">
        <f t="shared" si="219"/>
        <v>1</v>
      </c>
      <c r="GE63" s="20">
        <f t="shared" si="211"/>
        <v>1989.0653736833308</v>
      </c>
      <c r="GF63" s="20">
        <f t="shared" si="212"/>
        <v>192917.83783783784</v>
      </c>
      <c r="GG63" s="507">
        <v>2453735</v>
      </c>
      <c r="GH63" s="351"/>
      <c r="GI63" s="20">
        <f t="shared" si="225"/>
        <v>66317.16216216216</v>
      </c>
      <c r="GJ63" s="507">
        <f t="shared" si="213"/>
        <v>4684224</v>
      </c>
      <c r="GK63" s="5">
        <f t="shared" si="245"/>
        <v>4684224</v>
      </c>
      <c r="GL63" s="44">
        <v>641413</v>
      </c>
      <c r="GM63" s="44">
        <v>4042811</v>
      </c>
      <c r="GN63" s="345">
        <f t="shared" si="214"/>
        <v>126600.64864864865</v>
      </c>
      <c r="GO63" s="35"/>
      <c r="GP63" s="35">
        <v>1</v>
      </c>
      <c r="GQ63" s="35"/>
      <c r="GR63" s="18">
        <f t="shared" si="215"/>
        <v>1.4009604985177837E-7</v>
      </c>
      <c r="GS63" s="35"/>
      <c r="GT63" s="35"/>
      <c r="GU63" s="35">
        <v>0</v>
      </c>
      <c r="GV63" s="20">
        <f t="shared" si="248"/>
        <v>2.7027027027027029E-2</v>
      </c>
      <c r="GW63" s="20">
        <f t="shared" si="249"/>
        <v>66317.189189189186</v>
      </c>
      <c r="GX63" s="569">
        <v>2196102.662575</v>
      </c>
      <c r="GY63" s="569">
        <v>1303101.6922500001</v>
      </c>
      <c r="GZ63" s="567" t="e">
        <f>(#REF!+#REF!+GY63)/AD63</f>
        <v>#REF!</v>
      </c>
      <c r="HA63" s="569">
        <v>0</v>
      </c>
      <c r="HB63" s="567">
        <f t="shared" si="250"/>
        <v>101536.15384459461</v>
      </c>
      <c r="HC63" s="568">
        <f t="shared" si="246"/>
        <v>0.41994795777936861</v>
      </c>
      <c r="HD63" s="569">
        <v>388102.52</v>
      </c>
      <c r="HE63" s="569"/>
      <c r="HF63" s="507">
        <v>0</v>
      </c>
      <c r="HG63" s="633"/>
      <c r="HH63" s="634">
        <f t="shared" si="216"/>
        <v>0</v>
      </c>
      <c r="HI63" s="635">
        <f t="shared" ref="HI63:HI94" si="251">GB63-HG63</f>
        <v>7137960</v>
      </c>
      <c r="HJ63" s="633" t="e">
        <f t="shared" ca="1" si="221"/>
        <v>#VALUE!</v>
      </c>
      <c r="HK63" s="633"/>
      <c r="HL63" s="633"/>
      <c r="HM63" s="633">
        <f t="shared" si="217"/>
        <v>1</v>
      </c>
      <c r="HN63" s="636">
        <f t="shared" si="218"/>
        <v>0</v>
      </c>
      <c r="HO63" s="636"/>
      <c r="HP63" s="563"/>
      <c r="HQ63" s="47"/>
      <c r="HR63" s="563"/>
      <c r="HS63" s="563">
        <f>SUM(Tableau6[[#This Row],[GO]:[CARRELAGE]])</f>
        <v>0</v>
      </c>
      <c r="HT63" s="461"/>
      <c r="HU63" s="461"/>
      <c r="HV63" s="461"/>
      <c r="HW63" s="461"/>
      <c r="HX63" s="461"/>
      <c r="HY63" s="461"/>
      <c r="HZ63" s="461"/>
      <c r="IA63" s="461"/>
      <c r="IB63" s="461"/>
      <c r="IC63" s="461"/>
      <c r="ID63" s="461"/>
      <c r="IE63" s="461"/>
      <c r="IF63" s="461"/>
      <c r="IG63" s="563"/>
      <c r="IH63" s="563"/>
      <c r="II63" s="563">
        <f>HP63+HR63+Tableau6[[#This Row],[TRAVAUX BATIS]]+Tableau6[[#This Row],[HONORAIRES]]+IH63</f>
        <v>0</v>
      </c>
      <c r="IJ63" s="654">
        <f>Tableau6[[#This Row],[TOTAL PRP HT]]-Tableau6[[#This Row],[PRP TTC HORS FRAFU]]/1.021</f>
        <v>-6991145.9353574933</v>
      </c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</row>
    <row r="64" spans="1:256" ht="20.149999999999999" customHeight="1">
      <c r="A64" s="360" t="s">
        <v>240</v>
      </c>
      <c r="B64" s="22" t="s">
        <v>20</v>
      </c>
      <c r="C64" s="22" t="s">
        <v>87</v>
      </c>
      <c r="D64" s="22">
        <v>2013</v>
      </c>
      <c r="E64" s="22" t="s">
        <v>35</v>
      </c>
      <c r="F64" s="22" t="s">
        <v>686</v>
      </c>
      <c r="G64" s="157"/>
      <c r="H64" s="57"/>
      <c r="I64" s="22"/>
      <c r="J64" s="22" t="s">
        <v>258</v>
      </c>
      <c r="K64" s="134"/>
      <c r="L64" s="81" t="s">
        <v>42</v>
      </c>
      <c r="M64" s="82" t="s">
        <v>50</v>
      </c>
      <c r="N64" s="83"/>
      <c r="O64" s="33"/>
      <c r="P64" s="33"/>
      <c r="Q64" s="33"/>
      <c r="R64" s="33"/>
      <c r="S64" s="33"/>
      <c r="T64" s="33"/>
      <c r="U64" s="33"/>
      <c r="V64" s="33"/>
      <c r="W64" s="33"/>
      <c r="X64" s="32"/>
      <c r="Y64" s="32" t="e">
        <f t="shared" si="188"/>
        <v>#DIV/0!</v>
      </c>
      <c r="Z64" s="32"/>
      <c r="AA64" s="104"/>
      <c r="AB64" s="783"/>
      <c r="AC64" s="22" t="s">
        <v>10</v>
      </c>
      <c r="AD64" s="426">
        <f t="shared" si="189"/>
        <v>44</v>
      </c>
      <c r="AE64" s="426">
        <f t="shared" si="190"/>
        <v>44</v>
      </c>
      <c r="AF64" s="32"/>
      <c r="AG64" s="22">
        <v>44</v>
      </c>
      <c r="AH64" s="32"/>
      <c r="AI64" s="32"/>
      <c r="AJ64" s="615">
        <v>3100.0900000000011</v>
      </c>
      <c r="AK64" s="222">
        <v>3544.2900000000009</v>
      </c>
      <c r="AL64" s="492">
        <f t="shared" si="191"/>
        <v>70.456590909090934</v>
      </c>
      <c r="AM64" s="4">
        <f t="shared" si="192"/>
        <v>80.552045454545478</v>
      </c>
      <c r="AN64" s="26">
        <v>5.8912336179917348</v>
      </c>
      <c r="AO64" s="26">
        <v>5.15</v>
      </c>
      <c r="AP64" s="26">
        <v>415.07623697272737</v>
      </c>
      <c r="AQ64" s="28"/>
      <c r="AR64" s="28"/>
      <c r="AS64" s="28"/>
      <c r="AT64" s="28"/>
      <c r="AU64" s="28"/>
      <c r="AV64" s="26"/>
      <c r="AW64" s="37"/>
      <c r="AX64" s="39" t="e">
        <f t="shared" si="242"/>
        <v>#DIV/0!</v>
      </c>
      <c r="AY64" s="26">
        <v>3.5</v>
      </c>
      <c r="AZ64" s="25" t="s">
        <v>386</v>
      </c>
      <c r="BA64" s="23" t="s">
        <v>94</v>
      </c>
      <c r="BB64" s="23"/>
      <c r="BC64" s="23"/>
      <c r="BD64" s="23"/>
      <c r="BE64" s="23"/>
      <c r="BF64" s="56">
        <v>41170</v>
      </c>
      <c r="BG64" s="56"/>
      <c r="BH64" s="56">
        <v>40963</v>
      </c>
      <c r="BI64" s="56"/>
      <c r="BJ64" s="548">
        <v>41363</v>
      </c>
      <c r="BK64" s="548">
        <v>41465</v>
      </c>
      <c r="BL64" s="549"/>
      <c r="BM64" s="547">
        <f t="shared" si="193"/>
        <v>3.4</v>
      </c>
      <c r="BN64" s="490"/>
      <c r="BO64" s="77">
        <v>41549</v>
      </c>
      <c r="BP64" s="99">
        <v>41583</v>
      </c>
      <c r="BQ64" s="537">
        <f t="shared" si="247"/>
        <v>1.1333333333333333</v>
      </c>
      <c r="BR64" s="100"/>
      <c r="BS64" s="77">
        <f t="shared" si="229"/>
        <v>41675</v>
      </c>
      <c r="BT64" s="77"/>
      <c r="BU64" s="151">
        <v>41699</v>
      </c>
      <c r="BV64" s="150">
        <f t="shared" si="194"/>
        <v>42795</v>
      </c>
      <c r="BW64" s="373">
        <f>100032+11205</f>
        <v>111237</v>
      </c>
      <c r="BX64" s="150" t="str">
        <f>IF(Tableau6[[#This Row],[Montant des loyers perçus avant 1e échéance]]&lt;BW64,"oui","non")</f>
        <v>oui</v>
      </c>
      <c r="BY64" s="475">
        <f t="shared" si="237"/>
        <v>3.0333333333333332</v>
      </c>
      <c r="BZ64" s="373">
        <f t="shared" si="238"/>
        <v>54443.265660731668</v>
      </c>
      <c r="CA64" s="373">
        <f>IF(BW64-BZ64&lt;0,0,Tableau6[[#This Row],[Montant échéance annuelle]]-Tableau6[[#This Row],[Montant des loyers perçus avant 1e échéance]])</f>
        <v>56793.734339268332</v>
      </c>
      <c r="CB64" s="64"/>
      <c r="CC64" s="64"/>
      <c r="CD64" s="64"/>
      <c r="CE64" s="273" t="str">
        <f t="shared" si="184"/>
        <v>0</v>
      </c>
      <c r="CF64" s="64"/>
      <c r="CG64" s="64"/>
      <c r="CH64" s="273" t="str">
        <f t="shared" si="185"/>
        <v>0</v>
      </c>
      <c r="CI64" s="64"/>
      <c r="CJ64" s="64"/>
      <c r="CK64" s="273" t="str">
        <f t="shared" si="186"/>
        <v>0</v>
      </c>
      <c r="CL64" s="64"/>
      <c r="CM64" s="64"/>
      <c r="CN64" s="273" t="str">
        <f t="shared" si="187"/>
        <v>0</v>
      </c>
      <c r="CO64" s="66"/>
      <c r="CP64" s="311"/>
      <c r="CQ64" s="273" t="str">
        <f t="shared" si="195"/>
        <v>0</v>
      </c>
      <c r="CR64" s="239"/>
      <c r="CS64" s="117"/>
      <c r="CT64" s="64"/>
      <c r="CU64" s="117"/>
      <c r="CV64" s="273" t="str">
        <f t="shared" si="230"/>
        <v>0</v>
      </c>
      <c r="CW64" s="64"/>
      <c r="CX64" s="120">
        <v>41801</v>
      </c>
      <c r="CY64" s="175">
        <v>2014</v>
      </c>
      <c r="CZ64" s="232">
        <f t="shared" si="243"/>
        <v>11.2</v>
      </c>
      <c r="DA64" s="273" t="str">
        <f t="shared" si="197"/>
        <v>0</v>
      </c>
      <c r="DB64" s="126">
        <v>24</v>
      </c>
      <c r="DC64" s="59">
        <f t="shared" si="198"/>
        <v>28</v>
      </c>
      <c r="DD64" s="64"/>
      <c r="DE64" s="117"/>
      <c r="DF64" s="273" t="str">
        <f t="shared" si="199"/>
        <v>0</v>
      </c>
      <c r="DG64" s="64"/>
      <c r="DH64" s="309"/>
      <c r="DI64" s="276" t="str">
        <f t="shared" si="200"/>
        <v>0</v>
      </c>
      <c r="DJ64" s="66"/>
      <c r="DK64" s="336"/>
      <c r="DL64" s="273" t="str">
        <f t="shared" si="201"/>
        <v>0</v>
      </c>
      <c r="DM64" s="64"/>
      <c r="DN64" s="64"/>
      <c r="DO64" s="273" t="str">
        <f t="shared" si="202"/>
        <v>0</v>
      </c>
      <c r="DP64" s="64"/>
      <c r="DQ64" s="64"/>
      <c r="DR64" s="273" t="str">
        <f t="shared" si="203"/>
        <v>0</v>
      </c>
      <c r="DS64" s="64"/>
      <c r="DT64" s="64"/>
      <c r="DU64" s="273" t="str">
        <f t="shared" si="204"/>
        <v>0</v>
      </c>
      <c r="DV64" s="64"/>
      <c r="DW64" s="64"/>
      <c r="DX64" s="273" t="str">
        <f t="shared" si="205"/>
        <v>0</v>
      </c>
      <c r="DY64" s="64"/>
      <c r="DZ64" s="64"/>
      <c r="EA64" s="64"/>
      <c r="EB64" s="313">
        <f t="shared" si="206"/>
        <v>42532</v>
      </c>
      <c r="EC64" s="181">
        <v>42682</v>
      </c>
      <c r="ED64" s="401">
        <f t="shared" si="207"/>
        <v>5</v>
      </c>
      <c r="EE64" s="511"/>
      <c r="EF64" s="794"/>
      <c r="EG64" s="763">
        <v>42726</v>
      </c>
      <c r="EH64" s="58">
        <v>42538</v>
      </c>
      <c r="EI64" s="58">
        <v>42692</v>
      </c>
      <c r="EJ64" s="240"/>
      <c r="EK64" s="455">
        <f t="shared" si="220"/>
        <v>42562</v>
      </c>
      <c r="EL64" s="183">
        <v>42704</v>
      </c>
      <c r="EM64" s="177">
        <v>2016</v>
      </c>
      <c r="EN64" s="398">
        <f t="shared" si="239"/>
        <v>4.7333333333333334</v>
      </c>
      <c r="EO64" s="388">
        <f>215379.952064433/12</f>
        <v>17948.329338702748</v>
      </c>
      <c r="EP64" s="158">
        <f t="shared" si="208"/>
        <v>84955.425536526338</v>
      </c>
      <c r="EQ64" s="58">
        <v>42670</v>
      </c>
      <c r="ER64" s="58"/>
      <c r="ES64" s="59"/>
      <c r="ET64" s="57"/>
      <c r="EU64" s="375">
        <f t="shared" si="244"/>
        <v>0</v>
      </c>
      <c r="EV64" s="117"/>
      <c r="EW64" s="117"/>
      <c r="EX64" s="117"/>
      <c r="EY64" s="417"/>
      <c r="EZ64" s="297"/>
      <c r="FA64" s="308" t="s">
        <v>523</v>
      </c>
      <c r="FB64" s="297"/>
      <c r="FC64" s="297"/>
      <c r="FD64" s="89">
        <f t="shared" si="241"/>
        <v>731</v>
      </c>
      <c r="FE64" s="166" t="s">
        <v>101</v>
      </c>
      <c r="FF64" s="166" t="s">
        <v>101</v>
      </c>
      <c r="FG64" s="166" t="s">
        <v>101</v>
      </c>
      <c r="FH64" s="166" t="s">
        <v>101</v>
      </c>
      <c r="FI64" s="64">
        <v>43224</v>
      </c>
      <c r="FJ64" s="341" t="s">
        <v>101</v>
      </c>
      <c r="FK64" s="64">
        <f>DATE(YEAR(EC64)+1,MONTH(EC64),DAY(EC64))</f>
        <v>43047</v>
      </c>
      <c r="FL64" s="64"/>
      <c r="FM64" s="375">
        <v>82104</v>
      </c>
      <c r="FN64" s="160">
        <v>42795</v>
      </c>
      <c r="FO64" s="168"/>
      <c r="FP64" s="168"/>
      <c r="FQ64" s="168"/>
      <c r="FR64" s="168"/>
      <c r="FS64" s="144"/>
      <c r="FT64" s="22"/>
      <c r="FU64" s="221" t="s">
        <v>416</v>
      </c>
      <c r="FV64" s="22" t="s">
        <v>287</v>
      </c>
      <c r="FW64" s="119" t="s">
        <v>101</v>
      </c>
      <c r="FX64" s="88"/>
      <c r="FY64" s="22"/>
      <c r="FZ64" s="22"/>
      <c r="GA64" s="335">
        <v>6402537</v>
      </c>
      <c r="GB64" s="471">
        <f>GD64+GG64+GJ64+HF64+Tableau6[[#This Row],[PRÊT CREDIT D''IMPOT (PM)]]</f>
        <v>6464079</v>
      </c>
      <c r="GC64" s="644">
        <f t="shared" si="240"/>
        <v>6464079</v>
      </c>
      <c r="GD64" s="507">
        <f t="shared" si="219"/>
        <v>880000</v>
      </c>
      <c r="GE64" s="20">
        <f t="shared" si="211"/>
        <v>1823.8008176531825</v>
      </c>
      <c r="GF64" s="20">
        <f t="shared" si="212"/>
        <v>146910.88636363635</v>
      </c>
      <c r="GG64" s="507">
        <v>1905132</v>
      </c>
      <c r="GH64" s="351"/>
      <c r="GI64" s="20">
        <f t="shared" si="225"/>
        <v>43298.454545454544</v>
      </c>
      <c r="GJ64" s="507">
        <f t="shared" si="213"/>
        <v>3678947</v>
      </c>
      <c r="GK64" s="5">
        <f t="shared" si="245"/>
        <v>3678947</v>
      </c>
      <c r="GL64" s="44">
        <v>473086</v>
      </c>
      <c r="GM64" s="44">
        <v>3205861</v>
      </c>
      <c r="GN64" s="345">
        <f t="shared" si="214"/>
        <v>83612.431818181823</v>
      </c>
      <c r="GO64" s="35"/>
      <c r="GP64" s="35">
        <v>880000</v>
      </c>
      <c r="GQ64" s="35"/>
      <c r="GR64" s="18">
        <f t="shared" si="215"/>
        <v>0.13613695005893336</v>
      </c>
      <c r="GS64" s="35"/>
      <c r="GT64" s="35"/>
      <c r="GU64" s="35">
        <v>0</v>
      </c>
      <c r="GV64" s="20">
        <f t="shared" si="248"/>
        <v>20000</v>
      </c>
      <c r="GW64" s="20">
        <f t="shared" si="249"/>
        <v>63298.454545454544</v>
      </c>
      <c r="GX64" s="569">
        <v>0</v>
      </c>
      <c r="GY64" s="569">
        <v>0</v>
      </c>
      <c r="GZ64" s="567" t="e">
        <f>(#REF!+#REF!+GY64)/AD64</f>
        <v>#REF!</v>
      </c>
      <c r="HA64" s="569">
        <v>0</v>
      </c>
      <c r="HB64" s="567">
        <f t="shared" si="250"/>
        <v>63298.454545454544</v>
      </c>
      <c r="HC64" s="568">
        <f t="shared" si="246"/>
        <v>0.45371634850544579</v>
      </c>
      <c r="HD64" s="569">
        <v>325591.79499999998</v>
      </c>
      <c r="HE64" s="569"/>
      <c r="HF64" s="507">
        <v>0</v>
      </c>
      <c r="HG64" s="633"/>
      <c r="HH64" s="634">
        <f t="shared" si="216"/>
        <v>0</v>
      </c>
      <c r="HI64" s="635">
        <f t="shared" si="251"/>
        <v>6464079</v>
      </c>
      <c r="HJ64" s="633" t="e">
        <f t="shared" ca="1" si="221"/>
        <v>#VALUE!</v>
      </c>
      <c r="HK64" s="633"/>
      <c r="HL64" s="633"/>
      <c r="HM64" s="633">
        <f t="shared" si="217"/>
        <v>880000</v>
      </c>
      <c r="HN64" s="636">
        <f t="shared" si="218"/>
        <v>0</v>
      </c>
      <c r="HO64" s="636"/>
      <c r="HP64" s="563"/>
      <c r="HQ64" s="47"/>
      <c r="HR64" s="563"/>
      <c r="HS64" s="563">
        <f>SUM(Tableau6[[#This Row],[GO]:[CARRELAGE]])</f>
        <v>0</v>
      </c>
      <c r="HT64" s="461"/>
      <c r="HU64" s="461"/>
      <c r="HV64" s="461"/>
      <c r="HW64" s="461"/>
      <c r="HX64" s="461"/>
      <c r="HY64" s="461"/>
      <c r="HZ64" s="461"/>
      <c r="IA64" s="461"/>
      <c r="IB64" s="461"/>
      <c r="IC64" s="461"/>
      <c r="ID64" s="461"/>
      <c r="IE64" s="461"/>
      <c r="IF64" s="461"/>
      <c r="IG64" s="563"/>
      <c r="IH64" s="563"/>
      <c r="II64" s="563">
        <f>HP64+HR64+Tableau6[[#This Row],[TRAVAUX BATIS]]+Tableau6[[#This Row],[HONORAIRES]]+IH64</f>
        <v>0</v>
      </c>
      <c r="IJ64" s="654">
        <f>Tableau6[[#This Row],[TOTAL PRP HT]]-Tableau6[[#This Row],[PRP TTC HORS FRAFU]]/1.021</f>
        <v>-6331125.3672869746</v>
      </c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</row>
    <row r="65" spans="1:256" ht="30" customHeight="1">
      <c r="A65" s="360" t="s">
        <v>110</v>
      </c>
      <c r="B65" s="22" t="s">
        <v>26</v>
      </c>
      <c r="C65" s="22" t="s">
        <v>87</v>
      </c>
      <c r="D65" s="22">
        <v>2013</v>
      </c>
      <c r="E65" s="22" t="s">
        <v>27</v>
      </c>
      <c r="F65" s="22"/>
      <c r="G65" s="22" t="s">
        <v>587</v>
      </c>
      <c r="H65" s="22" t="s">
        <v>646</v>
      </c>
      <c r="I65" s="22"/>
      <c r="J65" s="22"/>
      <c r="K65" s="215" t="s">
        <v>440</v>
      </c>
      <c r="L65" s="81" t="s">
        <v>42</v>
      </c>
      <c r="M65" s="82" t="s">
        <v>111</v>
      </c>
      <c r="N65" s="83">
        <v>41619</v>
      </c>
      <c r="O65" s="103">
        <v>15520</v>
      </c>
      <c r="P65" s="103">
        <v>130195</v>
      </c>
      <c r="Q65" s="103">
        <v>184575</v>
      </c>
      <c r="R65" s="103">
        <f>P65/AD65</f>
        <v>5424.791666666667</v>
      </c>
      <c r="S65" s="103">
        <f>P65/O65</f>
        <v>8.3888530927835046</v>
      </c>
      <c r="T65" s="103">
        <f>Q65/O65</f>
        <v>11.892719072164949</v>
      </c>
      <c r="U65" s="103">
        <f>Q65/AK65</f>
        <v>99.719601931991306</v>
      </c>
      <c r="V65" s="103">
        <f>Q65/AD65</f>
        <v>7690.625</v>
      </c>
      <c r="W65" s="103">
        <f>O65/AD65</f>
        <v>646.66666666666663</v>
      </c>
      <c r="X65" s="104"/>
      <c r="Y65" s="444">
        <f t="shared" si="188"/>
        <v>15.463917525773196</v>
      </c>
      <c r="Z65" s="104" t="s">
        <v>163</v>
      </c>
      <c r="AA65" s="104">
        <v>790</v>
      </c>
      <c r="AB65" s="105"/>
      <c r="AC65" s="22" t="s">
        <v>10</v>
      </c>
      <c r="AD65" s="426">
        <f t="shared" si="189"/>
        <v>24</v>
      </c>
      <c r="AE65" s="426">
        <f t="shared" si="190"/>
        <v>24</v>
      </c>
      <c r="AF65" s="32"/>
      <c r="AG65" s="22">
        <v>24</v>
      </c>
      <c r="AH65" s="32"/>
      <c r="AI65" s="32"/>
      <c r="AJ65" s="614">
        <v>1832.54</v>
      </c>
      <c r="AK65" s="222">
        <v>1850.94</v>
      </c>
      <c r="AL65" s="492">
        <f t="shared" si="191"/>
        <v>76.355833333333337</v>
      </c>
      <c r="AM65" s="4">
        <f t="shared" si="192"/>
        <v>77.122500000000002</v>
      </c>
      <c r="AN65" s="26">
        <v>5.27</v>
      </c>
      <c r="AO65" s="26">
        <v>5.22</v>
      </c>
      <c r="AP65" s="26">
        <v>402.32</v>
      </c>
      <c r="AQ65" s="28"/>
      <c r="AR65" s="28"/>
      <c r="AS65" s="28"/>
      <c r="AT65" s="28"/>
      <c r="AU65" s="28"/>
      <c r="AV65" s="26"/>
      <c r="AW65" s="37">
        <v>700</v>
      </c>
      <c r="AX65" s="39">
        <f t="shared" si="242"/>
        <v>4.5103092783505154E-2</v>
      </c>
      <c r="AY65" s="26">
        <v>1.5</v>
      </c>
      <c r="AZ65" s="23" t="s">
        <v>385</v>
      </c>
      <c r="BA65" s="23" t="s">
        <v>95</v>
      </c>
      <c r="BB65" s="23"/>
      <c r="BC65" s="23"/>
      <c r="BD65" s="23"/>
      <c r="BE65" s="23"/>
      <c r="BF65" s="22"/>
      <c r="BG65" s="22"/>
      <c r="BH65" s="89">
        <v>41346</v>
      </c>
      <c r="BI65" s="89"/>
      <c r="BJ65" s="548">
        <v>41363</v>
      </c>
      <c r="BK65" s="548">
        <v>41536</v>
      </c>
      <c r="BL65" s="549"/>
      <c r="BM65" s="547">
        <f t="shared" si="193"/>
        <v>5.7666666666666666</v>
      </c>
      <c r="BN65" s="490"/>
      <c r="BO65" s="77">
        <v>41550</v>
      </c>
      <c r="BP65" s="99">
        <v>41575</v>
      </c>
      <c r="BQ65" s="537">
        <f t="shared" si="247"/>
        <v>0.83333333333333337</v>
      </c>
      <c r="BR65" s="100"/>
      <c r="BS65" s="77">
        <v>41577</v>
      </c>
      <c r="BT65" s="77"/>
      <c r="BU65" s="151">
        <v>41579</v>
      </c>
      <c r="BV65" s="150">
        <f t="shared" si="194"/>
        <v>42675</v>
      </c>
      <c r="BW65" s="373">
        <f>55226+6729</f>
        <v>61955</v>
      </c>
      <c r="BX65" s="150" t="str">
        <f>IF(Tableau6[[#This Row],[Montant des loyers perçus avant 1e échéance]]&lt;BW65,"oui","non")</f>
        <v>non</v>
      </c>
      <c r="BY65" s="475">
        <f t="shared" si="237"/>
        <v>-3.3</v>
      </c>
      <c r="BZ65" s="373" t="str">
        <f t="shared" si="238"/>
        <v>0</v>
      </c>
      <c r="CA65" s="373">
        <f>IF(BW65-BZ65&lt;0,0,Tableau6[[#This Row],[Montant échéance annuelle]]-Tableau6[[#This Row],[Montant des loyers perçus avant 1e échéance]])</f>
        <v>61955</v>
      </c>
      <c r="CB65" s="64"/>
      <c r="CC65" s="57"/>
      <c r="CD65" s="57"/>
      <c r="CE65" s="273" t="str">
        <f t="shared" si="184"/>
        <v>0</v>
      </c>
      <c r="CF65" s="64"/>
      <c r="CG65" s="64"/>
      <c r="CH65" s="273" t="str">
        <f t="shared" si="185"/>
        <v>0</v>
      </c>
      <c r="CI65" s="66"/>
      <c r="CJ65" s="64"/>
      <c r="CK65" s="273" t="str">
        <f t="shared" si="186"/>
        <v>0</v>
      </c>
      <c r="CL65" s="66"/>
      <c r="CM65" s="64"/>
      <c r="CN65" s="273" t="str">
        <f t="shared" si="187"/>
        <v>0</v>
      </c>
      <c r="CO65" s="66"/>
      <c r="CP65" s="311"/>
      <c r="CQ65" s="273" t="str">
        <f t="shared" si="195"/>
        <v>0</v>
      </c>
      <c r="CR65" s="239"/>
      <c r="CS65" s="117"/>
      <c r="CT65" s="64"/>
      <c r="CU65" s="117"/>
      <c r="CV65" s="273" t="str">
        <f t="shared" si="230"/>
        <v>0</v>
      </c>
      <c r="CW65" s="64"/>
      <c r="CX65" s="181">
        <v>41876</v>
      </c>
      <c r="CY65" s="175">
        <v>2014</v>
      </c>
      <c r="CZ65" s="232">
        <f t="shared" si="243"/>
        <v>11.333333333333334</v>
      </c>
      <c r="DA65" s="273" t="str">
        <f t="shared" si="197"/>
        <v>0</v>
      </c>
      <c r="DB65" s="59">
        <v>14</v>
      </c>
      <c r="DC65" s="126">
        <f t="shared" si="198"/>
        <v>27</v>
      </c>
      <c r="DD65" s="64"/>
      <c r="DE65" s="117"/>
      <c r="DF65" s="273" t="str">
        <f t="shared" si="199"/>
        <v>0</v>
      </c>
      <c r="DG65" s="64"/>
      <c r="DH65" s="309"/>
      <c r="DI65" s="276" t="str">
        <f t="shared" si="200"/>
        <v>0</v>
      </c>
      <c r="DJ65" s="66"/>
      <c r="DK65" s="336"/>
      <c r="DL65" s="273" t="str">
        <f t="shared" si="201"/>
        <v>0</v>
      </c>
      <c r="DM65" s="117"/>
      <c r="DN65" s="64"/>
      <c r="DO65" s="273" t="str">
        <f t="shared" si="202"/>
        <v>0</v>
      </c>
      <c r="DP65" s="57"/>
      <c r="DQ65" s="57"/>
      <c r="DR65" s="273" t="str">
        <f t="shared" si="203"/>
        <v>0</v>
      </c>
      <c r="DS65" s="57"/>
      <c r="DT65" s="57"/>
      <c r="DU65" s="273" t="str">
        <f t="shared" si="204"/>
        <v>0</v>
      </c>
      <c r="DV65" s="57"/>
      <c r="DW65" s="57"/>
      <c r="DX65" s="273" t="str">
        <f t="shared" si="205"/>
        <v>0</v>
      </c>
      <c r="DY65" s="57"/>
      <c r="DZ65" s="57"/>
      <c r="EA65" s="57"/>
      <c r="EB65" s="313">
        <f t="shared" si="206"/>
        <v>42302</v>
      </c>
      <c r="EC65" s="183">
        <v>42704</v>
      </c>
      <c r="ED65" s="401">
        <f t="shared" si="207"/>
        <v>13.4</v>
      </c>
      <c r="EE65" s="511"/>
      <c r="EF65" s="795"/>
      <c r="EG65" s="763">
        <v>42774</v>
      </c>
      <c r="EH65" s="58" t="s">
        <v>101</v>
      </c>
      <c r="EI65" s="58" t="s">
        <v>101</v>
      </c>
      <c r="EJ65" s="240"/>
      <c r="EK65" s="455">
        <f t="shared" si="220"/>
        <v>42333</v>
      </c>
      <c r="EL65" s="183">
        <v>42774</v>
      </c>
      <c r="EM65" s="177">
        <v>2017</v>
      </c>
      <c r="EN65" s="398">
        <f t="shared" si="239"/>
        <v>14.7</v>
      </c>
      <c r="EO65" s="388">
        <f>115866.7697376/12</f>
        <v>9655.5641448000006</v>
      </c>
      <c r="EP65" s="158">
        <f t="shared" si="208"/>
        <v>141936.79292856</v>
      </c>
      <c r="EQ65" s="58"/>
      <c r="ER65" s="58"/>
      <c r="ES65" s="59"/>
      <c r="ET65" s="296"/>
      <c r="EU65" s="387">
        <f t="shared" si="244"/>
        <v>384475</v>
      </c>
      <c r="EV65" s="300"/>
      <c r="EW65" s="300"/>
      <c r="EX65" s="300">
        <f>58276*1.021</f>
        <v>59499.795999999995</v>
      </c>
      <c r="EY65" s="416">
        <f>EX65/GB65</f>
        <v>1.3800065359189099E-2</v>
      </c>
      <c r="EZ65" s="297"/>
      <c r="FA65" s="308" t="s">
        <v>509</v>
      </c>
      <c r="FB65" s="297"/>
      <c r="FC65" s="297"/>
      <c r="FD65" s="89">
        <f t="shared" si="241"/>
        <v>731</v>
      </c>
      <c r="FE65" s="62" t="s">
        <v>370</v>
      </c>
      <c r="FF65" s="121" t="s">
        <v>101</v>
      </c>
      <c r="FG65" s="60" t="s">
        <v>371</v>
      </c>
      <c r="FH65" s="60" t="s">
        <v>372</v>
      </c>
      <c r="FI65" s="58">
        <v>42912</v>
      </c>
      <c r="FJ65" s="121" t="s">
        <v>101</v>
      </c>
      <c r="FK65" s="160">
        <v>43069</v>
      </c>
      <c r="FL65" s="160"/>
      <c r="FM65" s="376">
        <v>29948</v>
      </c>
      <c r="FN65" s="95" t="s">
        <v>101</v>
      </c>
      <c r="FO65" s="95">
        <v>42907</v>
      </c>
      <c r="FP65" s="95"/>
      <c r="FQ65" s="22"/>
      <c r="FR65" s="89"/>
      <c r="FS65" s="56">
        <v>43202</v>
      </c>
      <c r="FT65" s="22"/>
      <c r="FU65" s="22" t="s">
        <v>551</v>
      </c>
      <c r="FV65" s="22" t="s">
        <v>287</v>
      </c>
      <c r="FW65" s="228">
        <v>43003</v>
      </c>
      <c r="FX65" s="57" t="s">
        <v>101</v>
      </c>
      <c r="FY65" s="22"/>
      <c r="FZ65" s="22"/>
      <c r="GA65" s="332">
        <v>3574384</v>
      </c>
      <c r="GB65" s="471">
        <f>GD65+GG65+GJ65+HF65+Tableau6[[#This Row],[PRÊT CREDIT D''IMPOT (PM)]]</f>
        <v>4311559</v>
      </c>
      <c r="GC65" s="644">
        <f t="shared" si="240"/>
        <v>4311559</v>
      </c>
      <c r="GD65" s="507">
        <f t="shared" si="219"/>
        <v>504894</v>
      </c>
      <c r="GE65" s="20">
        <f t="shared" si="211"/>
        <v>2329.3888510702668</v>
      </c>
      <c r="GF65" s="20">
        <f t="shared" si="212"/>
        <v>179648.29166666666</v>
      </c>
      <c r="GG65" s="507">
        <v>1042673</v>
      </c>
      <c r="GH65" s="351"/>
      <c r="GI65" s="20">
        <f t="shared" si="225"/>
        <v>43444.708333333336</v>
      </c>
      <c r="GJ65" s="507">
        <f t="shared" si="213"/>
        <v>2379517</v>
      </c>
      <c r="GK65" s="5">
        <f t="shared" si="245"/>
        <v>2051712</v>
      </c>
      <c r="GL65" s="44">
        <v>255345</v>
      </c>
      <c r="GM65" s="44">
        <v>1796367</v>
      </c>
      <c r="GN65" s="345">
        <f t="shared" si="214"/>
        <v>85488</v>
      </c>
      <c r="GO65" s="35">
        <v>327805</v>
      </c>
      <c r="GP65" s="35">
        <v>360000</v>
      </c>
      <c r="GQ65" s="35">
        <v>120000</v>
      </c>
      <c r="GR65" s="18">
        <f t="shared" si="215"/>
        <v>8.3496480043529497E-2</v>
      </c>
      <c r="GS65" s="35"/>
      <c r="GT65" s="35"/>
      <c r="GU65" s="35">
        <v>24894</v>
      </c>
      <c r="GV65" s="20">
        <f t="shared" si="248"/>
        <v>15000</v>
      </c>
      <c r="GW65" s="20">
        <f t="shared" si="249"/>
        <v>58444.708333333336</v>
      </c>
      <c r="GX65" s="569">
        <v>1244630.4489499999</v>
      </c>
      <c r="GY65" s="569">
        <v>480000</v>
      </c>
      <c r="GZ65" s="567" t="e">
        <f>(#REF!+#REF!+GY65)/AD65</f>
        <v>#REF!</v>
      </c>
      <c r="HA65" s="569">
        <v>0</v>
      </c>
      <c r="HB65" s="567">
        <f t="shared" si="250"/>
        <v>78444.708333333328</v>
      </c>
      <c r="HC65" s="568">
        <f t="shared" si="246"/>
        <v>0.35073859209247982</v>
      </c>
      <c r="HD65" s="569">
        <v>188451.07500000001</v>
      </c>
      <c r="HE65" s="569"/>
      <c r="HF65" s="507">
        <v>384475</v>
      </c>
      <c r="HG65" s="633"/>
      <c r="HH65" s="634">
        <f t="shared" si="216"/>
        <v>0</v>
      </c>
      <c r="HI65" s="635">
        <f t="shared" si="251"/>
        <v>4311559</v>
      </c>
      <c r="HJ65" s="633" t="e">
        <f t="shared" ca="1" si="221"/>
        <v>#VALUE!</v>
      </c>
      <c r="HK65" s="633"/>
      <c r="HL65" s="633"/>
      <c r="HM65" s="633">
        <f t="shared" si="217"/>
        <v>504894</v>
      </c>
      <c r="HN65" s="636">
        <f t="shared" si="218"/>
        <v>0</v>
      </c>
      <c r="HO65" s="636"/>
      <c r="HP65" s="563"/>
      <c r="HQ65" s="47"/>
      <c r="HR65" s="563"/>
      <c r="HS65" s="563">
        <f>SUM(Tableau6[[#This Row],[GO]:[CARRELAGE]])</f>
        <v>0</v>
      </c>
      <c r="HT65" s="461"/>
      <c r="HU65" s="461"/>
      <c r="HV65" s="461"/>
      <c r="HW65" s="461"/>
      <c r="HX65" s="461"/>
      <c r="HY65" s="461"/>
      <c r="HZ65" s="461"/>
      <c r="IA65" s="461"/>
      <c r="IB65" s="461"/>
      <c r="IC65" s="461"/>
      <c r="ID65" s="461"/>
      <c r="IE65" s="461"/>
      <c r="IF65" s="461"/>
      <c r="IG65" s="563"/>
      <c r="IH65" s="563"/>
      <c r="II65" s="563">
        <f>HP65+HR65+Tableau6[[#This Row],[TRAVAUX BATIS]]+Tableau6[[#This Row],[HONORAIRES]]+IH65</f>
        <v>0</v>
      </c>
      <c r="IJ65" s="654">
        <f>Tableau6[[#This Row],[TOTAL PRP HT]]-Tableau6[[#This Row],[PRP TTC HORS FRAFU]]/1.021</f>
        <v>-4222878.5504407445</v>
      </c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</row>
    <row r="66" spans="1:256" ht="29.25" customHeight="1">
      <c r="A66" s="360" t="s">
        <v>37</v>
      </c>
      <c r="B66" s="22" t="s">
        <v>14</v>
      </c>
      <c r="C66" s="22" t="s">
        <v>86</v>
      </c>
      <c r="D66" s="22">
        <v>2013</v>
      </c>
      <c r="E66" s="22" t="s">
        <v>38</v>
      </c>
      <c r="F66" s="22" t="s">
        <v>16</v>
      </c>
      <c r="G66" s="57" t="s">
        <v>587</v>
      </c>
      <c r="H66" s="22" t="s">
        <v>181</v>
      </c>
      <c r="I66" s="22"/>
      <c r="J66" s="22"/>
      <c r="K66" s="134"/>
      <c r="L66" s="81" t="s">
        <v>48</v>
      </c>
      <c r="M66" s="82" t="s">
        <v>49</v>
      </c>
      <c r="N66" s="83"/>
      <c r="O66" s="103">
        <f>4015+535</f>
        <v>4550</v>
      </c>
      <c r="P66" s="103">
        <v>298500</v>
      </c>
      <c r="Q66" s="103">
        <v>122015</v>
      </c>
      <c r="R66" s="103">
        <f>P66/15</f>
        <v>19900</v>
      </c>
      <c r="S66" s="103">
        <f>P66/O66</f>
        <v>65.604395604395606</v>
      </c>
      <c r="T66" s="109">
        <f>Q66/O66</f>
        <v>26.816483516483515</v>
      </c>
      <c r="U66" s="109">
        <f>Q66/AK66</f>
        <v>103.36575117331121</v>
      </c>
      <c r="V66" s="109">
        <f>Q66/AD66</f>
        <v>8134.333333333333</v>
      </c>
      <c r="W66" s="103">
        <f>O66/AD66</f>
        <v>303.33333333333331</v>
      </c>
      <c r="X66" s="104"/>
      <c r="Y66" s="444">
        <f t="shared" si="188"/>
        <v>32.967032967032964</v>
      </c>
      <c r="Z66" s="104" t="s">
        <v>147</v>
      </c>
      <c r="AA66" s="104">
        <v>600</v>
      </c>
      <c r="AB66" s="105"/>
      <c r="AC66" s="22" t="s">
        <v>10</v>
      </c>
      <c r="AD66" s="426">
        <f t="shared" si="189"/>
        <v>15</v>
      </c>
      <c r="AE66" s="426">
        <f t="shared" si="190"/>
        <v>15</v>
      </c>
      <c r="AF66" s="32"/>
      <c r="AG66" s="22">
        <v>15</v>
      </c>
      <c r="AH66" s="32"/>
      <c r="AI66" s="32"/>
      <c r="AJ66" s="614">
        <v>1162.8599999999999</v>
      </c>
      <c r="AK66" s="222">
        <v>1180.4199999999998</v>
      </c>
      <c r="AL66" s="492">
        <f t="shared" si="191"/>
        <v>77.523999999999987</v>
      </c>
      <c r="AM66" s="4">
        <f t="shared" si="192"/>
        <v>78.694666666666663</v>
      </c>
      <c r="AN66" s="26">
        <v>5.27</v>
      </c>
      <c r="AO66" s="26">
        <v>5.19</v>
      </c>
      <c r="AP66" s="26">
        <v>408.17</v>
      </c>
      <c r="AQ66" s="28"/>
      <c r="AR66" s="39">
        <f>3/AD66</f>
        <v>0.2</v>
      </c>
      <c r="AS66" s="39">
        <f>6/AD66</f>
        <v>0.4</v>
      </c>
      <c r="AT66" s="39">
        <f>5/AD66</f>
        <v>0.33333333333333331</v>
      </c>
      <c r="AU66" s="39">
        <f>1/AD66</f>
        <v>6.6666666666666666E-2</v>
      </c>
      <c r="AV66" s="26"/>
      <c r="AW66" s="37"/>
      <c r="AX66" s="39">
        <f t="shared" si="242"/>
        <v>0</v>
      </c>
      <c r="AY66" s="26">
        <v>1.5</v>
      </c>
      <c r="AZ66" s="22" t="s">
        <v>385</v>
      </c>
      <c r="BA66" s="22" t="s">
        <v>95</v>
      </c>
      <c r="BB66" s="22"/>
      <c r="BC66" s="22"/>
      <c r="BD66" s="22"/>
      <c r="BE66" s="22"/>
      <c r="BF66" s="22"/>
      <c r="BG66" s="22"/>
      <c r="BH66" s="89">
        <v>40963</v>
      </c>
      <c r="BI66" s="89"/>
      <c r="BJ66" s="548">
        <v>41363</v>
      </c>
      <c r="BK66" s="548">
        <v>41596</v>
      </c>
      <c r="BL66" s="550"/>
      <c r="BM66" s="547">
        <f t="shared" si="193"/>
        <v>7.7666666666666666</v>
      </c>
      <c r="BN66" s="491"/>
      <c r="BO66" s="77">
        <v>41550</v>
      </c>
      <c r="BP66" s="99">
        <v>41576</v>
      </c>
      <c r="BQ66" s="537">
        <f t="shared" si="247"/>
        <v>0.8666666666666667</v>
      </c>
      <c r="BR66" s="100"/>
      <c r="BS66" s="77">
        <f>DATE(YEAR(BO66),MONTH(BO66)+3,DAY(BO66))</f>
        <v>41642</v>
      </c>
      <c r="BT66" s="77" t="s">
        <v>101</v>
      </c>
      <c r="BU66" s="151">
        <v>41671</v>
      </c>
      <c r="BV66" s="150">
        <f t="shared" si="194"/>
        <v>42767</v>
      </c>
      <c r="BW66" s="373"/>
      <c r="BX66" s="150" t="str">
        <f>IF(Tableau6[[#This Row],[Montant des loyers perçus avant 1e échéance]]&lt;BW66,"oui","non")</f>
        <v>non</v>
      </c>
      <c r="BY66" s="475">
        <f t="shared" si="237"/>
        <v>-1.5666666666666667</v>
      </c>
      <c r="BZ66" s="373" t="str">
        <f t="shared" si="238"/>
        <v>0</v>
      </c>
      <c r="CA66" s="373">
        <f>IF(BW66-BZ66&lt;0,0,Tableau6[[#This Row],[Montant échéance annuelle]]-Tableau6[[#This Row],[Montant des loyers perçus avant 1e échéance]])</f>
        <v>0</v>
      </c>
      <c r="CB66" s="64"/>
      <c r="CC66" s="64"/>
      <c r="CD66" s="64"/>
      <c r="CE66" s="273" t="str">
        <f t="shared" si="184"/>
        <v>0</v>
      </c>
      <c r="CF66" s="64"/>
      <c r="CG66" s="64"/>
      <c r="CH66" s="273" t="str">
        <f t="shared" si="185"/>
        <v>0</v>
      </c>
      <c r="CI66" s="64"/>
      <c r="CJ66" s="64"/>
      <c r="CK66" s="273" t="str">
        <f t="shared" si="186"/>
        <v>0</v>
      </c>
      <c r="CL66" s="64"/>
      <c r="CM66" s="64"/>
      <c r="CN66" s="273" t="str">
        <f t="shared" si="187"/>
        <v>0</v>
      </c>
      <c r="CO66" s="66"/>
      <c r="CP66" s="311"/>
      <c r="CQ66" s="273" t="str">
        <f t="shared" si="195"/>
        <v>0</v>
      </c>
      <c r="CR66" s="239"/>
      <c r="CS66" s="117"/>
      <c r="CT66" s="64"/>
      <c r="CU66" s="117"/>
      <c r="CV66" s="273" t="str">
        <f t="shared" si="230"/>
        <v>0</v>
      </c>
      <c r="CW66" s="64"/>
      <c r="CX66" s="181">
        <v>42341</v>
      </c>
      <c r="CY66" s="176">
        <v>2015</v>
      </c>
      <c r="CZ66" s="234">
        <f t="shared" si="243"/>
        <v>24.833333333333332</v>
      </c>
      <c r="DA66" s="273" t="str">
        <f t="shared" si="197"/>
        <v>0</v>
      </c>
      <c r="DB66" s="128">
        <v>13</v>
      </c>
      <c r="DC66" s="126">
        <f t="shared" si="198"/>
        <v>15</v>
      </c>
      <c r="DD66" s="64"/>
      <c r="DE66" s="117"/>
      <c r="DF66" s="273" t="str">
        <f t="shared" si="199"/>
        <v>0</v>
      </c>
      <c r="DG66" s="64"/>
      <c r="DH66" s="309"/>
      <c r="DI66" s="276" t="str">
        <f t="shared" si="200"/>
        <v>0</v>
      </c>
      <c r="DJ66" s="66"/>
      <c r="DK66" s="336"/>
      <c r="DL66" s="273" t="str">
        <f t="shared" si="201"/>
        <v>0</v>
      </c>
      <c r="DM66" s="117"/>
      <c r="DN66" s="64"/>
      <c r="DO66" s="273" t="str">
        <f t="shared" si="202"/>
        <v>0</v>
      </c>
      <c r="DP66" s="57"/>
      <c r="DQ66" s="57"/>
      <c r="DR66" s="273" t="str">
        <f t="shared" si="203"/>
        <v>0</v>
      </c>
      <c r="DS66" s="57"/>
      <c r="DT66" s="57"/>
      <c r="DU66" s="273" t="str">
        <f t="shared" si="204"/>
        <v>0</v>
      </c>
      <c r="DV66" s="64"/>
      <c r="DW66" s="64"/>
      <c r="DX66" s="273" t="str">
        <f t="shared" si="205"/>
        <v>0</v>
      </c>
      <c r="DY66" s="57"/>
      <c r="DZ66" s="57"/>
      <c r="EA66" s="57"/>
      <c r="EB66" s="544">
        <f t="shared" si="206"/>
        <v>42738</v>
      </c>
      <c r="EC66" s="323">
        <v>42814</v>
      </c>
      <c r="ED66" s="401">
        <f t="shared" si="207"/>
        <v>2.5333333333333332</v>
      </c>
      <c r="EE66" s="762"/>
      <c r="EF66" s="328"/>
      <c r="EG66" s="798">
        <v>42865</v>
      </c>
      <c r="EH66" s="90" t="s">
        <v>289</v>
      </c>
      <c r="EI66" s="90">
        <v>42804</v>
      </c>
      <c r="EJ66" s="411"/>
      <c r="EK66" s="455">
        <f t="shared" si="220"/>
        <v>42769</v>
      </c>
      <c r="EL66" s="328">
        <v>42814</v>
      </c>
      <c r="EM66" s="177">
        <v>2017</v>
      </c>
      <c r="EN66" s="397">
        <f t="shared" si="239"/>
        <v>1.5</v>
      </c>
      <c r="EO66" s="388">
        <f>56856.5334543356/12</f>
        <v>4738.044454527967</v>
      </c>
      <c r="EP66" s="158">
        <f t="shared" si="208"/>
        <v>7107.06668179195</v>
      </c>
      <c r="EQ66" s="90" t="s">
        <v>101</v>
      </c>
      <c r="ER66" s="90"/>
      <c r="ES66" s="738"/>
      <c r="ET66" s="296"/>
      <c r="EU66" s="387">
        <f t="shared" si="244"/>
        <v>0</v>
      </c>
      <c r="EV66" s="300"/>
      <c r="EW66" s="300"/>
      <c r="EX66" s="756">
        <v>0</v>
      </c>
      <c r="EY66" s="416">
        <f>EX66/GB66</f>
        <v>0</v>
      </c>
      <c r="EZ66" s="297"/>
      <c r="FA66" s="308" t="s">
        <v>512</v>
      </c>
      <c r="FB66" s="297"/>
      <c r="FC66" s="297"/>
      <c r="FD66" s="89">
        <f t="shared" si="241"/>
        <v>731</v>
      </c>
      <c r="FE66" s="95" t="s">
        <v>101</v>
      </c>
      <c r="FF66" s="121" t="s">
        <v>101</v>
      </c>
      <c r="FG66" s="63"/>
      <c r="FH66" s="63"/>
      <c r="FI66" s="64">
        <v>43038</v>
      </c>
      <c r="FJ66" s="160">
        <v>43223</v>
      </c>
      <c r="FK66" s="159">
        <f t="shared" ref="FK66:FK73" si="252">DATE(YEAR(EC66)+1,MONTH(EC66),DAY(EC66))</f>
        <v>43179</v>
      </c>
      <c r="FL66" s="159"/>
      <c r="FM66" s="376">
        <v>13223</v>
      </c>
      <c r="FN66" s="160">
        <v>42977</v>
      </c>
      <c r="FO66" s="57"/>
      <c r="FP66" s="57"/>
      <c r="FQ66" s="57"/>
      <c r="FR66" s="160">
        <v>43125</v>
      </c>
      <c r="FS66" s="160">
        <v>43180</v>
      </c>
      <c r="FT66" s="22"/>
      <c r="FU66" s="88" t="s">
        <v>840</v>
      </c>
      <c r="FV66" s="22" t="s">
        <v>287</v>
      </c>
      <c r="FW66" s="220" t="s">
        <v>101</v>
      </c>
      <c r="FX66" s="24"/>
      <c r="FY66" s="119" t="s">
        <v>101</v>
      </c>
      <c r="FZ66" s="22"/>
      <c r="GA66" s="332">
        <v>2369120</v>
      </c>
      <c r="GB66" s="471">
        <f>GD66+GG66+GJ66+HF66+Tableau6[[#This Row],[PRÊT CREDIT D''IMPOT (PM)]]</f>
        <v>2951882</v>
      </c>
      <c r="GC66" s="644">
        <f t="shared" si="240"/>
        <v>2951882</v>
      </c>
      <c r="GD66" s="507">
        <f t="shared" si="219"/>
        <v>393831</v>
      </c>
      <c r="GE66" s="20">
        <f t="shared" si="211"/>
        <v>2500.7048338726895</v>
      </c>
      <c r="GF66" s="20">
        <f t="shared" si="212"/>
        <v>196792.13333333333</v>
      </c>
      <c r="GG66" s="507">
        <v>835967</v>
      </c>
      <c r="GH66" s="351"/>
      <c r="GI66" s="20">
        <f t="shared" si="225"/>
        <v>55731.133333333331</v>
      </c>
      <c r="GJ66" s="507">
        <f t="shared" si="213"/>
        <v>1722084</v>
      </c>
      <c r="GK66" s="5">
        <f t="shared" si="245"/>
        <v>1314229</v>
      </c>
      <c r="GL66" s="44">
        <v>212380</v>
      </c>
      <c r="GM66" s="44">
        <v>1101849</v>
      </c>
      <c r="GN66" s="345">
        <f t="shared" si="214"/>
        <v>87615.266666666663</v>
      </c>
      <c r="GO66" s="35">
        <v>407855</v>
      </c>
      <c r="GP66" s="35">
        <v>393831</v>
      </c>
      <c r="GQ66" s="35"/>
      <c r="GR66" s="18">
        <f t="shared" si="215"/>
        <v>0.1334169184269561</v>
      </c>
      <c r="GS66" s="35"/>
      <c r="GT66" s="35"/>
      <c r="GU66" s="35">
        <v>0</v>
      </c>
      <c r="GV66" s="20">
        <f t="shared" si="248"/>
        <v>26255.4</v>
      </c>
      <c r="GW66" s="20">
        <f t="shared" si="249"/>
        <v>81986.53333333334</v>
      </c>
      <c r="GX66" s="569">
        <v>753806.75427749997</v>
      </c>
      <c r="GY66" s="569">
        <v>300000</v>
      </c>
      <c r="GZ66" s="567" t="e">
        <f>(#REF!+#REF!+GY66)/AD66</f>
        <v>#REF!</v>
      </c>
      <c r="HA66" s="569">
        <v>162750</v>
      </c>
      <c r="HB66" s="567">
        <f t="shared" si="250"/>
        <v>112836.53333333334</v>
      </c>
      <c r="HC66" s="568">
        <f t="shared" si="246"/>
        <v>0.4726319970267101</v>
      </c>
      <c r="HD66" s="569">
        <v>124577</v>
      </c>
      <c r="HE66" s="807"/>
      <c r="HF66" s="507">
        <v>0</v>
      </c>
      <c r="HG66" s="633"/>
      <c r="HH66" s="634">
        <f t="shared" si="216"/>
        <v>0</v>
      </c>
      <c r="HI66" s="635">
        <f t="shared" si="251"/>
        <v>2951882</v>
      </c>
      <c r="HJ66" s="633" t="e">
        <f t="shared" ca="1" si="221"/>
        <v>#VALUE!</v>
      </c>
      <c r="HK66" s="633"/>
      <c r="HL66" s="633"/>
      <c r="HM66" s="633">
        <f t="shared" si="217"/>
        <v>393831</v>
      </c>
      <c r="HN66" s="636">
        <f t="shared" si="218"/>
        <v>0</v>
      </c>
      <c r="HO66" s="636"/>
      <c r="HP66" s="563"/>
      <c r="HQ66" s="47"/>
      <c r="HR66" s="563"/>
      <c r="HS66" s="563">
        <f>SUM(Tableau6[[#This Row],[GO]:[CARRELAGE]])</f>
        <v>0</v>
      </c>
      <c r="HT66" s="461"/>
      <c r="HU66" s="461"/>
      <c r="HV66" s="461"/>
      <c r="HW66" s="461"/>
      <c r="HX66" s="461"/>
      <c r="HY66" s="461"/>
      <c r="HZ66" s="461"/>
      <c r="IA66" s="461"/>
      <c r="IB66" s="461"/>
      <c r="IC66" s="461"/>
      <c r="ID66" s="461"/>
      <c r="IE66" s="461"/>
      <c r="IF66" s="461"/>
      <c r="IG66" s="563"/>
      <c r="IH66" s="563"/>
      <c r="II66" s="563">
        <f>HP66+HR66+Tableau6[[#This Row],[TRAVAUX BATIS]]+Tableau6[[#This Row],[HONORAIRES]]+IH66</f>
        <v>0</v>
      </c>
      <c r="IJ66" s="654">
        <f>Tableau6[[#This Row],[TOTAL PRP HT]]-Tableau6[[#This Row],[PRP TTC HORS FRAFU]]/1.021</f>
        <v>-2891167.4828599417</v>
      </c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</row>
    <row r="67" spans="1:256" ht="33.75" customHeight="1">
      <c r="A67" s="360" t="s">
        <v>30</v>
      </c>
      <c r="B67" s="22" t="s">
        <v>31</v>
      </c>
      <c r="C67" s="22" t="s">
        <v>86</v>
      </c>
      <c r="D67" s="22">
        <v>2013</v>
      </c>
      <c r="E67" s="22" t="s">
        <v>32</v>
      </c>
      <c r="F67" s="22"/>
      <c r="G67" s="423" t="s">
        <v>860</v>
      </c>
      <c r="H67" s="22" t="s">
        <v>181</v>
      </c>
      <c r="I67" s="22"/>
      <c r="J67" s="22"/>
      <c r="K67" s="134"/>
      <c r="L67" s="152" t="s">
        <v>42</v>
      </c>
      <c r="M67" s="152" t="s">
        <v>49</v>
      </c>
      <c r="N67" s="782">
        <v>41591</v>
      </c>
      <c r="O67" s="103">
        <v>1547</v>
      </c>
      <c r="P67" s="103">
        <f>Q67</f>
        <v>259906</v>
      </c>
      <c r="Q67" s="103">
        <v>259906</v>
      </c>
      <c r="R67" s="103">
        <f>P67/AD67</f>
        <v>14439.222222222223</v>
      </c>
      <c r="S67" s="103">
        <f>P67/O67</f>
        <v>168.00646412411118</v>
      </c>
      <c r="T67" s="103">
        <f>Q67/O67</f>
        <v>168.00646412411118</v>
      </c>
      <c r="U67" s="103">
        <f>Q67/AK67</f>
        <v>197.05075133815524</v>
      </c>
      <c r="V67" s="103">
        <f>Q67/AD67</f>
        <v>14439.222222222223</v>
      </c>
      <c r="W67" s="103">
        <f>O67/AD67</f>
        <v>85.944444444444443</v>
      </c>
      <c r="X67" s="104">
        <v>836</v>
      </c>
      <c r="Y67" s="444">
        <f t="shared" si="188"/>
        <v>116.35423400129282</v>
      </c>
      <c r="Z67" s="104" t="s">
        <v>148</v>
      </c>
      <c r="AA67" s="104">
        <v>383</v>
      </c>
      <c r="AB67" s="105">
        <v>0</v>
      </c>
      <c r="AC67" s="22" t="s">
        <v>10</v>
      </c>
      <c r="AD67" s="426">
        <f t="shared" si="189"/>
        <v>18</v>
      </c>
      <c r="AE67" s="426">
        <f t="shared" si="190"/>
        <v>18</v>
      </c>
      <c r="AF67" s="32"/>
      <c r="AG67" s="22">
        <v>18</v>
      </c>
      <c r="AH67" s="32"/>
      <c r="AI67" s="32"/>
      <c r="AJ67" s="614">
        <v>1120.54</v>
      </c>
      <c r="AK67" s="222">
        <v>1318.98</v>
      </c>
      <c r="AL67" s="492">
        <f t="shared" si="191"/>
        <v>62.252222222222223</v>
      </c>
      <c r="AM67" s="4">
        <f t="shared" si="192"/>
        <v>73.276666666666671</v>
      </c>
      <c r="AN67" s="26">
        <v>6.23</v>
      </c>
      <c r="AO67" s="26">
        <v>5.3</v>
      </c>
      <c r="AP67" s="26">
        <v>388.01</v>
      </c>
      <c r="AQ67" s="117"/>
      <c r="AR67" s="39">
        <f>12/AD67</f>
        <v>0.66666666666666663</v>
      </c>
      <c r="AS67" s="39">
        <f>6/AD67</f>
        <v>0.33333333333333331</v>
      </c>
      <c r="AT67" s="117"/>
      <c r="AU67" s="117"/>
      <c r="AV67" s="26"/>
      <c r="AW67" s="37">
        <v>0</v>
      </c>
      <c r="AX67" s="39">
        <f t="shared" si="242"/>
        <v>0</v>
      </c>
      <c r="AY67" s="26">
        <v>3.5</v>
      </c>
      <c r="AZ67" s="25" t="s">
        <v>386</v>
      </c>
      <c r="BA67" s="22" t="s">
        <v>94</v>
      </c>
      <c r="BB67" s="22"/>
      <c r="BC67" s="22"/>
      <c r="BD67" s="22"/>
      <c r="BE67" s="22"/>
      <c r="BF67" s="460">
        <v>41313</v>
      </c>
      <c r="BG67" s="460"/>
      <c r="BH67" s="56">
        <v>41348</v>
      </c>
      <c r="BI67" s="56"/>
      <c r="BJ67" s="548">
        <v>41363</v>
      </c>
      <c r="BK67" s="548">
        <v>41463</v>
      </c>
      <c r="BL67" s="549"/>
      <c r="BM67" s="547">
        <f t="shared" si="193"/>
        <v>3.3333333333333335</v>
      </c>
      <c r="BN67" s="490"/>
      <c r="BO67" s="77">
        <v>41549</v>
      </c>
      <c r="BP67" s="99">
        <v>41576</v>
      </c>
      <c r="BQ67" s="537">
        <f t="shared" si="247"/>
        <v>0.9</v>
      </c>
      <c r="BR67" s="100"/>
      <c r="BS67" s="77">
        <f>DATE(YEAR(BP67),MONTH(BP67)+3,DAY(BP67))</f>
        <v>41668</v>
      </c>
      <c r="BT67" s="77"/>
      <c r="BU67" s="151">
        <v>41671</v>
      </c>
      <c r="BV67" s="150">
        <f t="shared" si="194"/>
        <v>42767</v>
      </c>
      <c r="BW67" s="373">
        <f>9005+35312</f>
        <v>44317</v>
      </c>
      <c r="BX67" s="150" t="str">
        <f>IF(Tableau6[[#This Row],[Montant des loyers perçus avant 1e échéance]]&lt;BW67,"oui","non")</f>
        <v>non</v>
      </c>
      <c r="BY67" s="475">
        <f t="shared" si="237"/>
        <v>-10.066666666666666</v>
      </c>
      <c r="BZ67" s="373" t="str">
        <f t="shared" si="238"/>
        <v>0</v>
      </c>
      <c r="CA67" s="373">
        <f>IF(BW67-BZ67&lt;0,0,Tableau6[[#This Row],[Montant échéance annuelle]]-Tableau6[[#This Row],[Montant des loyers perçus avant 1e échéance]])</f>
        <v>44317</v>
      </c>
      <c r="CB67" s="64">
        <v>41184</v>
      </c>
      <c r="CC67" s="64">
        <f>CB67</f>
        <v>41184</v>
      </c>
      <c r="CD67" s="64">
        <v>41185</v>
      </c>
      <c r="CE67" s="273">
        <f t="shared" si="184"/>
        <v>1</v>
      </c>
      <c r="CF67" s="64">
        <f>CD67+21+21</f>
        <v>41227</v>
      </c>
      <c r="CG67" s="64">
        <v>41311</v>
      </c>
      <c r="CH67" s="273">
        <f t="shared" si="185"/>
        <v>84</v>
      </c>
      <c r="CI67" s="64">
        <v>41373</v>
      </c>
      <c r="CJ67" s="64">
        <v>41375</v>
      </c>
      <c r="CK67" s="273">
        <f t="shared" si="186"/>
        <v>2</v>
      </c>
      <c r="CL67" s="64">
        <f>CJ67+30+30</f>
        <v>41435</v>
      </c>
      <c r="CM67" s="64">
        <v>41437</v>
      </c>
      <c r="CN67" s="273">
        <f t="shared" si="187"/>
        <v>2</v>
      </c>
      <c r="CO67" s="64">
        <f>CM67+37+37</f>
        <v>41511</v>
      </c>
      <c r="CP67" s="343">
        <v>41529</v>
      </c>
      <c r="CQ67" s="273">
        <f t="shared" si="195"/>
        <v>18</v>
      </c>
      <c r="CR67" s="239"/>
      <c r="CS67" s="64">
        <v>41684</v>
      </c>
      <c r="CT67" s="64">
        <f>CP67+7+7+30</f>
        <v>41573</v>
      </c>
      <c r="CU67" s="64">
        <v>41743</v>
      </c>
      <c r="CV67" s="273">
        <f t="shared" si="230"/>
        <v>170</v>
      </c>
      <c r="CW67" s="64">
        <v>41743</v>
      </c>
      <c r="CX67" s="181">
        <v>41751</v>
      </c>
      <c r="CY67" s="175">
        <v>2014</v>
      </c>
      <c r="CZ67" s="232">
        <f t="shared" si="243"/>
        <v>9.6</v>
      </c>
      <c r="DA67" s="273">
        <f t="shared" si="197"/>
        <v>8</v>
      </c>
      <c r="DB67" s="59">
        <v>15</v>
      </c>
      <c r="DC67" s="59">
        <f t="shared" si="198"/>
        <v>42</v>
      </c>
      <c r="DD67" s="64">
        <v>41835</v>
      </c>
      <c r="DE67" s="117">
        <v>41835</v>
      </c>
      <c r="DF67" s="273">
        <f t="shared" si="199"/>
        <v>0</v>
      </c>
      <c r="DG67" s="64">
        <f>DD67+45</f>
        <v>41880</v>
      </c>
      <c r="DH67" s="309">
        <v>42153</v>
      </c>
      <c r="DI67" s="276">
        <f t="shared" si="200"/>
        <v>273</v>
      </c>
      <c r="DJ67" s="64">
        <f>CX67+300</f>
        <v>42051</v>
      </c>
      <c r="DK67" s="336">
        <v>42255</v>
      </c>
      <c r="DL67" s="273">
        <f t="shared" si="201"/>
        <v>204</v>
      </c>
      <c r="DM67" s="64">
        <f>DJ67+30</f>
        <v>42081</v>
      </c>
      <c r="DN67" s="64">
        <v>42943</v>
      </c>
      <c r="DO67" s="273">
        <f t="shared" si="202"/>
        <v>862</v>
      </c>
      <c r="DP67" s="64">
        <f>DM67</f>
        <v>42081</v>
      </c>
      <c r="DQ67" s="64">
        <v>42943</v>
      </c>
      <c r="DR67" s="273">
        <f t="shared" si="203"/>
        <v>862</v>
      </c>
      <c r="DS67" s="64">
        <f>DP67+60</f>
        <v>42141</v>
      </c>
      <c r="DT67" s="64">
        <v>42934</v>
      </c>
      <c r="DU67" s="273">
        <f t="shared" si="204"/>
        <v>793</v>
      </c>
      <c r="DV67" s="64">
        <f>DS67+90</f>
        <v>42231</v>
      </c>
      <c r="DW67" s="64">
        <v>42985</v>
      </c>
      <c r="DX67" s="273">
        <f t="shared" si="205"/>
        <v>754</v>
      </c>
      <c r="DY67" s="64">
        <v>43052</v>
      </c>
      <c r="DZ67" s="64">
        <v>43041</v>
      </c>
      <c r="EA67" s="64">
        <v>43031</v>
      </c>
      <c r="EB67" s="313">
        <f t="shared" si="206"/>
        <v>42207</v>
      </c>
      <c r="EC67" s="183">
        <v>43055</v>
      </c>
      <c r="ED67" s="401">
        <f t="shared" si="207"/>
        <v>28.266666666666666</v>
      </c>
      <c r="EE67" s="762"/>
      <c r="EF67" s="792"/>
      <c r="EG67" s="763">
        <v>43082</v>
      </c>
      <c r="EH67" s="58">
        <v>42382</v>
      </c>
      <c r="EI67" s="764">
        <v>43059</v>
      </c>
      <c r="EJ67" s="240"/>
      <c r="EK67" s="455">
        <f t="shared" si="220"/>
        <v>42238</v>
      </c>
      <c r="EL67" s="183">
        <v>43069</v>
      </c>
      <c r="EM67" s="177">
        <v>2017</v>
      </c>
      <c r="EN67" s="398">
        <f t="shared" si="239"/>
        <v>27.7</v>
      </c>
      <c r="EO67" s="388">
        <f>86289.3386701777/12</f>
        <v>7190.7782225148085</v>
      </c>
      <c r="EP67" s="158">
        <f t="shared" si="208"/>
        <v>199184.55676366019</v>
      </c>
      <c r="EQ67" s="159">
        <v>42999</v>
      </c>
      <c r="ER67" s="159"/>
      <c r="ES67" s="133"/>
      <c r="ET67" s="494">
        <v>366248</v>
      </c>
      <c r="EU67" s="387">
        <f t="shared" si="244"/>
        <v>0</v>
      </c>
      <c r="EV67" s="300"/>
      <c r="EW67" s="300"/>
      <c r="EX67" s="300">
        <v>110247.29</v>
      </c>
      <c r="EY67" s="416">
        <f>EX67/GB67</f>
        <v>3.2927085246660541E-2</v>
      </c>
      <c r="EZ67" s="495" t="s">
        <v>536</v>
      </c>
      <c r="FA67" s="497" t="s">
        <v>537</v>
      </c>
      <c r="FB67" s="297"/>
      <c r="FC67" s="497" t="s">
        <v>538</v>
      </c>
      <c r="FD67" s="89">
        <f t="shared" si="241"/>
        <v>42884</v>
      </c>
      <c r="FE67" s="372" t="s">
        <v>370</v>
      </c>
      <c r="FF67" s="338">
        <v>43164</v>
      </c>
      <c r="FG67" s="92" t="s">
        <v>223</v>
      </c>
      <c r="FH67" s="92" t="s">
        <v>223</v>
      </c>
      <c r="FI67" s="98">
        <v>43152</v>
      </c>
      <c r="FJ67" s="98" t="s">
        <v>101</v>
      </c>
      <c r="FK67" s="159">
        <f t="shared" si="252"/>
        <v>43420</v>
      </c>
      <c r="FL67" s="159"/>
      <c r="FM67" s="377">
        <v>26813</v>
      </c>
      <c r="FN67" s="338">
        <v>43151</v>
      </c>
      <c r="FO67" s="338">
        <v>43157</v>
      </c>
      <c r="FP67" s="338"/>
      <c r="FQ67" s="92"/>
      <c r="FR67" s="92"/>
      <c r="FS67" s="355">
        <v>43210</v>
      </c>
      <c r="FT67" s="39"/>
      <c r="FU67" s="39" t="s">
        <v>688</v>
      </c>
      <c r="FV67" s="22" t="s">
        <v>287</v>
      </c>
      <c r="FW67" s="355">
        <v>43242</v>
      </c>
      <c r="FX67" s="39" t="s">
        <v>101</v>
      </c>
      <c r="FY67" s="39"/>
      <c r="FZ67" s="39"/>
      <c r="GA67" s="332">
        <v>2715924</v>
      </c>
      <c r="GB67" s="471">
        <f>GD67+GG67+GJ67+HF67+Tableau6[[#This Row],[PRÊT CREDIT D''IMPOT (PM)]]</f>
        <v>3348225</v>
      </c>
      <c r="GC67" s="644">
        <f t="shared" si="240"/>
        <v>3348225</v>
      </c>
      <c r="GD67" s="507">
        <f t="shared" si="219"/>
        <v>432000</v>
      </c>
      <c r="GE67" s="20">
        <f t="shared" si="211"/>
        <v>2538.495655733976</v>
      </c>
      <c r="GF67" s="20">
        <f t="shared" si="212"/>
        <v>186012.5</v>
      </c>
      <c r="GG67" s="507">
        <v>736924</v>
      </c>
      <c r="GH67" s="351"/>
      <c r="GI67" s="20">
        <f t="shared" si="225"/>
        <v>40940.222222222219</v>
      </c>
      <c r="GJ67" s="507">
        <f t="shared" si="213"/>
        <v>2179301</v>
      </c>
      <c r="GK67" s="5">
        <f t="shared" si="245"/>
        <v>1490303</v>
      </c>
      <c r="GL67" s="44">
        <v>341701</v>
      </c>
      <c r="GM67" s="44">
        <v>1148602</v>
      </c>
      <c r="GN67" s="345">
        <f t="shared" si="214"/>
        <v>82794.611111111109</v>
      </c>
      <c r="GO67" s="35"/>
      <c r="GP67" s="35">
        <v>432000</v>
      </c>
      <c r="GQ67" s="35"/>
      <c r="GR67" s="18">
        <f t="shared" si="215"/>
        <v>0.12902358712452119</v>
      </c>
      <c r="GS67" s="35">
        <v>688998</v>
      </c>
      <c r="GT67" s="35"/>
      <c r="GU67" s="35">
        <v>0</v>
      </c>
      <c r="GV67" s="20">
        <f t="shared" si="248"/>
        <v>24000</v>
      </c>
      <c r="GW67" s="20">
        <f t="shared" si="249"/>
        <v>64940.222222222219</v>
      </c>
      <c r="GX67" s="569">
        <v>0</v>
      </c>
      <c r="GY67" s="569">
        <v>0</v>
      </c>
      <c r="GZ67" s="567" t="e">
        <f>(#REF!+#REF!+GY67)/AD67</f>
        <v>#REF!</v>
      </c>
      <c r="HA67" s="569">
        <v>0</v>
      </c>
      <c r="HB67" s="567">
        <f t="shared" si="250"/>
        <v>64940.222222222219</v>
      </c>
      <c r="HC67" s="568">
        <f t="shared" si="246"/>
        <v>0.34911751749061071</v>
      </c>
      <c r="HD67" s="569"/>
      <c r="HE67" s="569"/>
      <c r="HF67" s="507">
        <v>0</v>
      </c>
      <c r="HG67" s="633"/>
      <c r="HH67" s="634">
        <f t="shared" si="216"/>
        <v>0</v>
      </c>
      <c r="HI67" s="635">
        <f t="shared" si="251"/>
        <v>3348225</v>
      </c>
      <c r="HJ67" s="633" t="e">
        <f t="shared" ca="1" si="221"/>
        <v>#VALUE!</v>
      </c>
      <c r="HK67" s="633"/>
      <c r="HL67" s="633"/>
      <c r="HM67" s="633">
        <f t="shared" si="217"/>
        <v>432000</v>
      </c>
      <c r="HN67" s="636">
        <f t="shared" si="218"/>
        <v>0</v>
      </c>
      <c r="HO67" s="636"/>
      <c r="HP67" s="563">
        <v>297216.28000000003</v>
      </c>
      <c r="HQ67" s="47">
        <v>265365</v>
      </c>
      <c r="HR67" s="563">
        <v>311140.07999999996</v>
      </c>
      <c r="HS67" s="563">
        <f>SUM(Tableau6[[#This Row],[GO]:[CARRELAGE]])</f>
        <v>1966276.76</v>
      </c>
      <c r="HT67" s="461">
        <v>923493.08000000007</v>
      </c>
      <c r="HU67" s="461">
        <v>362055.67000000004</v>
      </c>
      <c r="HV67" s="461"/>
      <c r="HW67" s="461">
        <v>403078</v>
      </c>
      <c r="HX67" s="461"/>
      <c r="HY67" s="461"/>
      <c r="HZ67" s="461"/>
      <c r="IA67" s="461"/>
      <c r="IB67" s="461"/>
      <c r="IC67" s="461"/>
      <c r="ID67" s="461"/>
      <c r="IE67" s="461"/>
      <c r="IF67" s="461">
        <v>277650.01</v>
      </c>
      <c r="IG67" s="563"/>
      <c r="IH67" s="563"/>
      <c r="II67" s="563">
        <f>HP67+HR67+Tableau6[[#This Row],[TRAVAUX BATIS]]+Tableau6[[#This Row],[HONORAIRES]]+IH67</f>
        <v>2574633.12</v>
      </c>
      <c r="IJ67" s="654">
        <f>Tableau6[[#This Row],[TOTAL PRP HT]]-Tableau6[[#This Row],[PRP TTC HORS FRAFU]]/1.021</f>
        <v>-704725.35208619013</v>
      </c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</row>
    <row r="68" spans="1:256" ht="75.75" customHeight="1">
      <c r="A68" s="360" t="s">
        <v>242</v>
      </c>
      <c r="B68" s="22" t="s">
        <v>33</v>
      </c>
      <c r="C68" s="22" t="s">
        <v>87</v>
      </c>
      <c r="D68" s="22">
        <v>2013</v>
      </c>
      <c r="E68" s="22" t="s">
        <v>34</v>
      </c>
      <c r="F68" s="57"/>
      <c r="G68" s="57"/>
      <c r="H68" s="22" t="s">
        <v>133</v>
      </c>
      <c r="I68" s="22"/>
      <c r="J68" s="22"/>
      <c r="K68" s="134"/>
      <c r="L68" s="81" t="s">
        <v>43</v>
      </c>
      <c r="M68" s="82"/>
      <c r="N68" s="83"/>
      <c r="O68" s="103">
        <v>20161</v>
      </c>
      <c r="P68" s="103">
        <v>1550000</v>
      </c>
      <c r="Q68" s="103">
        <v>1105335</v>
      </c>
      <c r="R68" s="103">
        <f>P68/(110)</f>
        <v>14090.90909090909</v>
      </c>
      <c r="S68" s="103">
        <f>P68/O68</f>
        <v>76.88110708794207</v>
      </c>
      <c r="T68" s="103">
        <f>Q68/O68</f>
        <v>54.825405485838999</v>
      </c>
      <c r="U68" s="103">
        <f>Q68/(AK68+AK207)</f>
        <v>392.66733926833251</v>
      </c>
      <c r="V68" s="103">
        <f>Q68/(110)</f>
        <v>10048.5</v>
      </c>
      <c r="W68" s="103">
        <f>O68/(AD68+AD209)</f>
        <v>746.7037037037037</v>
      </c>
      <c r="X68" s="104"/>
      <c r="Y68" s="444">
        <f t="shared" si="188"/>
        <v>13.392192847577006</v>
      </c>
      <c r="Z68" s="104" t="s">
        <v>150</v>
      </c>
      <c r="AA68" s="104">
        <v>460</v>
      </c>
      <c r="AB68" s="105"/>
      <c r="AC68" s="22" t="s">
        <v>9</v>
      </c>
      <c r="AD68" s="426">
        <f t="shared" si="189"/>
        <v>27</v>
      </c>
      <c r="AE68" s="426">
        <f t="shared" si="190"/>
        <v>27</v>
      </c>
      <c r="AF68" s="22">
        <v>27</v>
      </c>
      <c r="AG68" s="32"/>
      <c r="AH68" s="32"/>
      <c r="AI68" s="32"/>
      <c r="AJ68" s="614">
        <v>2659.3199999999997</v>
      </c>
      <c r="AK68" s="222">
        <v>2814.94</v>
      </c>
      <c r="AL68" s="492">
        <f t="shared" si="191"/>
        <v>98.493333333333325</v>
      </c>
      <c r="AM68" s="4">
        <f t="shared" si="192"/>
        <v>104.25703703703704</v>
      </c>
      <c r="AN68" s="26">
        <v>6.39</v>
      </c>
      <c r="AO68" s="26">
        <v>6.03</v>
      </c>
      <c r="AP68" s="26">
        <v>629.1</v>
      </c>
      <c r="AQ68" s="39">
        <v>0</v>
      </c>
      <c r="AR68" s="39">
        <v>0</v>
      </c>
      <c r="AS68" s="39">
        <v>0</v>
      </c>
      <c r="AT68" s="39">
        <f>19/AF68</f>
        <v>0.70370370370370372</v>
      </c>
      <c r="AU68" s="39">
        <f>8/AF68</f>
        <v>0.29629629629629628</v>
      </c>
      <c r="AV68" s="26">
        <v>12480</v>
      </c>
      <c r="AW68" s="37"/>
      <c r="AX68" s="39">
        <f t="shared" si="242"/>
        <v>0</v>
      </c>
      <c r="AY68" s="26">
        <v>3.5</v>
      </c>
      <c r="AZ68" s="25" t="s">
        <v>386</v>
      </c>
      <c r="BA68" s="22" t="s">
        <v>94</v>
      </c>
      <c r="BB68" s="22"/>
      <c r="BC68" s="22"/>
      <c r="BD68" s="22"/>
      <c r="BE68" s="22"/>
      <c r="BF68" s="56">
        <v>41170</v>
      </c>
      <c r="BG68" s="56"/>
      <c r="BH68" s="56">
        <v>41348</v>
      </c>
      <c r="BI68" s="56"/>
      <c r="BJ68" s="548">
        <v>41363</v>
      </c>
      <c r="BK68" s="548">
        <v>41493</v>
      </c>
      <c r="BL68" s="549"/>
      <c r="BM68" s="547">
        <f t="shared" si="193"/>
        <v>4.333333333333333</v>
      </c>
      <c r="BN68" s="490"/>
      <c r="BO68" s="77">
        <v>42163</v>
      </c>
      <c r="BP68" s="99">
        <v>42171</v>
      </c>
      <c r="BQ68" s="536">
        <f t="shared" si="247"/>
        <v>0.26666666666666666</v>
      </c>
      <c r="BR68" s="100"/>
      <c r="BS68" s="77">
        <v>42263</v>
      </c>
      <c r="BT68" s="77">
        <v>42192</v>
      </c>
      <c r="BU68" s="151">
        <v>42278</v>
      </c>
      <c r="BV68" s="150">
        <f t="shared" si="194"/>
        <v>43374</v>
      </c>
      <c r="BW68" s="373"/>
      <c r="BX68" s="150" t="str">
        <f>IF(Tableau6[[#This Row],[Montant des loyers perçus avant 1e échéance]]&lt;BW68,"oui","non")</f>
        <v>non</v>
      </c>
      <c r="BY68" s="475">
        <f t="shared" si="237"/>
        <v>10.199999999999999</v>
      </c>
      <c r="BZ68" s="373">
        <f t="shared" si="238"/>
        <v>178490.96422896392</v>
      </c>
      <c r="CA68" s="373">
        <f>IF(BW68-BZ68&lt;0,0,Tableau6[[#This Row],[Montant échéance annuelle]]-Tableau6[[#This Row],[Montant des loyers perçus avant 1e échéance]])</f>
        <v>0</v>
      </c>
      <c r="CB68" s="64"/>
      <c r="CC68" s="57"/>
      <c r="CD68" s="57"/>
      <c r="CE68" s="273" t="str">
        <f t="shared" si="184"/>
        <v>0</v>
      </c>
      <c r="CF68" s="64"/>
      <c r="CG68" s="64"/>
      <c r="CH68" s="273" t="str">
        <f t="shared" si="185"/>
        <v>0</v>
      </c>
      <c r="CI68" s="66"/>
      <c r="CJ68" s="64"/>
      <c r="CK68" s="273" t="str">
        <f t="shared" si="186"/>
        <v>0</v>
      </c>
      <c r="CL68" s="66"/>
      <c r="CM68" s="64"/>
      <c r="CN68" s="273" t="str">
        <f t="shared" si="187"/>
        <v>0</v>
      </c>
      <c r="CO68" s="66"/>
      <c r="CP68" s="311"/>
      <c r="CQ68" s="273" t="str">
        <f t="shared" si="195"/>
        <v>0</v>
      </c>
      <c r="CR68" s="239"/>
      <c r="CS68" s="117"/>
      <c r="CT68" s="64"/>
      <c r="CU68" s="117"/>
      <c r="CV68" s="273" t="str">
        <f t="shared" si="230"/>
        <v>0</v>
      </c>
      <c r="CW68" s="64"/>
      <c r="CX68" s="181">
        <v>42139</v>
      </c>
      <c r="CY68" s="177">
        <v>2015</v>
      </c>
      <c r="CZ68" s="233">
        <f t="shared" si="243"/>
        <v>21.533333333333335</v>
      </c>
      <c r="DA68" s="273" t="str">
        <f t="shared" si="197"/>
        <v>0</v>
      </c>
      <c r="DB68" s="126">
        <v>24</v>
      </c>
      <c r="DC68" s="59">
        <f t="shared" si="198"/>
        <v>30</v>
      </c>
      <c r="DD68" s="64"/>
      <c r="DE68" s="117"/>
      <c r="DF68" s="273" t="str">
        <f t="shared" si="199"/>
        <v>0</v>
      </c>
      <c r="DG68" s="64"/>
      <c r="DH68" s="309"/>
      <c r="DI68" s="276" t="str">
        <f t="shared" si="200"/>
        <v>0</v>
      </c>
      <c r="DJ68" s="66"/>
      <c r="DK68" s="336"/>
      <c r="DL68" s="273" t="str">
        <f t="shared" si="201"/>
        <v>0</v>
      </c>
      <c r="DM68" s="117"/>
      <c r="DN68" s="64"/>
      <c r="DO68" s="273" t="str">
        <f t="shared" si="202"/>
        <v>0</v>
      </c>
      <c r="DP68" s="57"/>
      <c r="DQ68" s="57"/>
      <c r="DR68" s="273" t="str">
        <f t="shared" si="203"/>
        <v>0</v>
      </c>
      <c r="DS68" s="57"/>
      <c r="DT68" s="57"/>
      <c r="DU68" s="273" t="str">
        <f t="shared" si="204"/>
        <v>0</v>
      </c>
      <c r="DV68" s="56"/>
      <c r="DW68" s="57"/>
      <c r="DX68" s="273" t="str">
        <f t="shared" si="205"/>
        <v>0</v>
      </c>
      <c r="DY68" s="57"/>
      <c r="DZ68" s="57"/>
      <c r="EA68" s="57"/>
      <c r="EB68" s="240">
        <f t="shared" si="206"/>
        <v>42870</v>
      </c>
      <c r="EC68" s="183">
        <v>43059</v>
      </c>
      <c r="ED68" s="401">
        <f t="shared" si="207"/>
        <v>6.3</v>
      </c>
      <c r="EE68" s="762"/>
      <c r="EF68" s="792"/>
      <c r="EG68" s="796">
        <v>43075</v>
      </c>
      <c r="EH68" s="58">
        <v>42712</v>
      </c>
      <c r="EI68" s="799">
        <v>43066</v>
      </c>
      <c r="EJ68" s="411"/>
      <c r="EK68" s="455">
        <f t="shared" si="220"/>
        <v>42901</v>
      </c>
      <c r="EL68" s="328">
        <v>43068</v>
      </c>
      <c r="EM68" s="177">
        <v>2017</v>
      </c>
      <c r="EN68" s="397">
        <f t="shared" si="239"/>
        <v>5.5666666666666664</v>
      </c>
      <c r="EO68" s="388">
        <f>209989.369681134/12</f>
        <v>17499.114140094502</v>
      </c>
      <c r="EP68" s="158">
        <f t="shared" si="208"/>
        <v>97411.735379859383</v>
      </c>
      <c r="EQ68" s="159">
        <v>42978</v>
      </c>
      <c r="ER68" s="159"/>
      <c r="ES68" s="133"/>
      <c r="ET68" s="296">
        <v>0</v>
      </c>
      <c r="EU68" s="296">
        <v>0</v>
      </c>
      <c r="EV68" s="300"/>
      <c r="EW68" s="300"/>
      <c r="EX68" s="300">
        <f>698989*1.021</f>
        <v>713667.76899999997</v>
      </c>
      <c r="EY68" s="416">
        <f>EX68/(GB68+GB69)</f>
        <v>3.5211755245914557E-2</v>
      </c>
      <c r="EZ68" s="297"/>
      <c r="FA68" s="308"/>
      <c r="FB68" s="297"/>
      <c r="FC68" s="297"/>
      <c r="FD68" s="89">
        <f t="shared" si="241"/>
        <v>731</v>
      </c>
      <c r="FE68" s="63"/>
      <c r="FF68" s="63">
        <v>43164</v>
      </c>
      <c r="FG68" s="63"/>
      <c r="FH68" s="63"/>
      <c r="FI68" s="64">
        <v>44195</v>
      </c>
      <c r="FJ68" s="558"/>
      <c r="FK68" s="159">
        <f t="shared" si="252"/>
        <v>43424</v>
      </c>
      <c r="FL68" s="159"/>
      <c r="FM68" s="376">
        <v>52707</v>
      </c>
      <c r="FN68" s="63"/>
      <c r="FO68" s="63"/>
      <c r="FP68" s="63"/>
      <c r="FQ68" s="63"/>
      <c r="FR68" s="63"/>
      <c r="FS68" s="63"/>
      <c r="FT68" s="22"/>
      <c r="FU68" s="22" t="s">
        <v>556</v>
      </c>
      <c r="FV68" s="89"/>
      <c r="FW68" s="359">
        <v>43160</v>
      </c>
      <c r="FX68" s="22"/>
      <c r="FY68" s="22"/>
      <c r="FZ68" s="22"/>
      <c r="GA68" s="332">
        <v>5545807</v>
      </c>
      <c r="GB68" s="471">
        <f>GD68+GG68+GJ68+HF68+Tableau6[[#This Row],[PRÊT CREDIT D''IMPOT (PM)]]</f>
        <v>5488129.9500000002</v>
      </c>
      <c r="GC68" s="644">
        <f t="shared" si="240"/>
        <v>5488129.9500000002</v>
      </c>
      <c r="GD68" s="507">
        <f t="shared" si="219"/>
        <v>1</v>
      </c>
      <c r="GE68" s="20">
        <f t="shared" si="211"/>
        <v>1949.6436691368201</v>
      </c>
      <c r="GF68" s="20">
        <f t="shared" si="212"/>
        <v>203264.07222222222</v>
      </c>
      <c r="GG68" s="507">
        <v>1916369</v>
      </c>
      <c r="GH68" s="351"/>
      <c r="GI68" s="20">
        <f t="shared" si="225"/>
        <v>70976.629629629635</v>
      </c>
      <c r="GJ68" s="507">
        <f t="shared" si="213"/>
        <v>3571759.95</v>
      </c>
      <c r="GK68" s="5">
        <f t="shared" si="245"/>
        <v>3571759.95</v>
      </c>
      <c r="GL68" s="44">
        <v>595108</v>
      </c>
      <c r="GM68" s="44">
        <v>2976651.95</v>
      </c>
      <c r="GN68" s="345">
        <f t="shared" si="214"/>
        <v>132287.40555555557</v>
      </c>
      <c r="GO68" s="35"/>
      <c r="GP68" s="35">
        <v>1</v>
      </c>
      <c r="GQ68" s="35"/>
      <c r="GR68" s="18">
        <f t="shared" si="215"/>
        <v>1.8221142886749611E-7</v>
      </c>
      <c r="GS68" s="35"/>
      <c r="GT68" s="35"/>
      <c r="GU68" s="35">
        <v>0</v>
      </c>
      <c r="GV68" s="20">
        <f t="shared" si="248"/>
        <v>3.7037037037037035E-2</v>
      </c>
      <c r="GW68" s="20">
        <f t="shared" si="249"/>
        <v>70976.666666666672</v>
      </c>
      <c r="GX68" s="569">
        <v>1015690.2065916295</v>
      </c>
      <c r="GY68" s="569">
        <v>540000</v>
      </c>
      <c r="GZ68" s="567">
        <f>(GG68+GP68+GY68)/AD68</f>
        <v>90976.666666666672</v>
      </c>
      <c r="HA68" s="569">
        <v>0</v>
      </c>
      <c r="HB68" s="567">
        <f t="shared" si="250"/>
        <v>90976.666666666672</v>
      </c>
      <c r="HC68" s="568">
        <f t="shared" si="246"/>
        <v>0.39970846321114534</v>
      </c>
      <c r="HD68" s="569">
        <v>358416.12820000004</v>
      </c>
      <c r="HE68" s="569"/>
      <c r="HF68" s="507">
        <v>0</v>
      </c>
      <c r="HG68" s="633"/>
      <c r="HH68" s="634">
        <f t="shared" si="216"/>
        <v>0</v>
      </c>
      <c r="HI68" s="635">
        <f t="shared" si="251"/>
        <v>5488129.9500000002</v>
      </c>
      <c r="HJ68" s="633" t="e">
        <f t="shared" ca="1" si="221"/>
        <v>#VALUE!</v>
      </c>
      <c r="HK68" s="633"/>
      <c r="HL68" s="633"/>
      <c r="HM68" s="633">
        <f t="shared" si="217"/>
        <v>1</v>
      </c>
      <c r="HN68" s="636">
        <f t="shared" si="218"/>
        <v>0</v>
      </c>
      <c r="HO68" s="636"/>
      <c r="HP68" s="563"/>
      <c r="HQ68" s="47"/>
      <c r="HR68" s="563"/>
      <c r="HS68" s="563">
        <f>SUM(Tableau6[[#This Row],[GO]:[CARRELAGE]])</f>
        <v>0</v>
      </c>
      <c r="HT68" s="461"/>
      <c r="HU68" s="461"/>
      <c r="HV68" s="461"/>
      <c r="HW68" s="461"/>
      <c r="HX68" s="461"/>
      <c r="HY68" s="461"/>
      <c r="HZ68" s="461"/>
      <c r="IA68" s="461"/>
      <c r="IB68" s="461"/>
      <c r="IC68" s="461"/>
      <c r="ID68" s="461"/>
      <c r="IE68" s="461"/>
      <c r="IF68" s="461"/>
      <c r="IG68" s="563"/>
      <c r="IH68" s="563"/>
      <c r="II68" s="563">
        <f>HP68+HR68+Tableau6[[#This Row],[TRAVAUX BATIS]]+Tableau6[[#This Row],[HONORAIRES]]+IH68</f>
        <v>0</v>
      </c>
      <c r="IJ68" s="654">
        <f>Tableau6[[#This Row],[TOTAL PRP HT]]-Tableau6[[#This Row],[PRP TTC HORS FRAFU]]/1.021</f>
        <v>-5375249.706170422</v>
      </c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</row>
    <row r="69" spans="1:256" ht="51.75" customHeight="1">
      <c r="A69" s="360" t="s">
        <v>241</v>
      </c>
      <c r="B69" s="22" t="s">
        <v>33</v>
      </c>
      <c r="C69" s="22" t="s">
        <v>87</v>
      </c>
      <c r="D69" s="22">
        <v>2013</v>
      </c>
      <c r="E69" s="22" t="s">
        <v>34</v>
      </c>
      <c r="F69" s="22" t="s">
        <v>113</v>
      </c>
      <c r="G69" s="22" t="s">
        <v>137</v>
      </c>
      <c r="H69" s="22" t="s">
        <v>646</v>
      </c>
      <c r="I69" s="22"/>
      <c r="J69" s="22"/>
      <c r="K69" s="134"/>
      <c r="L69" s="81" t="s">
        <v>43</v>
      </c>
      <c r="M69" s="82"/>
      <c r="N69" s="83"/>
      <c r="O69" s="33"/>
      <c r="P69" s="33"/>
      <c r="Q69" s="33"/>
      <c r="R69" s="33"/>
      <c r="S69" s="33"/>
      <c r="T69" s="33"/>
      <c r="U69" s="33"/>
      <c r="V69" s="33"/>
      <c r="W69" s="33"/>
      <c r="X69" s="32"/>
      <c r="Y69" s="32" t="e">
        <f t="shared" si="188"/>
        <v>#DIV/0!</v>
      </c>
      <c r="Z69" s="32"/>
      <c r="AA69" s="32"/>
      <c r="AB69" s="54"/>
      <c r="AC69" s="22" t="s">
        <v>10</v>
      </c>
      <c r="AD69" s="426">
        <f t="shared" si="189"/>
        <v>83</v>
      </c>
      <c r="AE69" s="426">
        <f t="shared" si="190"/>
        <v>83</v>
      </c>
      <c r="AF69" s="32"/>
      <c r="AG69" s="22">
        <v>83</v>
      </c>
      <c r="AH69" s="32"/>
      <c r="AI69" s="32"/>
      <c r="AJ69" s="615">
        <v>6330.16</v>
      </c>
      <c r="AK69" s="222">
        <v>7367.66</v>
      </c>
      <c r="AL69" s="492">
        <f t="shared" si="191"/>
        <v>76.266987951807224</v>
      </c>
      <c r="AM69" s="4">
        <f t="shared" si="192"/>
        <v>88.766987951807224</v>
      </c>
      <c r="AN69" s="26">
        <v>5.84</v>
      </c>
      <c r="AO69" s="26">
        <v>5.0199999999999996</v>
      </c>
      <c r="AP69" s="26">
        <v>445.64</v>
      </c>
      <c r="AQ69" s="39">
        <v>0</v>
      </c>
      <c r="AR69" s="39">
        <f>10/AG69</f>
        <v>0.12048192771084337</v>
      </c>
      <c r="AS69" s="39">
        <f>42/AG69</f>
        <v>0.50602409638554213</v>
      </c>
      <c r="AT69" s="39">
        <f>28/AG69</f>
        <v>0.33734939759036142</v>
      </c>
      <c r="AU69" s="39">
        <f>3/AG69</f>
        <v>3.614457831325301E-2</v>
      </c>
      <c r="AV69" s="26"/>
      <c r="AW69" s="37"/>
      <c r="AX69" s="39" t="e">
        <f t="shared" si="242"/>
        <v>#DIV/0!</v>
      </c>
      <c r="AY69" s="26">
        <v>3.5</v>
      </c>
      <c r="AZ69" s="25" t="s">
        <v>386</v>
      </c>
      <c r="BA69" s="22" t="s">
        <v>94</v>
      </c>
      <c r="BB69" s="22"/>
      <c r="BC69" s="22"/>
      <c r="BD69" s="22"/>
      <c r="BE69" s="22"/>
      <c r="BF69" s="56">
        <v>41170</v>
      </c>
      <c r="BG69" s="56"/>
      <c r="BH69" s="56">
        <v>41348</v>
      </c>
      <c r="BI69" s="56"/>
      <c r="BJ69" s="548">
        <v>41363</v>
      </c>
      <c r="BK69" s="548">
        <v>41463</v>
      </c>
      <c r="BL69" s="549"/>
      <c r="BM69" s="547">
        <f t="shared" si="193"/>
        <v>3.3333333333333335</v>
      </c>
      <c r="BN69" s="490"/>
      <c r="BO69" s="77">
        <v>42163</v>
      </c>
      <c r="BP69" s="99">
        <v>42171</v>
      </c>
      <c r="BQ69" s="536">
        <f t="shared" si="247"/>
        <v>0.26666666666666666</v>
      </c>
      <c r="BR69" s="100"/>
      <c r="BS69" s="77">
        <v>42263</v>
      </c>
      <c r="BT69" s="77">
        <v>42192</v>
      </c>
      <c r="BU69" s="151">
        <v>42278</v>
      </c>
      <c r="BV69" s="150">
        <f t="shared" si="194"/>
        <v>43374</v>
      </c>
      <c r="BW69" s="373"/>
      <c r="BX69" s="150" t="str">
        <f>IF(Tableau6[[#This Row],[Montant des loyers perçus avant 1e échéance]]&lt;BW69,"oui","non")</f>
        <v>non</v>
      </c>
      <c r="BY69" s="475">
        <f t="shared" si="237"/>
        <v>10.199999999999999</v>
      </c>
      <c r="BZ69" s="373">
        <f t="shared" si="238"/>
        <v>388685.02515863633</v>
      </c>
      <c r="CA69" s="373">
        <f>IF(BW69-BZ69&lt;0,0,Tableau6[[#This Row],[Montant échéance annuelle]]-Tableau6[[#This Row],[Montant des loyers perçus avant 1e échéance]])</f>
        <v>0</v>
      </c>
      <c r="CB69" s="64"/>
      <c r="CC69" s="57"/>
      <c r="CD69" s="57"/>
      <c r="CE69" s="273" t="str">
        <f t="shared" ref="CE69:CE100" si="253">IF(AND(CC69&gt;0,CD69&gt;0),CD69-CC69,"0")</f>
        <v>0</v>
      </c>
      <c r="CF69" s="64"/>
      <c r="CG69" s="64"/>
      <c r="CH69" s="273" t="str">
        <f t="shared" ref="CH69:CH100" si="254">IF(AND(CF69&gt;0,CG69&gt;0),CG69-CF69,"0")</f>
        <v>0</v>
      </c>
      <c r="CI69" s="66"/>
      <c r="CJ69" s="64"/>
      <c r="CK69" s="273" t="str">
        <f t="shared" ref="CK69:CK100" si="255">IF(AND(CI69&gt;0,CJ69&gt;0),CJ69-CI69,"0")</f>
        <v>0</v>
      </c>
      <c r="CL69" s="66"/>
      <c r="CM69" s="64"/>
      <c r="CN69" s="273" t="str">
        <f t="shared" ref="CN69:CN100" si="256">IF(AND(CL69&gt;0,CM69&gt;0),CM69-CL69,"0")</f>
        <v>0</v>
      </c>
      <c r="CO69" s="66"/>
      <c r="CP69" s="311"/>
      <c r="CQ69" s="273" t="str">
        <f t="shared" si="195"/>
        <v>0</v>
      </c>
      <c r="CR69" s="239"/>
      <c r="CS69" s="117"/>
      <c r="CT69" s="64"/>
      <c r="CU69" s="117"/>
      <c r="CV69" s="273" t="str">
        <f t="shared" si="230"/>
        <v>0</v>
      </c>
      <c r="CW69" s="64"/>
      <c r="CX69" s="181">
        <v>42139</v>
      </c>
      <c r="CY69" s="177">
        <v>2015</v>
      </c>
      <c r="CZ69" s="233">
        <f t="shared" si="243"/>
        <v>22.533333333333335</v>
      </c>
      <c r="DA69" s="273" t="str">
        <f t="shared" si="197"/>
        <v>0</v>
      </c>
      <c r="DB69" s="129">
        <v>24</v>
      </c>
      <c r="DC69" s="59">
        <f t="shared" si="198"/>
        <v>30</v>
      </c>
      <c r="DD69" s="64"/>
      <c r="DE69" s="117"/>
      <c r="DF69" s="273" t="str">
        <f t="shared" si="199"/>
        <v>0</v>
      </c>
      <c r="DG69" s="64"/>
      <c r="DH69" s="309"/>
      <c r="DI69" s="276" t="str">
        <f t="shared" si="200"/>
        <v>0</v>
      </c>
      <c r="DJ69" s="66"/>
      <c r="DK69" s="336"/>
      <c r="DL69" s="273" t="str">
        <f t="shared" si="201"/>
        <v>0</v>
      </c>
      <c r="DM69" s="117"/>
      <c r="DN69" s="64"/>
      <c r="DO69" s="273" t="str">
        <f t="shared" si="202"/>
        <v>0</v>
      </c>
      <c r="DP69" s="57"/>
      <c r="DQ69" s="57"/>
      <c r="DR69" s="273" t="str">
        <f t="shared" si="203"/>
        <v>0</v>
      </c>
      <c r="DS69" s="57"/>
      <c r="DT69" s="57"/>
      <c r="DU69" s="273" t="str">
        <f t="shared" si="204"/>
        <v>0</v>
      </c>
      <c r="DV69" s="57"/>
      <c r="DW69" s="57"/>
      <c r="DX69" s="273" t="str">
        <f t="shared" si="205"/>
        <v>0</v>
      </c>
      <c r="DY69" s="57"/>
      <c r="DZ69" s="57"/>
      <c r="EA69" s="57"/>
      <c r="EB69" s="240">
        <f t="shared" si="206"/>
        <v>42870</v>
      </c>
      <c r="EC69" s="183">
        <v>43059</v>
      </c>
      <c r="ED69" s="401">
        <f t="shared" si="207"/>
        <v>6.3</v>
      </c>
      <c r="EE69" s="762"/>
      <c r="EF69" s="792"/>
      <c r="EG69" s="796">
        <v>43075</v>
      </c>
      <c r="EH69" s="58">
        <v>42712</v>
      </c>
      <c r="EI69" s="799">
        <v>43066</v>
      </c>
      <c r="EJ69" s="411"/>
      <c r="EK69" s="455">
        <f t="shared" si="220"/>
        <v>42901</v>
      </c>
      <c r="EL69" s="328">
        <v>43068</v>
      </c>
      <c r="EM69" s="177">
        <v>2017</v>
      </c>
      <c r="EN69" s="397">
        <f t="shared" si="239"/>
        <v>5.5666666666666664</v>
      </c>
      <c r="EO69" s="388">
        <f>457276.500186631/12</f>
        <v>38106.375015552585</v>
      </c>
      <c r="EP69" s="158">
        <f t="shared" si="208"/>
        <v>212125.48758657606</v>
      </c>
      <c r="EQ69" s="159">
        <v>42978</v>
      </c>
      <c r="ER69" s="159"/>
      <c r="ES69" s="133"/>
      <c r="ET69" s="296">
        <v>0</v>
      </c>
      <c r="EU69" s="57">
        <v>0</v>
      </c>
      <c r="EV69" s="117"/>
      <c r="EW69" s="117"/>
      <c r="EX69" s="117"/>
      <c r="EY69" s="417"/>
      <c r="EZ69" s="297"/>
      <c r="FA69" s="308"/>
      <c r="FB69" s="297"/>
      <c r="FC69" s="297"/>
      <c r="FD69" s="89">
        <f t="shared" si="241"/>
        <v>731</v>
      </c>
      <c r="FE69" s="63"/>
      <c r="FF69" s="63">
        <v>43164</v>
      </c>
      <c r="FG69" s="63"/>
      <c r="FH69" s="63"/>
      <c r="FI69" s="64">
        <v>44195</v>
      </c>
      <c r="FJ69" s="557" t="s">
        <v>780</v>
      </c>
      <c r="FK69" s="159">
        <f t="shared" si="252"/>
        <v>43424</v>
      </c>
      <c r="FL69" s="159"/>
      <c r="FM69" s="376">
        <v>137952</v>
      </c>
      <c r="FN69" s="63"/>
      <c r="FO69" s="63"/>
      <c r="FP69" s="63"/>
      <c r="FQ69" s="63"/>
      <c r="FR69" s="63"/>
      <c r="FS69" s="63"/>
      <c r="FT69" s="22"/>
      <c r="FU69" s="22"/>
      <c r="FV69" s="89"/>
      <c r="FW69" s="359">
        <v>43160</v>
      </c>
      <c r="FX69" s="22"/>
      <c r="FY69" s="22"/>
      <c r="FZ69" s="22"/>
      <c r="GA69" s="332">
        <v>14323815</v>
      </c>
      <c r="GB69" s="471">
        <f>GD69+GG69+GJ69+HF69+Tableau6[[#This Row],[PRÊT CREDIT D''IMPOT (PM)]]</f>
        <v>14779754</v>
      </c>
      <c r="GC69" s="644">
        <f t="shared" si="240"/>
        <v>14779754</v>
      </c>
      <c r="GD69" s="507">
        <f t="shared" si="219"/>
        <v>2075000</v>
      </c>
      <c r="GE69" s="20">
        <f t="shared" si="211"/>
        <v>2006.0309514825603</v>
      </c>
      <c r="GF69" s="20">
        <f t="shared" si="212"/>
        <v>178069.32530120481</v>
      </c>
      <c r="GG69" s="507">
        <v>4422509</v>
      </c>
      <c r="GH69" s="351"/>
      <c r="GI69" s="20">
        <f t="shared" si="225"/>
        <v>53283.240963855424</v>
      </c>
      <c r="GJ69" s="507">
        <f t="shared" si="213"/>
        <v>8282245</v>
      </c>
      <c r="GK69" s="5">
        <f t="shared" si="245"/>
        <v>8282245</v>
      </c>
      <c r="GL69" s="44">
        <v>1278025</v>
      </c>
      <c r="GM69" s="44">
        <v>7004220</v>
      </c>
      <c r="GN69" s="345">
        <f t="shared" si="214"/>
        <v>99786.084337349399</v>
      </c>
      <c r="GO69" s="35"/>
      <c r="GP69" s="35">
        <v>1245000</v>
      </c>
      <c r="GQ69" s="35">
        <v>415000</v>
      </c>
      <c r="GR69" s="18">
        <f t="shared" si="215"/>
        <v>8.423685536308656E-2</v>
      </c>
      <c r="GS69" s="35"/>
      <c r="GT69" s="35"/>
      <c r="GU69" s="35">
        <v>415000</v>
      </c>
      <c r="GV69" s="20">
        <f t="shared" si="248"/>
        <v>15000</v>
      </c>
      <c r="GW69" s="20">
        <f t="shared" si="249"/>
        <v>68283.240963855424</v>
      </c>
      <c r="GX69" s="569">
        <v>2467086.73961312</v>
      </c>
      <c r="GY69" s="569">
        <v>1660000</v>
      </c>
      <c r="GZ69" s="567">
        <f>(GG69+GP69+GY69)/AD69</f>
        <v>88283.240963855424</v>
      </c>
      <c r="HA69" s="569">
        <v>0</v>
      </c>
      <c r="HB69" s="567">
        <f t="shared" si="250"/>
        <v>88283.240963855424</v>
      </c>
      <c r="HC69" s="568">
        <f t="shared" si="246"/>
        <v>0.4447192172354415</v>
      </c>
      <c r="HD69" s="569">
        <v>770132.02990000008</v>
      </c>
      <c r="HE69" s="569"/>
      <c r="HF69" s="507">
        <v>0</v>
      </c>
      <c r="HG69" s="633"/>
      <c r="HH69" s="634">
        <f t="shared" si="216"/>
        <v>0</v>
      </c>
      <c r="HI69" s="635">
        <f t="shared" si="251"/>
        <v>14779754</v>
      </c>
      <c r="HJ69" s="633" t="e">
        <f t="shared" ca="1" si="221"/>
        <v>#VALUE!</v>
      </c>
      <c r="HK69" s="633"/>
      <c r="HL69" s="633"/>
      <c r="HM69" s="633">
        <f t="shared" si="217"/>
        <v>2075000</v>
      </c>
      <c r="HN69" s="636">
        <f t="shared" si="218"/>
        <v>0</v>
      </c>
      <c r="HO69" s="636"/>
      <c r="HP69" s="563"/>
      <c r="HQ69" s="47"/>
      <c r="HR69" s="563"/>
      <c r="HS69" s="563">
        <f>SUM(Tableau6[[#This Row],[GO]:[CARRELAGE]])</f>
        <v>0</v>
      </c>
      <c r="HT69" s="461"/>
      <c r="HU69" s="461"/>
      <c r="HV69" s="461"/>
      <c r="HW69" s="461"/>
      <c r="HX69" s="461"/>
      <c r="HY69" s="461"/>
      <c r="HZ69" s="461"/>
      <c r="IA69" s="461"/>
      <c r="IB69" s="461"/>
      <c r="IC69" s="461"/>
      <c r="ID69" s="461"/>
      <c r="IE69" s="461"/>
      <c r="IF69" s="461"/>
      <c r="IG69" s="563"/>
      <c r="IH69" s="563"/>
      <c r="II69" s="563">
        <f>HP69+HR69+Tableau6[[#This Row],[TRAVAUX BATIS]]+Tableau6[[#This Row],[HONORAIRES]]+IH69</f>
        <v>0</v>
      </c>
      <c r="IJ69" s="654">
        <f>Tableau6[[#This Row],[TOTAL PRP HT]]-Tableau6[[#This Row],[PRP TTC HORS FRAFU]]/1.021</f>
        <v>-14475762.977473067</v>
      </c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</row>
    <row r="70" spans="1:256" ht="30" customHeight="1">
      <c r="A70" s="628" t="s">
        <v>651</v>
      </c>
      <c r="B70" s="22" t="s">
        <v>76</v>
      </c>
      <c r="C70" s="22" t="s">
        <v>88</v>
      </c>
      <c r="D70" s="22">
        <v>2017</v>
      </c>
      <c r="E70" s="22" t="s">
        <v>383</v>
      </c>
      <c r="F70" s="22" t="s">
        <v>40</v>
      </c>
      <c r="G70" s="22" t="s">
        <v>329</v>
      </c>
      <c r="H70" s="22" t="s">
        <v>134</v>
      </c>
      <c r="I70" s="22"/>
      <c r="J70" s="22" t="s">
        <v>285</v>
      </c>
      <c r="K70" s="154"/>
      <c r="L70" s="81"/>
      <c r="M70" s="82"/>
      <c r="N70" s="83"/>
      <c r="O70" s="103">
        <v>4801</v>
      </c>
      <c r="P70" s="103">
        <v>473822</v>
      </c>
      <c r="Q70" s="103">
        <v>473822</v>
      </c>
      <c r="R70" s="103">
        <f>P70/AD70</f>
        <v>15794.066666666668</v>
      </c>
      <c r="S70" s="103">
        <f>P70/O70</f>
        <v>98.692355759216824</v>
      </c>
      <c r="T70" s="109">
        <f>Q70/O70</f>
        <v>98.692355759216824</v>
      </c>
      <c r="U70" s="109">
        <f>Q70/AK70</f>
        <v>277.36300788498573</v>
      </c>
      <c r="V70" s="109">
        <f>Q70/AD70</f>
        <v>15794.066666666668</v>
      </c>
      <c r="W70" s="103">
        <f>O70/AD70</f>
        <v>160.03333333333333</v>
      </c>
      <c r="X70" s="104"/>
      <c r="Y70" s="444">
        <f t="shared" si="188"/>
        <v>62.486981878775254</v>
      </c>
      <c r="Z70" s="104"/>
      <c r="AA70" s="104"/>
      <c r="AB70" s="105"/>
      <c r="AC70" s="22" t="s">
        <v>10</v>
      </c>
      <c r="AD70" s="426">
        <f t="shared" si="189"/>
        <v>30</v>
      </c>
      <c r="AE70" s="426">
        <f t="shared" si="190"/>
        <v>30</v>
      </c>
      <c r="AF70" s="32"/>
      <c r="AG70" s="22">
        <v>30</v>
      </c>
      <c r="AH70" s="32"/>
      <c r="AI70" s="32"/>
      <c r="AJ70" s="614">
        <v>1699.31</v>
      </c>
      <c r="AK70" s="222">
        <v>1708.31</v>
      </c>
      <c r="AL70" s="492">
        <f t="shared" si="191"/>
        <v>56.643666666666668</v>
      </c>
      <c r="AM70" s="4">
        <f t="shared" si="192"/>
        <v>56.943666666666665</v>
      </c>
      <c r="AN70" s="26">
        <v>5.89</v>
      </c>
      <c r="AO70" s="26">
        <v>5.86</v>
      </c>
      <c r="AP70" s="26">
        <v>333.5</v>
      </c>
      <c r="AQ70" s="39"/>
      <c r="AR70" s="39"/>
      <c r="AS70" s="39"/>
      <c r="AT70" s="39"/>
      <c r="AU70" s="39"/>
      <c r="AV70" s="26"/>
      <c r="AW70" s="37"/>
      <c r="AX70" s="39"/>
      <c r="AY70" s="26">
        <v>3</v>
      </c>
      <c r="AZ70" s="25" t="s">
        <v>386</v>
      </c>
      <c r="BA70" s="22" t="s">
        <v>95</v>
      </c>
      <c r="BB70" s="28">
        <v>3564776</v>
      </c>
      <c r="BC70" s="437">
        <f>BB70/AJ70</f>
        <v>2097.7785101011586</v>
      </c>
      <c r="BD70" s="438">
        <f>BB70/AK70</f>
        <v>2086.7266479737286</v>
      </c>
      <c r="BE70" s="334">
        <f>BB70/AD70</f>
        <v>118825.86666666667</v>
      </c>
      <c r="BF70" s="22"/>
      <c r="BG70" s="22"/>
      <c r="BH70" s="22"/>
      <c r="BI70" s="22"/>
      <c r="BJ70" s="548">
        <v>42824</v>
      </c>
      <c r="BK70" s="548">
        <v>42909</v>
      </c>
      <c r="BL70" s="549"/>
      <c r="BM70" s="547">
        <f t="shared" si="193"/>
        <v>2.8333333333333335</v>
      </c>
      <c r="BN70" s="490" t="s">
        <v>229</v>
      </c>
      <c r="BO70" s="77">
        <v>42967</v>
      </c>
      <c r="BP70" s="99">
        <v>43017</v>
      </c>
      <c r="BQ70" s="537">
        <f t="shared" si="247"/>
        <v>1.6666666666666667</v>
      </c>
      <c r="BR70" s="529">
        <v>69522</v>
      </c>
      <c r="BS70" s="77">
        <v>43014</v>
      </c>
      <c r="BT70" s="77"/>
      <c r="BU70" s="151">
        <v>43045</v>
      </c>
      <c r="BV70" s="150">
        <f t="shared" si="194"/>
        <v>44141</v>
      </c>
      <c r="BW70" s="373">
        <f>10647+79675</f>
        <v>90322</v>
      </c>
      <c r="BX70" s="150" t="str">
        <f>IF(Tableau6[[#This Row],[Montant des loyers perçus avant 1e échéance]]&lt;BW70,"oui","non")</f>
        <v>oui</v>
      </c>
      <c r="BY70" s="475">
        <f t="shared" si="237"/>
        <v>5.4</v>
      </c>
      <c r="BZ70" s="373">
        <f t="shared" si="238"/>
        <v>55663.200000000004</v>
      </c>
      <c r="CA70" s="373">
        <f>IF(BW70-BZ70&lt;0,0,Tableau6[[#This Row],[Montant échéance annuelle]]-Tableau6[[#This Row],[Montant des loyers perçus avant 1e échéance]])</f>
        <v>34658.799999999996</v>
      </c>
      <c r="CB70" s="226"/>
      <c r="CC70" s="64"/>
      <c r="CD70" s="64"/>
      <c r="CE70" s="273" t="str">
        <f t="shared" si="253"/>
        <v>0</v>
      </c>
      <c r="CF70" s="64">
        <v>42772</v>
      </c>
      <c r="CG70" s="64">
        <v>42731</v>
      </c>
      <c r="CH70" s="273">
        <f t="shared" si="254"/>
        <v>-41</v>
      </c>
      <c r="CI70" s="159"/>
      <c r="CJ70" s="159"/>
      <c r="CK70" s="273" t="str">
        <f t="shared" si="255"/>
        <v>0</v>
      </c>
      <c r="CL70" s="64"/>
      <c r="CM70" s="64"/>
      <c r="CN70" s="273" t="str">
        <f t="shared" si="256"/>
        <v>0</v>
      </c>
      <c r="CO70" s="64"/>
      <c r="CP70" s="64"/>
      <c r="CQ70" s="273" t="str">
        <f t="shared" si="195"/>
        <v>0</v>
      </c>
      <c r="CR70" s="237"/>
      <c r="CS70" s="227"/>
      <c r="CT70" s="159">
        <v>43069</v>
      </c>
      <c r="CU70" s="64">
        <v>43073</v>
      </c>
      <c r="CV70" s="273">
        <f t="shared" si="230"/>
        <v>4</v>
      </c>
      <c r="CW70" s="121">
        <v>43080</v>
      </c>
      <c r="CX70" s="229">
        <v>43101</v>
      </c>
      <c r="CY70" s="230">
        <v>2018</v>
      </c>
      <c r="CZ70" s="235">
        <f t="shared" si="243"/>
        <v>6.4</v>
      </c>
      <c r="DA70" s="273">
        <f t="shared" si="197"/>
        <v>21</v>
      </c>
      <c r="DB70" s="133">
        <v>15</v>
      </c>
      <c r="DC70" s="59">
        <f t="shared" si="198"/>
        <v>28</v>
      </c>
      <c r="DD70" s="226"/>
      <c r="DE70" s="64">
        <v>43145</v>
      </c>
      <c r="DF70" s="273" t="str">
        <f t="shared" si="199"/>
        <v>0</v>
      </c>
      <c r="DG70" s="226"/>
      <c r="DH70" s="336">
        <v>43145</v>
      </c>
      <c r="DI70" s="276" t="str">
        <f t="shared" si="200"/>
        <v>0</v>
      </c>
      <c r="DJ70" s="282">
        <v>43554</v>
      </c>
      <c r="DK70" s="629">
        <f ca="1">IF(DJ70&lt;TODAY(),TODAY(),DJ70)</f>
        <v>43998</v>
      </c>
      <c r="DL70" s="279">
        <f t="shared" ca="1" si="201"/>
        <v>444</v>
      </c>
      <c r="DM70" s="284">
        <v>43585</v>
      </c>
      <c r="DN70" s="282">
        <f ca="1">IF(DM70&lt;TODAY(),TODAY(),DM70)</f>
        <v>43998</v>
      </c>
      <c r="DO70" s="279">
        <f t="shared" ca="1" si="202"/>
        <v>413</v>
      </c>
      <c r="DP70" s="358">
        <v>43585</v>
      </c>
      <c r="DQ70" s="282">
        <f ca="1">IF(DP70&lt;TODAY(),TODAY(),DP70)</f>
        <v>43998</v>
      </c>
      <c r="DR70" s="279">
        <f t="shared" ca="1" si="203"/>
        <v>413</v>
      </c>
      <c r="DS70" s="282">
        <v>43615</v>
      </c>
      <c r="DT70" s="282">
        <f ca="1">IF(DS70&lt;TODAY(),TODAY(),DS70)</f>
        <v>43998</v>
      </c>
      <c r="DU70" s="279">
        <f t="shared" ca="1" si="204"/>
        <v>383</v>
      </c>
      <c r="DV70" s="282">
        <v>43676</v>
      </c>
      <c r="DW70" s="282">
        <f ca="1">IF(DV70&lt;TODAY(),TODAY(),DV70)</f>
        <v>43998</v>
      </c>
      <c r="DX70" s="279">
        <f t="shared" ca="1" si="205"/>
        <v>322</v>
      </c>
      <c r="DY70" s="282"/>
      <c r="DZ70" s="282"/>
      <c r="EA70" s="282"/>
      <c r="EB70" s="410">
        <f>DATE(YEAR(CX70),MONTH(CX70)+14,DAY(CX70))</f>
        <v>43525</v>
      </c>
      <c r="EC70" s="409">
        <v>43966</v>
      </c>
      <c r="ED70" s="406">
        <f t="shared" si="207"/>
        <v>14.7</v>
      </c>
      <c r="EE70" s="758">
        <f t="shared" ref="EE70:EE101" ca="1" si="257">IF(((EC70-TODAY())/30)&lt;0,0,(EC70-TODAY())/30)</f>
        <v>0</v>
      </c>
      <c r="EF70" s="409">
        <f>DATE(YEAR(DH70)+2,MONTH(DH70),DAY(DH70))</f>
        <v>43875</v>
      </c>
      <c r="EG70" s="822">
        <v>43868</v>
      </c>
      <c r="EH70" s="160">
        <v>43392</v>
      </c>
      <c r="EI70" s="764"/>
      <c r="EJ70" s="240"/>
      <c r="EK70" s="455">
        <v>43769</v>
      </c>
      <c r="EL70" s="183">
        <v>43979</v>
      </c>
      <c r="EM70" s="559">
        <v>2020</v>
      </c>
      <c r="EN70" s="404">
        <f t="shared" si="239"/>
        <v>7</v>
      </c>
      <c r="EO70" s="395">
        <v>10308</v>
      </c>
      <c r="EP70" s="29">
        <f t="shared" si="208"/>
        <v>72156</v>
      </c>
      <c r="EQ70" s="625">
        <f>EO70*3</f>
        <v>30924</v>
      </c>
      <c r="ER70" s="747"/>
      <c r="ES70" s="740">
        <f>(Tableau6[[#This Row],[Date inauguration recalée]]-ER70)/30</f>
        <v>1465.9666666666667</v>
      </c>
      <c r="ET70" s="300">
        <v>0</v>
      </c>
      <c r="EU70" s="300">
        <v>0</v>
      </c>
      <c r="EV70" s="300">
        <v>0</v>
      </c>
      <c r="EW70" s="300"/>
      <c r="EX70" s="300">
        <v>0</v>
      </c>
      <c r="EY70" s="416">
        <f t="shared" ref="EY70:EY101" si="258">EX70/GB70</f>
        <v>0</v>
      </c>
      <c r="EZ70" s="297"/>
      <c r="FA70" s="308"/>
      <c r="FB70" s="462" t="s">
        <v>895</v>
      </c>
      <c r="FC70" s="357"/>
      <c r="FD70" s="89">
        <f t="shared" si="241"/>
        <v>43875</v>
      </c>
      <c r="FE70" s="63"/>
      <c r="FF70" s="63"/>
      <c r="FG70" s="63"/>
      <c r="FH70" s="63"/>
      <c r="FI70" s="63"/>
      <c r="FJ70" s="22"/>
      <c r="FK70" s="624">
        <f t="shared" si="252"/>
        <v>44331</v>
      </c>
      <c r="FL70" s="624"/>
      <c r="FM70" s="146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451"/>
      <c r="GB70" s="471">
        <f>GD70+GG70+GJ70+HF70+Tableau6[[#This Row],[PRÊT CREDIT D''IMPOT (PM)]]</f>
        <v>5115045.67</v>
      </c>
      <c r="GC70" s="644">
        <f t="shared" si="240"/>
        <v>5115045.67</v>
      </c>
      <c r="GD70" s="507">
        <f t="shared" si="219"/>
        <v>700000</v>
      </c>
      <c r="GE70" s="20">
        <f t="shared" si="211"/>
        <v>2994.2139717030282</v>
      </c>
      <c r="GF70" s="20">
        <f t="shared" si="212"/>
        <v>170501.52233333333</v>
      </c>
      <c r="GG70" s="507">
        <v>1133134.67</v>
      </c>
      <c r="GH70" s="351">
        <v>1181624</v>
      </c>
      <c r="GI70" s="46">
        <f t="shared" si="225"/>
        <v>37771.155666666666</v>
      </c>
      <c r="GJ70" s="507">
        <f t="shared" si="213"/>
        <v>2100287</v>
      </c>
      <c r="GK70" s="5">
        <f>GL70+GM70</f>
        <v>2100287</v>
      </c>
      <c r="GL70" s="44">
        <v>459254</v>
      </c>
      <c r="GM70" s="44">
        <v>1641033</v>
      </c>
      <c r="GN70" s="345">
        <f t="shared" si="214"/>
        <v>70009.566666666666</v>
      </c>
      <c r="GO70" s="35"/>
      <c r="GP70" s="35">
        <v>700000</v>
      </c>
      <c r="GQ70" s="35"/>
      <c r="GR70" s="18">
        <f t="shared" si="215"/>
        <v>0.13685117302188232</v>
      </c>
      <c r="GS70" s="45"/>
      <c r="GT70" s="45"/>
      <c r="GU70" s="35"/>
      <c r="GV70" s="20">
        <f t="shared" si="248"/>
        <v>23333.333333333332</v>
      </c>
      <c r="GW70" s="20">
        <f t="shared" si="249"/>
        <v>61104.488999999994</v>
      </c>
      <c r="GX70" s="569"/>
      <c r="GY70" s="569"/>
      <c r="GZ70" s="567">
        <f>(GG70+GP70+GY70)/AD70</f>
        <v>61104.488999999994</v>
      </c>
      <c r="HA70" s="569"/>
      <c r="HB70" s="567">
        <f t="shared" si="250"/>
        <v>61104.488999999994</v>
      </c>
      <c r="HC70" s="568">
        <f t="shared" si="246"/>
        <v>0.35838089985225879</v>
      </c>
      <c r="HD70" s="569"/>
      <c r="HE70" s="569"/>
      <c r="HF70" s="507">
        <f>EU70</f>
        <v>0</v>
      </c>
      <c r="HG70" s="637">
        <v>2469528.8628699998</v>
      </c>
      <c r="HH70" s="634">
        <f t="shared" si="216"/>
        <v>0.48279703099307808</v>
      </c>
      <c r="HI70" s="635">
        <f t="shared" si="251"/>
        <v>2645516.8071300001</v>
      </c>
      <c r="HJ70" s="633" t="e">
        <f t="shared" ca="1" si="221"/>
        <v>#VALUE!</v>
      </c>
      <c r="HK70" s="634" t="e">
        <f ca="1">(HJ70+HG70)/GB70</f>
        <v>#VALUE!</v>
      </c>
      <c r="HL70" s="633">
        <f>'[1]GLOBAL OPERATION'!$AG$87</f>
        <v>0</v>
      </c>
      <c r="HM70" s="633">
        <f t="shared" si="217"/>
        <v>700000</v>
      </c>
      <c r="HN70" s="634">
        <f t="shared" si="218"/>
        <v>0</v>
      </c>
      <c r="HO70" s="634"/>
      <c r="HP70" s="563"/>
      <c r="HQ70" s="47"/>
      <c r="HR70" s="563"/>
      <c r="HS70" s="563">
        <f>SUM(Tableau6[[#This Row],[GO]:[CARRELAGE]])</f>
        <v>0</v>
      </c>
      <c r="HT70" s="461"/>
      <c r="HU70" s="461"/>
      <c r="HV70" s="461"/>
      <c r="HW70" s="461"/>
      <c r="HX70" s="461"/>
      <c r="HY70" s="461"/>
      <c r="HZ70" s="461"/>
      <c r="IA70" s="461"/>
      <c r="IB70" s="461"/>
      <c r="IC70" s="461"/>
      <c r="ID70" s="461"/>
      <c r="IE70" s="461"/>
      <c r="IF70" s="461"/>
      <c r="IG70" s="563"/>
      <c r="IH70" s="563"/>
      <c r="II70" s="563">
        <f>HP70+HR70+Tableau6[[#This Row],[TRAVAUX BATIS]]+Tableau6[[#This Row],[HONORAIRES]]+IH70</f>
        <v>0</v>
      </c>
      <c r="IJ70" s="654">
        <f>Tableau6[[#This Row],[TOTAL PRP HT]]-Tableau6[[#This Row],[PRP TTC HORS FRAFU]]/1.021</f>
        <v>-5009839.049951029</v>
      </c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</row>
    <row r="71" spans="1:256" ht="30" customHeight="1">
      <c r="A71" s="477" t="s">
        <v>277</v>
      </c>
      <c r="B71" s="22" t="s">
        <v>21</v>
      </c>
      <c r="C71" s="22" t="s">
        <v>86</v>
      </c>
      <c r="D71" s="22">
        <v>2017</v>
      </c>
      <c r="E71" s="22" t="s">
        <v>283</v>
      </c>
      <c r="F71" s="22" t="s">
        <v>40</v>
      </c>
      <c r="G71" s="22" t="s">
        <v>586</v>
      </c>
      <c r="H71" s="22" t="s">
        <v>134</v>
      </c>
      <c r="I71" s="22"/>
      <c r="J71" s="22" t="s">
        <v>278</v>
      </c>
      <c r="K71" s="134" t="s">
        <v>434</v>
      </c>
      <c r="L71" s="81"/>
      <c r="M71" s="82"/>
      <c r="N71" s="83"/>
      <c r="O71" s="103">
        <v>1976</v>
      </c>
      <c r="P71" s="103">
        <v>300000</v>
      </c>
      <c r="Q71" s="103"/>
      <c r="R71" s="103">
        <f>P71/AD71</f>
        <v>12500</v>
      </c>
      <c r="S71" s="103">
        <f>P71/O71</f>
        <v>151.82186234817814</v>
      </c>
      <c r="T71" s="109">
        <f>Q71/O71</f>
        <v>0</v>
      </c>
      <c r="U71" s="109">
        <f>Q71/AK71</f>
        <v>0</v>
      </c>
      <c r="V71" s="109">
        <f>Q71/AD71</f>
        <v>0</v>
      </c>
      <c r="W71" s="103">
        <f>O71/AD71</f>
        <v>82.333333333333329</v>
      </c>
      <c r="X71" s="104"/>
      <c r="Y71" s="444">
        <f t="shared" si="188"/>
        <v>121.4574898785425</v>
      </c>
      <c r="Z71" s="104" t="s">
        <v>142</v>
      </c>
      <c r="AA71" s="104">
        <v>590</v>
      </c>
      <c r="AB71" s="105"/>
      <c r="AC71" s="22" t="s">
        <v>10</v>
      </c>
      <c r="AD71" s="426">
        <f t="shared" si="189"/>
        <v>24</v>
      </c>
      <c r="AE71" s="426">
        <f t="shared" si="190"/>
        <v>24</v>
      </c>
      <c r="AF71" s="32"/>
      <c r="AG71" s="22">
        <v>24</v>
      </c>
      <c r="AH71" s="32"/>
      <c r="AI71" s="3"/>
      <c r="AJ71" s="614">
        <v>1539.6699999999996</v>
      </c>
      <c r="AK71" s="222">
        <v>1796.56</v>
      </c>
      <c r="AL71" s="492">
        <f t="shared" si="191"/>
        <v>64.152916666666655</v>
      </c>
      <c r="AM71" s="4">
        <f t="shared" si="192"/>
        <v>74.856666666666669</v>
      </c>
      <c r="AN71" s="26">
        <v>6.31</v>
      </c>
      <c r="AO71" s="26">
        <v>5.41</v>
      </c>
      <c r="AP71" s="26">
        <v>404.62</v>
      </c>
      <c r="AQ71" s="39">
        <f>3/AG71</f>
        <v>0.125</v>
      </c>
      <c r="AR71" s="39">
        <f>9/AG71</f>
        <v>0.375</v>
      </c>
      <c r="AS71" s="39">
        <f>6/AG71</f>
        <v>0.25</v>
      </c>
      <c r="AT71" s="39">
        <f>3/AG71</f>
        <v>0.125</v>
      </c>
      <c r="AU71" s="39">
        <f>3/AG71</f>
        <v>0.125</v>
      </c>
      <c r="AV71" s="26"/>
      <c r="AW71" s="26" t="s">
        <v>129</v>
      </c>
      <c r="AX71" s="26"/>
      <c r="AY71" s="26">
        <v>4</v>
      </c>
      <c r="AZ71" s="25" t="s">
        <v>386</v>
      </c>
      <c r="BA71" s="22" t="s">
        <v>94</v>
      </c>
      <c r="BB71" s="22"/>
      <c r="BC71" s="22"/>
      <c r="BD71" s="22"/>
      <c r="BE71" s="22"/>
      <c r="BF71" s="122">
        <v>42761</v>
      </c>
      <c r="BG71" s="122"/>
      <c r="BH71" s="22"/>
      <c r="BI71" s="22"/>
      <c r="BJ71" s="548">
        <v>42824</v>
      </c>
      <c r="BK71" s="548">
        <v>42916</v>
      </c>
      <c r="BL71" s="549">
        <v>43010</v>
      </c>
      <c r="BM71" s="547">
        <f t="shared" si="193"/>
        <v>3.0666666666666669</v>
      </c>
      <c r="BN71" s="490" t="s">
        <v>229</v>
      </c>
      <c r="BO71" s="77">
        <v>43279</v>
      </c>
      <c r="BP71" s="100">
        <v>43356</v>
      </c>
      <c r="BQ71" s="536">
        <f t="shared" si="247"/>
        <v>2.5666666666666669</v>
      </c>
      <c r="BR71" s="529">
        <v>86771</v>
      </c>
      <c r="BS71" s="77">
        <v>43440</v>
      </c>
      <c r="BT71" s="77">
        <v>43385</v>
      </c>
      <c r="BU71" s="151">
        <v>43466</v>
      </c>
      <c r="BV71" s="150">
        <f t="shared" si="194"/>
        <v>44562</v>
      </c>
      <c r="BW71" s="373">
        <f>10589+49826</f>
        <v>60415</v>
      </c>
      <c r="BX71" s="150" t="str">
        <f>IF(Tableau6[[#This Row],[Montant des loyers perçus avant 1e échéance]]&lt;BW71,"oui","non")</f>
        <v>non</v>
      </c>
      <c r="BY71" s="373">
        <f t="shared" si="237"/>
        <v>11.2</v>
      </c>
      <c r="BZ71" s="373">
        <f t="shared" si="238"/>
        <v>108729.59999999999</v>
      </c>
      <c r="CA71" s="373">
        <f>IF(BW71-BZ71&lt;0,0,Tableau6[[#This Row],[Montant échéance annuelle]]-Tableau6[[#This Row],[Montant des loyers perçus avant 1e échéance]])</f>
        <v>0</v>
      </c>
      <c r="CB71" s="159">
        <v>42583</v>
      </c>
      <c r="CC71" s="64">
        <v>42598</v>
      </c>
      <c r="CD71" s="64">
        <v>42583</v>
      </c>
      <c r="CE71" s="273">
        <f t="shared" si="253"/>
        <v>-15</v>
      </c>
      <c r="CF71" s="64">
        <v>42692</v>
      </c>
      <c r="CG71" s="159">
        <v>42695</v>
      </c>
      <c r="CH71" s="273">
        <f t="shared" si="254"/>
        <v>3</v>
      </c>
      <c r="CI71" s="159">
        <v>42753</v>
      </c>
      <c r="CJ71" s="159">
        <v>42751</v>
      </c>
      <c r="CK71" s="273">
        <f t="shared" si="255"/>
        <v>-2</v>
      </c>
      <c r="CL71" s="64">
        <v>42829</v>
      </c>
      <c r="CM71" s="159">
        <v>43083</v>
      </c>
      <c r="CN71" s="273">
        <f t="shared" si="256"/>
        <v>254</v>
      </c>
      <c r="CO71" s="64">
        <v>42905</v>
      </c>
      <c r="CP71" s="64">
        <v>43189</v>
      </c>
      <c r="CQ71" s="273">
        <f t="shared" si="195"/>
        <v>284</v>
      </c>
      <c r="CR71" s="237"/>
      <c r="CS71" s="159">
        <v>43403</v>
      </c>
      <c r="CT71" s="159">
        <v>43154</v>
      </c>
      <c r="CU71" s="159">
        <v>43546</v>
      </c>
      <c r="CV71" s="381">
        <f t="shared" si="230"/>
        <v>392</v>
      </c>
      <c r="CW71" s="121">
        <v>43167</v>
      </c>
      <c r="CX71" s="229">
        <v>43585</v>
      </c>
      <c r="CY71" s="230">
        <v>2019</v>
      </c>
      <c r="CZ71" s="235">
        <f t="shared" si="243"/>
        <v>22.3</v>
      </c>
      <c r="DA71" s="381">
        <f t="shared" si="197"/>
        <v>418</v>
      </c>
      <c r="DB71" s="133">
        <v>16</v>
      </c>
      <c r="DC71" s="59">
        <f t="shared" si="198"/>
        <v>20</v>
      </c>
      <c r="DD71" s="159">
        <v>43631</v>
      </c>
      <c r="DE71" s="159">
        <f ca="1">IF(DD71&lt;TODAY(),TODAY(),DD71)</f>
        <v>43998</v>
      </c>
      <c r="DF71" s="381">
        <f t="shared" ca="1" si="199"/>
        <v>367</v>
      </c>
      <c r="DG71" s="159">
        <v>43710</v>
      </c>
      <c r="DH71" s="336">
        <v>43739</v>
      </c>
      <c r="DI71" s="337">
        <f t="shared" si="200"/>
        <v>29</v>
      </c>
      <c r="DJ71" s="282">
        <v>43889</v>
      </c>
      <c r="DK71" s="295">
        <f ca="1">IF(DJ71&lt;TODAY(),TODAY(),DJ71)</f>
        <v>43998</v>
      </c>
      <c r="DL71" s="279">
        <f t="shared" ca="1" si="201"/>
        <v>109</v>
      </c>
      <c r="DM71" s="282">
        <v>43902</v>
      </c>
      <c r="DN71" s="282">
        <f ca="1">IF(DM71&lt;TODAY(),TODAY(),DM71)</f>
        <v>43998</v>
      </c>
      <c r="DO71" s="279">
        <f t="shared" ca="1" si="202"/>
        <v>96</v>
      </c>
      <c r="DP71" s="358">
        <v>43885</v>
      </c>
      <c r="DQ71" s="282">
        <f ca="1">IF(DP71&lt;TODAY(),TODAY(),DP71)</f>
        <v>43998</v>
      </c>
      <c r="DR71" s="279">
        <f t="shared" ca="1" si="203"/>
        <v>113</v>
      </c>
      <c r="DS71" s="282">
        <v>43907</v>
      </c>
      <c r="DT71" s="282">
        <f ca="1">IF(DS71&lt;TODAY(),TODAY(),DS71)</f>
        <v>43998</v>
      </c>
      <c r="DU71" s="279">
        <f t="shared" ca="1" si="204"/>
        <v>91</v>
      </c>
      <c r="DV71" s="282">
        <v>44039</v>
      </c>
      <c r="DW71" s="282">
        <f ca="1">IF(DV71&lt;TODAY(),TODAY(),DV71)</f>
        <v>44039</v>
      </c>
      <c r="DX71" s="279">
        <f t="shared" ca="1" si="205"/>
        <v>0</v>
      </c>
      <c r="DY71" s="282"/>
      <c r="DZ71" s="282"/>
      <c r="EA71" s="282"/>
      <c r="EB71" s="410">
        <f t="shared" ref="EB71:EB102" si="259">DATE(YEAR(CX71),MONTH(CX71)+DB71,DAY(CX71))</f>
        <v>44073</v>
      </c>
      <c r="EC71" s="409">
        <f>DATE(YEAR(EB71),MONTH(EB71)+4,DAY(EB71))</f>
        <v>44195</v>
      </c>
      <c r="ED71" s="406">
        <f t="shared" si="207"/>
        <v>4.0666666666666664</v>
      </c>
      <c r="EE71" s="758">
        <f t="shared" ca="1" si="257"/>
        <v>6.5666666666666664</v>
      </c>
      <c r="EF71" s="409">
        <f>DATE(YEAR(DH71)+2,MONTH(DH71),DAY(DH71))</f>
        <v>44470</v>
      </c>
      <c r="EG71" s="457"/>
      <c r="EH71" s="160">
        <v>43788</v>
      </c>
      <c r="EI71" s="458"/>
      <c r="EJ71" s="242"/>
      <c r="EK71" s="409">
        <f t="shared" ref="EK71:EL73" si="260">DATE(YEAR(EB71),MONTH(EB71)+1,DAY(EB71))</f>
        <v>44104</v>
      </c>
      <c r="EL71" s="409">
        <f t="shared" si="260"/>
        <v>44226</v>
      </c>
      <c r="EM71" s="314"/>
      <c r="EN71" s="404">
        <f t="shared" si="239"/>
        <v>4.0666666666666664</v>
      </c>
      <c r="EO71" s="394">
        <v>9708</v>
      </c>
      <c r="EP71" s="131">
        <f t="shared" si="208"/>
        <v>39479.199999999997</v>
      </c>
      <c r="EQ71" s="625">
        <f>EO71*3</f>
        <v>29124</v>
      </c>
      <c r="ER71" s="625"/>
      <c r="ES71" s="740"/>
      <c r="ET71" s="300">
        <v>0</v>
      </c>
      <c r="EU71" s="300">
        <v>0</v>
      </c>
      <c r="EV71" s="300">
        <v>197331.09</v>
      </c>
      <c r="EW71" s="300">
        <v>181376</v>
      </c>
      <c r="EX71" s="300"/>
      <c r="EY71" s="416">
        <f t="shared" si="258"/>
        <v>0</v>
      </c>
      <c r="EZ71" s="297"/>
      <c r="FA71" s="308"/>
      <c r="FB71" s="308" t="s">
        <v>896</v>
      </c>
      <c r="FC71" s="297"/>
      <c r="FD71" s="89">
        <f t="shared" si="241"/>
        <v>44470</v>
      </c>
      <c r="FE71" s="63"/>
      <c r="FF71" s="63"/>
      <c r="FG71" s="63"/>
      <c r="FH71" s="63"/>
      <c r="FI71" s="63"/>
      <c r="FJ71" s="22"/>
      <c r="FK71" s="146">
        <f t="shared" si="252"/>
        <v>44560</v>
      </c>
      <c r="FL71" s="146"/>
      <c r="FM71" s="146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451"/>
      <c r="GB71" s="471">
        <f>GD71+GG71+GJ71+HF71+Tableau6[[#This Row],[PRÊT CREDIT D''IMPOT (PM)]]</f>
        <v>5328424.4246152649</v>
      </c>
      <c r="GC71" s="645">
        <f t="shared" si="240"/>
        <v>5328424.4246152649</v>
      </c>
      <c r="GD71" s="507">
        <f t="shared" si="219"/>
        <v>577062</v>
      </c>
      <c r="GE71" s="20">
        <f t="shared" si="211"/>
        <v>2965.9039634720048</v>
      </c>
      <c r="GF71" s="20">
        <f t="shared" si="212"/>
        <v>222017.68435896936</v>
      </c>
      <c r="GG71" s="507">
        <v>1237310.4246152646</v>
      </c>
      <c r="GH71" s="351">
        <v>1306948</v>
      </c>
      <c r="GI71" s="20">
        <f t="shared" si="225"/>
        <v>51554.601025636024</v>
      </c>
      <c r="GJ71" s="507">
        <f t="shared" si="213"/>
        <v>2207104</v>
      </c>
      <c r="GK71" s="5">
        <f>GL71+GM71</f>
        <v>2207104</v>
      </c>
      <c r="GL71" s="44">
        <v>444360</v>
      </c>
      <c r="GM71" s="44">
        <v>1762744</v>
      </c>
      <c r="GN71" s="345">
        <f t="shared" si="214"/>
        <v>91962.666666666672</v>
      </c>
      <c r="GO71" s="35"/>
      <c r="GP71" s="35">
        <v>480000</v>
      </c>
      <c r="GQ71" s="35"/>
      <c r="GR71" s="18">
        <f t="shared" si="215"/>
        <v>9.0082914150491689E-2</v>
      </c>
      <c r="GS71" s="35"/>
      <c r="GT71" s="35"/>
      <c r="GU71" s="35">
        <v>97062</v>
      </c>
      <c r="GV71" s="20">
        <f t="shared" si="248"/>
        <v>20000</v>
      </c>
      <c r="GW71" s="20">
        <f t="shared" si="249"/>
        <v>71554.601025636031</v>
      </c>
      <c r="GX71" s="569"/>
      <c r="GY71" s="569"/>
      <c r="GZ71" s="567">
        <f>(GG71+GP71+GY71)/AD71</f>
        <v>71554.601025636031</v>
      </c>
      <c r="HA71" s="569"/>
      <c r="HB71" s="567">
        <f t="shared" si="250"/>
        <v>71554.601025636031</v>
      </c>
      <c r="HC71" s="568">
        <f t="shared" si="246"/>
        <v>0.32229234906325277</v>
      </c>
      <c r="HD71" s="569"/>
      <c r="HE71" s="569"/>
      <c r="HF71" s="507">
        <f>EU71</f>
        <v>0</v>
      </c>
      <c r="HG71" s="637">
        <v>625425</v>
      </c>
      <c r="HH71" s="634">
        <f t="shared" si="216"/>
        <v>0.11737522204702347</v>
      </c>
      <c r="HI71" s="635">
        <f t="shared" si="251"/>
        <v>4702999.4246152649</v>
      </c>
      <c r="HJ71" s="633" t="e">
        <f t="shared" ca="1" si="221"/>
        <v>#VALUE!</v>
      </c>
      <c r="HK71" s="634" t="e">
        <f ca="1">(HJ71+HG71)/GB71</f>
        <v>#VALUE!</v>
      </c>
      <c r="HL71" s="633">
        <f>'[1]GLOBAL OPERATION'!$AG$53</f>
        <v>822763.41999999993</v>
      </c>
      <c r="HM71" s="633">
        <f t="shared" si="217"/>
        <v>-245701.41999999993</v>
      </c>
      <c r="HN71" s="634">
        <f t="shared" si="218"/>
        <v>1.4257799335253403</v>
      </c>
      <c r="HO71" s="634"/>
      <c r="HP71" s="563"/>
      <c r="HQ71" s="47"/>
      <c r="HR71" s="563"/>
      <c r="HS71" s="563">
        <f>SUM(Tableau6[[#This Row],[GO]:[CARRELAGE]])</f>
        <v>0</v>
      </c>
      <c r="HT71" s="461"/>
      <c r="HU71" s="461"/>
      <c r="HV71" s="461"/>
      <c r="HW71" s="461"/>
      <c r="HX71" s="461"/>
      <c r="HY71" s="461"/>
      <c r="HZ71" s="461"/>
      <c r="IA71" s="461"/>
      <c r="IB71" s="461"/>
      <c r="IC71" s="461"/>
      <c r="ID71" s="461"/>
      <c r="IE71" s="461"/>
      <c r="IF71" s="461"/>
      <c r="IG71" s="563"/>
      <c r="IH71" s="563"/>
      <c r="II71" s="563">
        <f>HP71+HR71+Tableau6[[#This Row],[TRAVAUX BATIS]]+Tableau6[[#This Row],[HONORAIRES]]+IH71</f>
        <v>0</v>
      </c>
      <c r="IJ71" s="654">
        <f>Tableau6[[#This Row],[TOTAL PRP HT]]-Tableau6[[#This Row],[PRP TTC HORS FRAFU]]/1.021</f>
        <v>-5218829.0152940899</v>
      </c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</row>
    <row r="72" spans="1:256" ht="78" customHeight="1">
      <c r="A72" s="441" t="s">
        <v>317</v>
      </c>
      <c r="B72" s="22" t="s">
        <v>21</v>
      </c>
      <c r="C72" s="22" t="s">
        <v>86</v>
      </c>
      <c r="D72" s="22">
        <v>2018</v>
      </c>
      <c r="E72" s="22"/>
      <c r="F72" s="22" t="s">
        <v>301</v>
      </c>
      <c r="G72" s="22" t="s">
        <v>138</v>
      </c>
      <c r="H72" s="22" t="s">
        <v>136</v>
      </c>
      <c r="I72" s="22"/>
      <c r="J72" s="22" t="s">
        <v>322</v>
      </c>
      <c r="K72" s="134" t="s">
        <v>333</v>
      </c>
      <c r="L72" s="81" t="s">
        <v>43</v>
      </c>
      <c r="M72" s="82" t="s">
        <v>332</v>
      </c>
      <c r="N72" s="83">
        <v>34912</v>
      </c>
      <c r="O72" s="117"/>
      <c r="P72" s="117"/>
      <c r="Q72" s="117"/>
      <c r="R72" s="117"/>
      <c r="S72" s="117"/>
      <c r="T72" s="330"/>
      <c r="U72" s="330"/>
      <c r="V72" s="330"/>
      <c r="W72" s="117"/>
      <c r="X72" s="104"/>
      <c r="Y72" s="447" t="e">
        <f t="shared" ref="Y72:Y103" si="261">10000*AD72/O72</f>
        <v>#DIV/0!</v>
      </c>
      <c r="Z72" s="104"/>
      <c r="AA72" s="104"/>
      <c r="AB72" s="105"/>
      <c r="AC72" s="22" t="s">
        <v>300</v>
      </c>
      <c r="AD72" s="426">
        <f t="shared" ref="AD72:AD103" si="262">SUM(AF72:AI72)</f>
        <v>128</v>
      </c>
      <c r="AE72" s="426">
        <f t="shared" ref="AE72:AE103" si="263">AD72-AI72</f>
        <v>0</v>
      </c>
      <c r="AF72" s="32"/>
      <c r="AG72" s="32"/>
      <c r="AH72" s="32"/>
      <c r="AI72" s="161">
        <v>128</v>
      </c>
      <c r="AJ72" s="614"/>
      <c r="AK72" s="222"/>
      <c r="AL72" s="492">
        <f t="shared" ref="AL72:AL103" si="264">AJ72/AD72</f>
        <v>0</v>
      </c>
      <c r="AM72" s="4">
        <f t="shared" ref="AM72:AM103" si="265">AK72/AD72</f>
        <v>0</v>
      </c>
      <c r="AN72" s="26"/>
      <c r="AO72" s="26"/>
      <c r="AP72" s="26"/>
      <c r="AQ72" s="39"/>
      <c r="AR72" s="39"/>
      <c r="AS72" s="39"/>
      <c r="AT72" s="39"/>
      <c r="AU72" s="39"/>
      <c r="AV72" s="26"/>
      <c r="AW72" s="37"/>
      <c r="AX72" s="39"/>
      <c r="AY72" s="26"/>
      <c r="AZ72" s="22"/>
      <c r="BA72" s="22"/>
      <c r="BB72" s="22"/>
      <c r="BC72" s="22"/>
      <c r="BD72" s="22"/>
      <c r="BE72" s="22"/>
      <c r="BF72" s="22"/>
      <c r="BG72" s="22"/>
      <c r="BH72" s="56">
        <v>43308</v>
      </c>
      <c r="BI72" s="56">
        <v>43308</v>
      </c>
      <c r="BJ72" s="548">
        <v>43189</v>
      </c>
      <c r="BK72" s="548">
        <v>43434</v>
      </c>
      <c r="BL72" s="549">
        <v>43502</v>
      </c>
      <c r="BM72" s="547">
        <f t="shared" ref="BM72:BM103" si="266">(DATEDIF(BJ72,BK72,"d"))/30</f>
        <v>8.1666666666666661</v>
      </c>
      <c r="BN72" s="490" t="s">
        <v>229</v>
      </c>
      <c r="BO72" s="77">
        <v>43311</v>
      </c>
      <c r="BP72" s="100">
        <v>43608</v>
      </c>
      <c r="BQ72" s="536">
        <f t="shared" si="247"/>
        <v>9.9</v>
      </c>
      <c r="BR72" s="529">
        <v>96964</v>
      </c>
      <c r="BS72" s="77">
        <f>DATE(YEAR(BP72),MONTH(BP72)+3,DAY(BP72))</f>
        <v>43700</v>
      </c>
      <c r="BT72" s="77">
        <v>43608</v>
      </c>
      <c r="BU72" s="151">
        <v>43608</v>
      </c>
      <c r="BV72" s="150">
        <f t="shared" ref="BV72:BV103" si="267">DATE(YEAR(BU72),MONTH(BU72)+36,DAY(BU72))</f>
        <v>44704</v>
      </c>
      <c r="BW72" s="373"/>
      <c r="BX72" s="150" t="str">
        <f>IF(Tableau6[[#This Row],[Montant des loyers perçus avant 1e échéance]]&lt;BW72,"oui","non")</f>
        <v>non</v>
      </c>
      <c r="BY72" s="474"/>
      <c r="BZ72" s="474"/>
      <c r="CA72" s="474"/>
      <c r="CB72" s="286">
        <v>42935</v>
      </c>
      <c r="CC72" s="287"/>
      <c r="CD72" s="287"/>
      <c r="CE72" s="290" t="str">
        <f t="shared" si="253"/>
        <v>0</v>
      </c>
      <c r="CF72" s="288">
        <v>43038</v>
      </c>
      <c r="CG72" s="288">
        <f ca="1">IF(CF72&lt;TODAY(),TODAY(),CF72)</f>
        <v>43998</v>
      </c>
      <c r="CH72" s="273">
        <f t="shared" ca="1" si="254"/>
        <v>960</v>
      </c>
      <c r="CI72" s="288">
        <v>43017</v>
      </c>
      <c r="CJ72" s="286">
        <f ca="1">IF(CI72&lt;TODAY(),TODAY(),CI72)</f>
        <v>43998</v>
      </c>
      <c r="CK72" s="273">
        <f t="shared" ca="1" si="255"/>
        <v>981</v>
      </c>
      <c r="CL72" s="288">
        <v>43098</v>
      </c>
      <c r="CM72" s="286">
        <f ca="1">IF(CL72&lt;TODAY(),TODAY(),CL72)</f>
        <v>43998</v>
      </c>
      <c r="CN72" s="273">
        <f t="shared" ca="1" si="256"/>
        <v>900</v>
      </c>
      <c r="CO72" s="288">
        <v>43158</v>
      </c>
      <c r="CP72" s="288">
        <f ca="1">IF(CO72&lt;TODAY(),TODAY(),CO72)</f>
        <v>43998</v>
      </c>
      <c r="CQ72" s="273">
        <f t="shared" ref="CQ72:CQ103" ca="1" si="268">IF(AND(CO72&gt;0,CP72&gt;0),CP72-CO72,"0")</f>
        <v>840</v>
      </c>
      <c r="CR72" s="237"/>
      <c r="CS72" s="286">
        <v>43403</v>
      </c>
      <c r="CT72" s="277">
        <v>43602</v>
      </c>
      <c r="CU72" s="282">
        <f ca="1">IF(CT72&lt;TODAY(),TODAY(),CT72)</f>
        <v>43998</v>
      </c>
      <c r="CV72" s="279">
        <f t="shared" ca="1" si="230"/>
        <v>396</v>
      </c>
      <c r="CW72" s="159">
        <v>43616</v>
      </c>
      <c r="CX72" s="229">
        <v>43668</v>
      </c>
      <c r="CY72" s="230">
        <v>2019</v>
      </c>
      <c r="CZ72" s="235">
        <f t="shared" si="243"/>
        <v>7.8</v>
      </c>
      <c r="DA72" s="381">
        <f t="shared" ref="DA72:DA103" si="269">IF(AND(CW72&gt;0,CX72&gt;0),CX72-CW72,"0")</f>
        <v>52</v>
      </c>
      <c r="DB72" s="133">
        <v>12</v>
      </c>
      <c r="DC72" s="59">
        <f t="shared" ref="DC72:DC103" si="270">DATEDIF(CX72,EC72,"M")</f>
        <v>16</v>
      </c>
      <c r="DD72" s="277"/>
      <c r="DE72" s="282">
        <f ca="1">IF(DD72&lt;TODAY(),TODAY(),DD72)</f>
        <v>43998</v>
      </c>
      <c r="DF72" s="279" t="str">
        <f t="shared" ref="DF72:DF103" ca="1" si="271">IF(AND(DD72&gt;0,DE72&gt;0),DE72-DD72,"0")</f>
        <v>0</v>
      </c>
      <c r="DG72" s="277"/>
      <c r="DH72" s="295">
        <f ca="1">IF(DG72&lt;TODAY(),TODAY(),DG72)</f>
        <v>43998</v>
      </c>
      <c r="DI72" s="280" t="str">
        <f t="shared" ref="DI72:DI103" ca="1" si="272">IF(AND(DG72&gt;0,DH72&gt;0),DH72-DG72,"0")</f>
        <v>0</v>
      </c>
      <c r="DJ72" s="281"/>
      <c r="DK72" s="295">
        <f ca="1">IF(DJ72&lt;TODAY(),TODAY(),DJ72)</f>
        <v>43998</v>
      </c>
      <c r="DL72" s="279" t="str">
        <f t="shared" ref="DL72:DL94" ca="1" si="273">IF(AND(DJ72&gt;0,DK72&gt;0),DK72-DJ72,"0")</f>
        <v>0</v>
      </c>
      <c r="DM72" s="282">
        <v>43507</v>
      </c>
      <c r="DN72" s="282">
        <f ca="1">IF(DM72&lt;TODAY(),TODAY(),DM72)</f>
        <v>43998</v>
      </c>
      <c r="DO72" s="279">
        <f t="shared" ref="DO72:DO103" ca="1" si="274">IF(AND(DM72&gt;0,DN72&gt;0),DN72-DM72,"0")</f>
        <v>491</v>
      </c>
      <c r="DP72" s="283"/>
      <c r="DQ72" s="283"/>
      <c r="DR72" s="279" t="str">
        <f t="shared" ref="DR72:DR103" si="275">IF(AND(DP72&gt;0,DQ72&gt;0),DQ72-DP72,"0")</f>
        <v>0</v>
      </c>
      <c r="DS72" s="282"/>
      <c r="DT72" s="282">
        <f ca="1">IF(DS72&lt;TODAY(),TODAY(),DS72)</f>
        <v>43998</v>
      </c>
      <c r="DU72" s="279" t="str">
        <f t="shared" ref="DU72:DU103" ca="1" si="276">IF(AND(DS72&gt;0,DT72&gt;0),DT72-DS72,"0")</f>
        <v>0</v>
      </c>
      <c r="DV72" s="282">
        <v>43584</v>
      </c>
      <c r="DW72" s="282">
        <f ca="1">IF(DV72&lt;TODAY(),TODAY(),DV72)</f>
        <v>43998</v>
      </c>
      <c r="DX72" s="279">
        <f t="shared" ref="DX72:DX103" ca="1" si="277">IF(AND(DV72&gt;0,DW72&gt;0),DW72-DV72,"0")</f>
        <v>414</v>
      </c>
      <c r="DY72" s="283"/>
      <c r="DZ72" s="283"/>
      <c r="EA72" s="283"/>
      <c r="EB72" s="410">
        <f t="shared" si="259"/>
        <v>44034</v>
      </c>
      <c r="EC72" s="409">
        <v>44157</v>
      </c>
      <c r="ED72" s="406">
        <f t="shared" ref="ED72:ED103" si="278">(EC72-EB72)/30</f>
        <v>4.0999999999999996</v>
      </c>
      <c r="EE72" s="505">
        <f t="shared" ca="1" si="257"/>
        <v>5.3</v>
      </c>
      <c r="EF72" s="753">
        <f ca="1">DATE(YEAR(DH72)+2,MONTH(DH72),DAY(DH72))</f>
        <v>44728</v>
      </c>
      <c r="EG72" s="457"/>
      <c r="EH72" s="448"/>
      <c r="EI72" s="458"/>
      <c r="EJ72" s="242"/>
      <c r="EK72" s="456">
        <f t="shared" si="260"/>
        <v>44065</v>
      </c>
      <c r="EL72" s="409">
        <f t="shared" si="260"/>
        <v>44187</v>
      </c>
      <c r="EM72" s="314"/>
      <c r="EN72" s="404">
        <f>(EL72-EK72)/30</f>
        <v>4.0666666666666664</v>
      </c>
      <c r="EO72" s="394"/>
      <c r="EP72" s="131">
        <f t="shared" ref="EP72:EP103" si="279">EO72*EN72</f>
        <v>0</v>
      </c>
      <c r="EQ72" s="60"/>
      <c r="ER72" s="60"/>
      <c r="ES72" s="742"/>
      <c r="ET72" s="300">
        <v>0</v>
      </c>
      <c r="EU72" s="300">
        <v>0</v>
      </c>
      <c r="EV72" s="300">
        <v>356938</v>
      </c>
      <c r="EW72" s="300"/>
      <c r="EX72" s="300"/>
      <c r="EY72" s="416">
        <f t="shared" si="258"/>
        <v>0</v>
      </c>
      <c r="EZ72" s="297"/>
      <c r="FA72" s="308"/>
      <c r="FB72" s="297" t="s">
        <v>896</v>
      </c>
      <c r="FC72" s="308"/>
      <c r="FD72" s="89">
        <f t="shared" ca="1" si="241"/>
        <v>44728</v>
      </c>
      <c r="FE72" s="63"/>
      <c r="FF72" s="63"/>
      <c r="FG72" s="63"/>
      <c r="FH72" s="63"/>
      <c r="FI72" s="63"/>
      <c r="FJ72" s="22"/>
      <c r="FK72" s="146">
        <f t="shared" si="252"/>
        <v>44522</v>
      </c>
      <c r="FL72" s="146"/>
      <c r="FM72" s="146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451"/>
      <c r="GB72" s="471">
        <f>GD72+GG72+GJ72+HF72+Tableau6[[#This Row],[PRÊT CREDIT D''IMPOT (PM)]]</f>
        <v>3625157.8000000003</v>
      </c>
      <c r="GC72" s="645"/>
      <c r="GD72" s="507">
        <f t="shared" si="219"/>
        <v>657745.55999999994</v>
      </c>
      <c r="GE72" s="20" t="e">
        <f t="shared" ref="GE72:GE103" si="280">GB72/AK72</f>
        <v>#DIV/0!</v>
      </c>
      <c r="GF72" s="20">
        <f t="shared" ref="GF72:GF101" si="281">GB72/AD72</f>
        <v>28321.545312500002</v>
      </c>
      <c r="GG72" s="503"/>
      <c r="GH72" s="351"/>
      <c r="GI72" s="20">
        <f t="shared" si="225"/>
        <v>0</v>
      </c>
      <c r="GJ72" s="503">
        <f t="shared" ref="GJ72:GJ103" si="282">GK72+GO72+GS72</f>
        <v>2967412.24</v>
      </c>
      <c r="GK72" s="5">
        <v>2287412.2400000002</v>
      </c>
      <c r="GL72" s="212"/>
      <c r="GM72" s="212"/>
      <c r="GN72" s="345">
        <f t="shared" ref="GN72:GN103" si="283">GK72/AD72</f>
        <v>17870.408125000002</v>
      </c>
      <c r="GO72" s="36"/>
      <c r="GP72" s="35">
        <v>655705.55999999994</v>
      </c>
      <c r="GQ72" s="35"/>
      <c r="GR72" s="18">
        <f t="shared" ref="GR72:GR103" si="284">GP72/GB72</f>
        <v>0.18087641867617457</v>
      </c>
      <c r="GS72" s="35">
        <v>680000</v>
      </c>
      <c r="GT72" s="35"/>
      <c r="GU72" s="35">
        <v>2040</v>
      </c>
      <c r="GV72" s="20">
        <f t="shared" si="248"/>
        <v>5122.6996874999995</v>
      </c>
      <c r="GW72" s="20">
        <f t="shared" si="249"/>
        <v>5122.6996874999995</v>
      </c>
      <c r="GX72" s="569"/>
      <c r="GY72" s="569"/>
      <c r="GZ72" s="567" t="e">
        <f>(#REF!+#REF!+GY72)/AD72</f>
        <v>#REF!</v>
      </c>
      <c r="HA72" s="569"/>
      <c r="HB72" s="569">
        <f t="shared" si="250"/>
        <v>5122.6996874999995</v>
      </c>
      <c r="HC72" s="568" t="e">
        <f>(#REF!+#REF!+GY72+HA72)/(GX72+#REF!-HD72)</f>
        <v>#REF!</v>
      </c>
      <c r="HD72" s="569"/>
      <c r="HE72" s="569"/>
      <c r="HF72" s="503"/>
      <c r="HG72" s="633">
        <v>239678.49416999996</v>
      </c>
      <c r="HH72" s="634">
        <f t="shared" ref="HH72:HH103" si="285">HG72/GB72</f>
        <v>6.6115327219686812E-2</v>
      </c>
      <c r="HI72" s="633">
        <f t="shared" si="251"/>
        <v>3385479.3058300004</v>
      </c>
      <c r="HJ72" s="633" t="e">
        <f t="shared" ca="1" si="221"/>
        <v>#VALUE!</v>
      </c>
      <c r="HK72" s="634" t="e">
        <f ca="1">(HG72+HJ72)/GB72</f>
        <v>#VALUE!</v>
      </c>
      <c r="HL72" s="633"/>
      <c r="HM72" s="633">
        <f t="shared" ref="HM72:HM78" si="286">GD72-HL72</f>
        <v>657745.55999999994</v>
      </c>
      <c r="HN72" s="633">
        <f t="shared" ref="HN72:HN78" si="287">HL72/GD72</f>
        <v>0</v>
      </c>
      <c r="HO72" s="633" t="s">
        <v>767</v>
      </c>
      <c r="HP72" s="563"/>
      <c r="HQ72" s="47"/>
      <c r="HR72" s="563"/>
      <c r="HS72" s="563">
        <f>SUM(Tableau6[[#This Row],[GO]:[CARRELAGE]])</f>
        <v>0</v>
      </c>
      <c r="HT72" s="461"/>
      <c r="HU72" s="461"/>
      <c r="HV72" s="461"/>
      <c r="HW72" s="461"/>
      <c r="HX72" s="461"/>
      <c r="HY72" s="461"/>
      <c r="HZ72" s="461"/>
      <c r="IA72" s="461"/>
      <c r="IB72" s="461"/>
      <c r="IC72" s="461"/>
      <c r="ID72" s="461"/>
      <c r="IE72" s="461"/>
      <c r="IF72" s="461"/>
      <c r="IG72" s="563"/>
      <c r="IH72" s="563"/>
      <c r="II72" s="563">
        <f>HP72+HR72+Tableau6[[#This Row],[TRAVAUX BATIS]]+Tableau6[[#This Row],[HONORAIRES]]+IH72</f>
        <v>0</v>
      </c>
      <c r="IJ72" s="654">
        <f>Tableau6[[#This Row],[TOTAL PRP HT]]-Tableau6[[#This Row],[PRP TTC HORS FRAFU]]/1.021</f>
        <v>-3550595.2987267389</v>
      </c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</row>
    <row r="73" spans="1:256" ht="41.25" customHeight="1">
      <c r="A73" s="534" t="s">
        <v>28</v>
      </c>
      <c r="B73" s="22" t="s">
        <v>21</v>
      </c>
      <c r="C73" s="22" t="s">
        <v>86</v>
      </c>
      <c r="D73" s="22">
        <v>2016</v>
      </c>
      <c r="E73" s="22" t="s">
        <v>29</v>
      </c>
      <c r="F73" s="22" t="s">
        <v>40</v>
      </c>
      <c r="G73" s="39" t="s">
        <v>586</v>
      </c>
      <c r="H73" s="22" t="s">
        <v>136</v>
      </c>
      <c r="I73" s="39"/>
      <c r="J73" s="22"/>
      <c r="K73" s="134" t="s">
        <v>369</v>
      </c>
      <c r="L73" s="152" t="s">
        <v>44</v>
      </c>
      <c r="M73" s="152" t="s">
        <v>51</v>
      </c>
      <c r="N73" s="152"/>
      <c r="O73" s="103">
        <v>2433</v>
      </c>
      <c r="P73" s="103">
        <f>Q73</f>
        <v>487212</v>
      </c>
      <c r="Q73" s="103">
        <v>487212</v>
      </c>
      <c r="R73" s="103">
        <f>P73/AD73</f>
        <v>16240.4</v>
      </c>
      <c r="S73" s="103">
        <f t="shared" ref="S73:S83" si="288">P73/O73</f>
        <v>200.25154130702836</v>
      </c>
      <c r="T73" s="103">
        <f t="shared" ref="T73:T83" si="289">Q73/O73</f>
        <v>200.25154130702836</v>
      </c>
      <c r="U73" s="103">
        <f t="shared" ref="U73:U83" si="290">Q73/AK73</f>
        <v>191.48855891901238</v>
      </c>
      <c r="V73" s="103">
        <f t="shared" ref="V73:V83" si="291">Q73/AD73</f>
        <v>16240.4</v>
      </c>
      <c r="W73" s="103">
        <f t="shared" ref="W73:W83" si="292">O73/AD73</f>
        <v>81.099999999999994</v>
      </c>
      <c r="X73" s="104">
        <v>782</v>
      </c>
      <c r="Y73" s="444">
        <f t="shared" si="261"/>
        <v>123.30456226880395</v>
      </c>
      <c r="Z73" s="104" t="s">
        <v>148</v>
      </c>
      <c r="AA73" s="104">
        <v>528</v>
      </c>
      <c r="AB73" s="105">
        <v>0.05</v>
      </c>
      <c r="AC73" s="22" t="s">
        <v>9</v>
      </c>
      <c r="AD73" s="426">
        <f t="shared" si="262"/>
        <v>30</v>
      </c>
      <c r="AE73" s="426">
        <f t="shared" si="263"/>
        <v>30</v>
      </c>
      <c r="AF73" s="22">
        <v>30</v>
      </c>
      <c r="AG73" s="32"/>
      <c r="AH73" s="32"/>
      <c r="AI73" s="32"/>
      <c r="AJ73" s="614">
        <v>2141.6999999999998</v>
      </c>
      <c r="AK73" s="222">
        <v>2544.34</v>
      </c>
      <c r="AL73" s="492">
        <f t="shared" si="264"/>
        <v>71.39</v>
      </c>
      <c r="AM73" s="4">
        <f t="shared" si="265"/>
        <v>84.811333333333337</v>
      </c>
      <c r="AN73" s="26">
        <v>7.69</v>
      </c>
      <c r="AO73" s="26">
        <v>6.47</v>
      </c>
      <c r="AP73" s="26">
        <v>548.97</v>
      </c>
      <c r="AQ73" s="39">
        <f>4/AD73</f>
        <v>0.13333333333333333</v>
      </c>
      <c r="AR73" s="39">
        <f>7/AD73</f>
        <v>0.23333333333333334</v>
      </c>
      <c r="AS73" s="39">
        <f>9/AD73</f>
        <v>0.3</v>
      </c>
      <c r="AT73" s="39">
        <f>8/AD73</f>
        <v>0.26666666666666666</v>
      </c>
      <c r="AU73" s="39">
        <f>2/AD73</f>
        <v>6.6666666666666666E-2</v>
      </c>
      <c r="AV73" s="26"/>
      <c r="AW73" s="37">
        <v>0</v>
      </c>
      <c r="AX73" s="39">
        <f>AW73/O73</f>
        <v>0</v>
      </c>
      <c r="AY73" s="26">
        <v>4.5</v>
      </c>
      <c r="AZ73" s="25" t="s">
        <v>386</v>
      </c>
      <c r="BA73" s="22" t="s">
        <v>94</v>
      </c>
      <c r="BB73" s="22"/>
      <c r="BC73" s="22"/>
      <c r="BD73" s="22"/>
      <c r="BE73" s="22"/>
      <c r="BF73" s="148" t="s">
        <v>232</v>
      </c>
      <c r="BG73" s="148"/>
      <c r="BH73" s="124">
        <v>40816</v>
      </c>
      <c r="BI73" s="148" t="s">
        <v>775</v>
      </c>
      <c r="BJ73" s="548">
        <v>42459</v>
      </c>
      <c r="BK73" s="548">
        <v>42618</v>
      </c>
      <c r="BL73" s="549">
        <v>42646</v>
      </c>
      <c r="BM73" s="547">
        <f t="shared" si="266"/>
        <v>5.3</v>
      </c>
      <c r="BN73" s="490" t="s">
        <v>229</v>
      </c>
      <c r="BO73" s="385"/>
      <c r="BP73" s="473"/>
      <c r="BQ73" s="536">
        <f t="shared" si="247"/>
        <v>0</v>
      </c>
      <c r="BR73" s="530"/>
      <c r="BS73" s="77">
        <f>DATE(YEAR(BP73),MONTH(BP73)+3,DAY(BP73))</f>
        <v>91</v>
      </c>
      <c r="BT73" s="80"/>
      <c r="BU73" s="151"/>
      <c r="BV73" s="150">
        <f t="shared" si="267"/>
        <v>1096</v>
      </c>
      <c r="BW73" s="373"/>
      <c r="BX73" s="150" t="str">
        <f>IF(Tableau6[[#This Row],[Montant des loyers perçus avant 1e échéance]]&lt;BW73,"oui","non")</f>
        <v>non</v>
      </c>
      <c r="BY73" s="475">
        <f t="shared" ref="BY73:BY83" si="293">(BV73-EL73)/30</f>
        <v>-1454.5333333333333</v>
      </c>
      <c r="BZ73" s="373" t="str">
        <f t="shared" ref="BZ73:BZ83" si="294">IF((BY73*EO73)&lt;0,"0",BY73*EO73)</f>
        <v>0</v>
      </c>
      <c r="CA73" s="373">
        <f>IF(BW73-BZ73&lt;0,0,Tableau6[[#This Row],[Montant échéance annuelle]]-Tableau6[[#This Row],[Montant des loyers perçus avant 1e échéance]])</f>
        <v>0</v>
      </c>
      <c r="CB73" s="64"/>
      <c r="CC73" s="64"/>
      <c r="CD73" s="64"/>
      <c r="CE73" s="290" t="str">
        <f t="shared" si="253"/>
        <v>0</v>
      </c>
      <c r="CF73" s="64"/>
      <c r="CG73" s="64"/>
      <c r="CH73" s="273" t="str">
        <f t="shared" si="254"/>
        <v>0</v>
      </c>
      <c r="CI73" s="64"/>
      <c r="CJ73" s="64"/>
      <c r="CK73" s="273" t="str">
        <f t="shared" si="255"/>
        <v>0</v>
      </c>
      <c r="CL73" s="64"/>
      <c r="CM73" s="64"/>
      <c r="CN73" s="273" t="str">
        <f t="shared" si="256"/>
        <v>0</v>
      </c>
      <c r="CO73" s="64"/>
      <c r="CP73" s="64"/>
      <c r="CQ73" s="273" t="str">
        <f t="shared" si="268"/>
        <v>0</v>
      </c>
      <c r="CR73" s="237"/>
      <c r="CS73" s="293"/>
      <c r="CT73" s="282"/>
      <c r="CU73" s="282"/>
      <c r="CV73" s="279" t="str">
        <f t="shared" si="230"/>
        <v>0</v>
      </c>
      <c r="CW73" s="284"/>
      <c r="CX73" s="382">
        <v>44124</v>
      </c>
      <c r="CY73" s="179"/>
      <c r="CZ73" s="236">
        <f t="shared" si="243"/>
        <v>50.2</v>
      </c>
      <c r="DA73" s="279" t="str">
        <f t="shared" si="269"/>
        <v>0</v>
      </c>
      <c r="DB73" s="384">
        <v>16</v>
      </c>
      <c r="DC73" s="127">
        <f t="shared" si="270"/>
        <v>19</v>
      </c>
      <c r="DD73" s="277">
        <v>43692</v>
      </c>
      <c r="DE73" s="282">
        <f ca="1">IF(DD73&lt;TODAY(),TODAY(),DD73)</f>
        <v>43998</v>
      </c>
      <c r="DF73" s="279">
        <f t="shared" ca="1" si="271"/>
        <v>306</v>
      </c>
      <c r="DG73" s="277">
        <f>DATE(YEAR(DD73),MONTH(DD73)+2,DAY(DD73))</f>
        <v>43753</v>
      </c>
      <c r="DH73" s="295">
        <f ca="1">IF(DG73&lt;TODAY(),TODAY(),DG73)</f>
        <v>43998</v>
      </c>
      <c r="DI73" s="280">
        <f t="shared" ca="1" si="272"/>
        <v>245</v>
      </c>
      <c r="DJ73" s="282"/>
      <c r="DK73" s="295">
        <f ca="1">IF(DJ73&lt;TODAY(),TODAY(),DJ73)</f>
        <v>43998</v>
      </c>
      <c r="DL73" s="279" t="str">
        <f t="shared" ca="1" si="273"/>
        <v>0</v>
      </c>
      <c r="DM73" s="282"/>
      <c r="DN73" s="282">
        <f ca="1">IF(DM73&lt;TODAY(),TODAY(),DM73)</f>
        <v>43998</v>
      </c>
      <c r="DO73" s="279" t="str">
        <f t="shared" ca="1" si="274"/>
        <v>0</v>
      </c>
      <c r="DP73" s="283"/>
      <c r="DQ73" s="283"/>
      <c r="DR73" s="279" t="str">
        <f t="shared" si="275"/>
        <v>0</v>
      </c>
      <c r="DS73" s="282"/>
      <c r="DT73" s="282">
        <f ca="1">IF(DS73&lt;TODAY(),TODAY(),DS73)</f>
        <v>43998</v>
      </c>
      <c r="DU73" s="279" t="str">
        <f t="shared" ca="1" si="276"/>
        <v>0</v>
      </c>
      <c r="DV73" s="282"/>
      <c r="DW73" s="282">
        <f ca="1">IF(DV73&lt;TODAY(),TODAY(),DV73)</f>
        <v>43998</v>
      </c>
      <c r="DX73" s="279" t="str">
        <f t="shared" ca="1" si="277"/>
        <v>0</v>
      </c>
      <c r="DY73" s="282"/>
      <c r="DZ73" s="282"/>
      <c r="EA73" s="282"/>
      <c r="EB73" s="410">
        <f t="shared" si="259"/>
        <v>44612</v>
      </c>
      <c r="EC73" s="409">
        <f>DATE(YEAR(EB73),MONTH(EB73)+3,DAY(EB73))</f>
        <v>44701</v>
      </c>
      <c r="ED73" s="406">
        <f t="shared" si="278"/>
        <v>2.9666666666666668</v>
      </c>
      <c r="EE73" s="505">
        <f t="shared" ca="1" si="257"/>
        <v>23.433333333333334</v>
      </c>
      <c r="EF73" s="409">
        <f ca="1">DATE(YEAR(DH73)+2,MONTH(DH73),DAY(DH73))</f>
        <v>44728</v>
      </c>
      <c r="EG73" s="457"/>
      <c r="EH73" s="448"/>
      <c r="EI73" s="458"/>
      <c r="EJ73" s="242"/>
      <c r="EK73" s="456">
        <f t="shared" si="260"/>
        <v>44640</v>
      </c>
      <c r="EL73" s="409">
        <f t="shared" si="260"/>
        <v>44732</v>
      </c>
      <c r="EM73" s="314"/>
      <c r="EN73" s="404">
        <f t="shared" ref="EN73:EN83" si="295">(DATEDIF(EK73,EL73,"d"))/30</f>
        <v>3.0666666666666669</v>
      </c>
      <c r="EO73" s="394">
        <v>16515</v>
      </c>
      <c r="EP73" s="131">
        <f t="shared" si="279"/>
        <v>50646</v>
      </c>
      <c r="EQ73" s="145"/>
      <c r="ER73" s="145"/>
      <c r="ES73" s="742"/>
      <c r="ET73" s="300">
        <v>0</v>
      </c>
      <c r="EU73" s="300">
        <v>0</v>
      </c>
      <c r="EV73" s="300"/>
      <c r="EW73" s="300"/>
      <c r="EX73" s="300"/>
      <c r="EY73" s="416">
        <f t="shared" si="258"/>
        <v>0</v>
      </c>
      <c r="EZ73" s="297"/>
      <c r="FA73" s="308"/>
      <c r="FB73" s="308" t="s">
        <v>528</v>
      </c>
      <c r="FC73" s="308" t="s">
        <v>785</v>
      </c>
      <c r="FD73" s="89">
        <f t="shared" ca="1" si="241"/>
        <v>44728</v>
      </c>
      <c r="FE73" s="92"/>
      <c r="FF73" s="92"/>
      <c r="FG73" s="92"/>
      <c r="FH73" s="92"/>
      <c r="FI73" s="92"/>
      <c r="FJ73" s="39"/>
      <c r="FK73" s="146">
        <f t="shared" si="252"/>
        <v>45066</v>
      </c>
      <c r="FL73" s="146"/>
      <c r="FM73" s="146"/>
      <c r="FN73" s="39"/>
      <c r="FO73" s="39"/>
      <c r="FP73" s="39"/>
      <c r="FQ73" s="39"/>
      <c r="FR73" s="39"/>
      <c r="FS73" s="39"/>
      <c r="FT73" s="39"/>
      <c r="FU73" s="39"/>
      <c r="FV73" s="39"/>
      <c r="FW73" s="39"/>
      <c r="FX73" s="39"/>
      <c r="FY73" s="39"/>
      <c r="FZ73" s="39"/>
      <c r="GA73" s="451"/>
      <c r="GB73" s="471">
        <f>GD73+GG73+GJ73+HF73+Tableau6[[#This Row],[PRÊT CREDIT D''IMPOT (PM)]]</f>
        <v>5491512.8399999999</v>
      </c>
      <c r="GC73" s="644">
        <f t="shared" ref="GC73:GC83" si="296">GB73</f>
        <v>5491512.8399999999</v>
      </c>
      <c r="GD73" s="507">
        <f t="shared" ref="GD73:GD104" si="297">GP73+GQ73+GT73+GU73</f>
        <v>317790</v>
      </c>
      <c r="GE73" s="20">
        <f t="shared" si="280"/>
        <v>2158.3250823396243</v>
      </c>
      <c r="GF73" s="20">
        <f t="shared" si="281"/>
        <v>183050.42799999999</v>
      </c>
      <c r="GG73" s="503">
        <v>1861285.76</v>
      </c>
      <c r="GH73" s="351"/>
      <c r="GI73" s="20">
        <f t="shared" si="225"/>
        <v>62042.858666666667</v>
      </c>
      <c r="GJ73" s="503">
        <f t="shared" si="282"/>
        <v>3312437.08</v>
      </c>
      <c r="GK73" s="5">
        <f>GL73+GM73</f>
        <v>3312437.08</v>
      </c>
      <c r="GL73" s="774">
        <v>689165.08</v>
      </c>
      <c r="GM73" s="774">
        <v>2623272</v>
      </c>
      <c r="GN73" s="345">
        <f t="shared" si="283"/>
        <v>110414.56933333333</v>
      </c>
      <c r="GO73" s="35">
        <v>0</v>
      </c>
      <c r="GP73" s="578">
        <v>270000</v>
      </c>
      <c r="GQ73" s="35"/>
      <c r="GR73" s="18">
        <f t="shared" si="284"/>
        <v>4.9166779331431008E-2</v>
      </c>
      <c r="GS73" s="45"/>
      <c r="GT73" s="45"/>
      <c r="GU73" s="35">
        <v>47790</v>
      </c>
      <c r="GV73" s="20">
        <f t="shared" si="248"/>
        <v>9000</v>
      </c>
      <c r="GW73" s="20">
        <f t="shared" si="249"/>
        <v>71042.858666666652</v>
      </c>
      <c r="GX73" s="569">
        <v>0</v>
      </c>
      <c r="GY73" s="569">
        <v>0</v>
      </c>
      <c r="GZ73" s="567">
        <f>(GG73+GP73+GY73)/AD73</f>
        <v>71042.858666666652</v>
      </c>
      <c r="HA73" s="569">
        <v>0</v>
      </c>
      <c r="HB73" s="569">
        <f t="shared" si="250"/>
        <v>71042.858666666652</v>
      </c>
      <c r="HC73" s="568">
        <f t="shared" ref="HC73:HC83" si="298">(GG73+GP73+GY73+HA73)/(GX73+GB73-HD73)</f>
        <v>0.38810539501533786</v>
      </c>
      <c r="HD73" s="569"/>
      <c r="HE73" s="569"/>
      <c r="HF73" s="503">
        <f>EU73</f>
        <v>0</v>
      </c>
      <c r="HG73" s="637">
        <v>1011295</v>
      </c>
      <c r="HH73" s="634">
        <f t="shared" si="285"/>
        <v>0.18415599297770194</v>
      </c>
      <c r="HI73" s="633">
        <f t="shared" si="251"/>
        <v>4480217.84</v>
      </c>
      <c r="HJ73" s="633" t="e">
        <f ca="1">IF(EE73&lt;DATEDIF(TODAY(),$HJ$1,"M"),HI73,(HI73/EE73*DATEDIF(TODAY(),$HJ$1,"M")))*0+150000</f>
        <v>#VALUE!</v>
      </c>
      <c r="HK73" s="634" t="e">
        <f ca="1">(HJ73+HG73)/GB73</f>
        <v>#VALUE!</v>
      </c>
      <c r="HL73" s="633">
        <f>'[1]GLOBAL OPERATION'!$AG$79</f>
        <v>2979650.37</v>
      </c>
      <c r="HM73" s="633">
        <f t="shared" si="286"/>
        <v>-2661860.37</v>
      </c>
      <c r="HN73" s="634">
        <f t="shared" si="287"/>
        <v>9.3761615217596521</v>
      </c>
      <c r="HO73" s="634" t="s">
        <v>748</v>
      </c>
      <c r="HP73" s="563">
        <v>640333.16</v>
      </c>
      <c r="HQ73" s="47">
        <v>510000</v>
      </c>
      <c r="HR73" s="563">
        <v>421396.2</v>
      </c>
      <c r="HS73" s="563">
        <f>SUM(Tableau6[[#This Row],[GO]:[CARRELAGE]])</f>
        <v>4000823.09</v>
      </c>
      <c r="HT73" s="461">
        <v>2439000</v>
      </c>
      <c r="HU73" s="461">
        <v>415887.32999999996</v>
      </c>
      <c r="HV73" s="461">
        <v>154009</v>
      </c>
      <c r="HW73" s="461">
        <v>182419</v>
      </c>
      <c r="HX73" s="461">
        <v>119240</v>
      </c>
      <c r="HY73" s="461">
        <v>96151</v>
      </c>
      <c r="HZ73" s="461">
        <v>164402.54999999999</v>
      </c>
      <c r="IA73" s="461">
        <v>122613</v>
      </c>
      <c r="IB73" s="461">
        <v>91343</v>
      </c>
      <c r="IC73" s="461">
        <v>34690</v>
      </c>
      <c r="ID73" s="461">
        <v>110807</v>
      </c>
      <c r="IE73" s="461">
        <v>70261.210000000006</v>
      </c>
      <c r="IF73" s="461"/>
      <c r="IG73" s="563">
        <v>616442</v>
      </c>
      <c r="IH73" s="563">
        <v>159929</v>
      </c>
      <c r="II73" s="563">
        <f>HP73+HR73+Tableau6[[#This Row],[TRAVAUX BATIS]]+Tableau6[[#This Row],[HONORAIRES]]+IH73</f>
        <v>5838923.4500000002</v>
      </c>
      <c r="IJ73" s="654">
        <f>Tableau6[[#This Row],[TOTAL PRP HT]]-Tableau6[[#This Row],[PRP TTC HORS FRAFU]]/1.021</f>
        <v>460360.43334965687</v>
      </c>
      <c r="IK73" s="9"/>
      <c r="IL73" s="9"/>
      <c r="IM73" s="9"/>
      <c r="IN73" s="9"/>
      <c r="IO73" s="9"/>
      <c r="IP73" s="9"/>
      <c r="IQ73" s="9"/>
      <c r="IR73" s="9"/>
      <c r="IS73" s="9"/>
      <c r="IT73" s="9"/>
      <c r="IU73" s="9"/>
      <c r="IV73" s="9"/>
    </row>
    <row r="74" spans="1:256" ht="32.25" customHeight="1">
      <c r="A74" s="48" t="s">
        <v>201</v>
      </c>
      <c r="B74" s="23" t="s">
        <v>25</v>
      </c>
      <c r="C74" s="23" t="s">
        <v>88</v>
      </c>
      <c r="D74" s="23">
        <v>2014</v>
      </c>
      <c r="E74" s="23" t="s">
        <v>126</v>
      </c>
      <c r="F74" s="23"/>
      <c r="G74" s="168" t="s">
        <v>139</v>
      </c>
      <c r="H74" s="22" t="s">
        <v>181</v>
      </c>
      <c r="I74" s="23" t="s">
        <v>94</v>
      </c>
      <c r="J74" s="23"/>
      <c r="K74" s="102"/>
      <c r="L74" s="81" t="s">
        <v>43</v>
      </c>
      <c r="M74" s="82" t="s">
        <v>108</v>
      </c>
      <c r="N74" s="83">
        <v>41407</v>
      </c>
      <c r="O74" s="108">
        <v>1750</v>
      </c>
      <c r="P74" s="108">
        <v>325000</v>
      </c>
      <c r="Q74" s="108">
        <v>85500</v>
      </c>
      <c r="R74" s="103">
        <f>P74/AD74</f>
        <v>36111.111111111109</v>
      </c>
      <c r="S74" s="108">
        <f t="shared" si="288"/>
        <v>185.71428571428572</v>
      </c>
      <c r="T74" s="109">
        <f t="shared" si="289"/>
        <v>48.857142857142854</v>
      </c>
      <c r="U74" s="109">
        <f t="shared" si="290"/>
        <v>102.57640742629196</v>
      </c>
      <c r="V74" s="109">
        <f t="shared" si="291"/>
        <v>9500</v>
      </c>
      <c r="W74" s="103">
        <f t="shared" si="292"/>
        <v>194.44444444444446</v>
      </c>
      <c r="X74" s="110"/>
      <c r="Y74" s="446">
        <f t="shared" si="261"/>
        <v>51.428571428571431</v>
      </c>
      <c r="Z74" s="110" t="s">
        <v>148</v>
      </c>
      <c r="AA74" s="114">
        <v>30</v>
      </c>
      <c r="AB74" s="111"/>
      <c r="AC74" s="23" t="s">
        <v>9</v>
      </c>
      <c r="AD74" s="426">
        <f t="shared" si="262"/>
        <v>9</v>
      </c>
      <c r="AE74" s="426">
        <f t="shared" si="263"/>
        <v>9</v>
      </c>
      <c r="AF74" s="23">
        <v>9</v>
      </c>
      <c r="AG74" s="135"/>
      <c r="AH74" s="32"/>
      <c r="AI74" s="32"/>
      <c r="AJ74" s="614">
        <v>809.20999999999992</v>
      </c>
      <c r="AK74" s="222">
        <v>833.52499999999986</v>
      </c>
      <c r="AL74" s="492">
        <f t="shared" si="264"/>
        <v>89.912222222222212</v>
      </c>
      <c r="AM74" s="4">
        <f t="shared" si="265"/>
        <v>92.61388888888888</v>
      </c>
      <c r="AN74" s="26">
        <v>6.47</v>
      </c>
      <c r="AO74" s="26">
        <v>6.28</v>
      </c>
      <c r="AP74" s="26">
        <v>581.72</v>
      </c>
      <c r="AQ74" s="29">
        <v>0</v>
      </c>
      <c r="AR74" s="29">
        <v>0</v>
      </c>
      <c r="AS74" s="29">
        <v>0</v>
      </c>
      <c r="AT74" s="40">
        <f>8/AD74</f>
        <v>0.88888888888888884</v>
      </c>
      <c r="AU74" s="40">
        <f>1/AD74</f>
        <v>0.1111111111111111</v>
      </c>
      <c r="AV74" s="27"/>
      <c r="AW74" s="38">
        <v>0</v>
      </c>
      <c r="AX74" s="40">
        <f>AW74/O74</f>
        <v>0</v>
      </c>
      <c r="AY74" s="27">
        <v>2</v>
      </c>
      <c r="AZ74" s="23" t="s">
        <v>385</v>
      </c>
      <c r="BA74" s="23" t="s">
        <v>95</v>
      </c>
      <c r="BB74" s="23"/>
      <c r="BC74" s="23"/>
      <c r="BD74" s="23"/>
      <c r="BE74" s="23"/>
      <c r="BF74" s="160">
        <v>41591</v>
      </c>
      <c r="BG74" s="160"/>
      <c r="BH74" s="160">
        <v>41773</v>
      </c>
      <c r="BI74" s="160"/>
      <c r="BJ74" s="548">
        <v>41728</v>
      </c>
      <c r="BK74" s="548">
        <v>41800</v>
      </c>
      <c r="BL74" s="549"/>
      <c r="BM74" s="547">
        <f t="shared" si="266"/>
        <v>2.4</v>
      </c>
      <c r="BN74" s="490"/>
      <c r="BO74" s="77">
        <v>42054</v>
      </c>
      <c r="BP74" s="100">
        <v>42059</v>
      </c>
      <c r="BQ74" s="536">
        <f t="shared" si="247"/>
        <v>0.16666666666666666</v>
      </c>
      <c r="BR74" s="100"/>
      <c r="BS74" s="77">
        <v>42147</v>
      </c>
      <c r="BT74" s="77">
        <v>42074</v>
      </c>
      <c r="BU74" s="151">
        <v>42156</v>
      </c>
      <c r="BV74" s="150">
        <f t="shared" si="267"/>
        <v>43252</v>
      </c>
      <c r="BW74" s="373">
        <f>8170+32642</f>
        <v>40812</v>
      </c>
      <c r="BX74" s="150" t="str">
        <f>IF(Tableau6[[#This Row],[Montant des loyers perçus avant 1e échéance]]&lt;BW74,"oui","non")</f>
        <v>oui</v>
      </c>
      <c r="BY74" s="475">
        <f t="shared" si="293"/>
        <v>1.2333333333333334</v>
      </c>
      <c r="BZ74" s="373">
        <f t="shared" si="294"/>
        <v>7545.9325504391591</v>
      </c>
      <c r="CA74" s="373">
        <f>IF(BW74-BZ74&lt;0,0,Tableau6[[#This Row],[Montant échéance annuelle]]-Tableau6[[#This Row],[Montant des loyers perçus avant 1e échéance]])</f>
        <v>33266.06744956084</v>
      </c>
      <c r="CB74" s="64">
        <v>41548</v>
      </c>
      <c r="CC74" s="64">
        <v>41549</v>
      </c>
      <c r="CD74" s="64">
        <v>41555</v>
      </c>
      <c r="CE74" s="273">
        <f t="shared" si="253"/>
        <v>6</v>
      </c>
      <c r="CF74" s="64">
        <v>41676</v>
      </c>
      <c r="CG74" s="64">
        <v>41676</v>
      </c>
      <c r="CH74" s="273">
        <f t="shared" si="254"/>
        <v>0</v>
      </c>
      <c r="CI74" s="64">
        <v>41684</v>
      </c>
      <c r="CJ74" s="64">
        <v>41688</v>
      </c>
      <c r="CK74" s="273">
        <f t="shared" si="255"/>
        <v>4</v>
      </c>
      <c r="CL74" s="64">
        <v>41773</v>
      </c>
      <c r="CM74" s="64">
        <v>41801</v>
      </c>
      <c r="CN74" s="273">
        <f t="shared" si="256"/>
        <v>28</v>
      </c>
      <c r="CO74" s="64">
        <v>41946</v>
      </c>
      <c r="CP74" s="64">
        <v>41946</v>
      </c>
      <c r="CQ74" s="273">
        <f t="shared" si="268"/>
        <v>0</v>
      </c>
      <c r="CR74" s="238"/>
      <c r="CS74" s="64">
        <v>42146</v>
      </c>
      <c r="CT74" s="64">
        <v>42158</v>
      </c>
      <c r="CU74" s="64">
        <v>42500</v>
      </c>
      <c r="CV74" s="273">
        <f t="shared" si="230"/>
        <v>342</v>
      </c>
      <c r="CW74" s="64">
        <v>42083</v>
      </c>
      <c r="CX74" s="183">
        <v>42500</v>
      </c>
      <c r="CY74" s="177">
        <v>2016</v>
      </c>
      <c r="CZ74" s="233">
        <f t="shared" si="243"/>
        <v>23.333333333333332</v>
      </c>
      <c r="DA74" s="273">
        <f t="shared" si="269"/>
        <v>417</v>
      </c>
      <c r="DB74" s="59">
        <v>13</v>
      </c>
      <c r="DC74" s="59">
        <f t="shared" si="270"/>
        <v>22</v>
      </c>
      <c r="DD74" s="64">
        <v>42552</v>
      </c>
      <c r="DE74" s="64">
        <v>42906</v>
      </c>
      <c r="DF74" s="273">
        <f t="shared" si="271"/>
        <v>354</v>
      </c>
      <c r="DG74" s="275">
        <v>42615</v>
      </c>
      <c r="DH74" s="274">
        <v>42604</v>
      </c>
      <c r="DI74" s="276">
        <f t="shared" si="272"/>
        <v>-11</v>
      </c>
      <c r="DJ74" s="275">
        <v>42705</v>
      </c>
      <c r="DK74" s="274">
        <v>42906</v>
      </c>
      <c r="DL74" s="273">
        <f t="shared" si="273"/>
        <v>201</v>
      </c>
      <c r="DM74" s="64">
        <v>42775</v>
      </c>
      <c r="DN74" s="64">
        <v>43035</v>
      </c>
      <c r="DO74" s="273">
        <f t="shared" si="274"/>
        <v>260</v>
      </c>
      <c r="DP74" s="64">
        <v>42801</v>
      </c>
      <c r="DQ74" s="64">
        <v>42979</v>
      </c>
      <c r="DR74" s="273">
        <f t="shared" si="275"/>
        <v>178</v>
      </c>
      <c r="DS74" s="64">
        <v>42818</v>
      </c>
      <c r="DT74" s="64">
        <v>43017</v>
      </c>
      <c r="DU74" s="273">
        <f t="shared" si="276"/>
        <v>199</v>
      </c>
      <c r="DV74" s="64">
        <v>42879</v>
      </c>
      <c r="DW74" s="64">
        <v>43149</v>
      </c>
      <c r="DX74" s="273">
        <f t="shared" si="277"/>
        <v>270</v>
      </c>
      <c r="DY74" s="64">
        <v>43059</v>
      </c>
      <c r="DZ74" s="64" t="s">
        <v>379</v>
      </c>
      <c r="EA74" s="64">
        <v>43069</v>
      </c>
      <c r="EB74" s="240">
        <f t="shared" si="259"/>
        <v>42896</v>
      </c>
      <c r="EC74" s="183">
        <v>43171</v>
      </c>
      <c r="ED74" s="401">
        <f t="shared" si="278"/>
        <v>9.1666666666666661</v>
      </c>
      <c r="EE74" s="762">
        <f t="shared" ca="1" si="257"/>
        <v>0</v>
      </c>
      <c r="EF74" s="183"/>
      <c r="EG74" s="773">
        <v>43206</v>
      </c>
      <c r="EH74" s="58" t="s">
        <v>101</v>
      </c>
      <c r="EI74" s="764">
        <v>43205</v>
      </c>
      <c r="EJ74" s="240"/>
      <c r="EK74" s="455">
        <f>DATE(YEAR(EB74),MONTH(EB74)+1,DAY(EB74))</f>
        <v>42926</v>
      </c>
      <c r="EL74" s="229">
        <v>43215</v>
      </c>
      <c r="EM74" s="177">
        <v>2018</v>
      </c>
      <c r="EN74" s="399">
        <f t="shared" si="295"/>
        <v>9.6333333333333329</v>
      </c>
      <c r="EO74" s="388">
        <v>6118.3236895452637</v>
      </c>
      <c r="EP74" s="158">
        <f t="shared" si="279"/>
        <v>58939.85154261937</v>
      </c>
      <c r="EQ74" s="159">
        <v>43167</v>
      </c>
      <c r="ER74" s="159"/>
      <c r="ES74" s="133"/>
      <c r="ET74" s="300">
        <v>0</v>
      </c>
      <c r="EU74" s="387">
        <v>24629</v>
      </c>
      <c r="EV74" s="300">
        <f>3369*1.021</f>
        <v>3439.7489999999998</v>
      </c>
      <c r="EW74" s="416"/>
      <c r="EX74" s="300">
        <f>26909*1.021</f>
        <v>27474.088999999996</v>
      </c>
      <c r="EY74" s="416">
        <f t="shared" si="258"/>
        <v>1.4735779964763393E-2</v>
      </c>
      <c r="EZ74" s="298" t="s">
        <v>492</v>
      </c>
      <c r="FA74" s="420" t="s">
        <v>569</v>
      </c>
      <c r="FB74" s="420" t="s">
        <v>578</v>
      </c>
      <c r="FC74" s="299" t="s">
        <v>718</v>
      </c>
      <c r="FD74" s="89">
        <f t="shared" si="241"/>
        <v>43334</v>
      </c>
      <c r="FE74" s="159"/>
      <c r="FF74" s="159">
        <v>43259</v>
      </c>
      <c r="FG74" s="159"/>
      <c r="FH74" s="159" t="s">
        <v>101</v>
      </c>
      <c r="FI74" s="159">
        <v>43319</v>
      </c>
      <c r="FJ74" s="160">
        <v>43418</v>
      </c>
      <c r="FK74" s="159">
        <v>43536</v>
      </c>
      <c r="FL74" s="159"/>
      <c r="FM74" s="486"/>
      <c r="FN74" s="168" t="s">
        <v>101</v>
      </c>
      <c r="FO74" s="160">
        <v>43262</v>
      </c>
      <c r="FP74" s="160">
        <v>43423</v>
      </c>
      <c r="FQ74" s="23"/>
      <c r="FR74" s="23"/>
      <c r="FS74" s="23"/>
      <c r="FT74" s="23"/>
      <c r="FU74" s="23"/>
      <c r="FV74" s="89"/>
      <c r="FW74" s="160">
        <v>43223</v>
      </c>
      <c r="FX74" s="23"/>
      <c r="FY74" s="23"/>
      <c r="FZ74" s="23" t="s">
        <v>101</v>
      </c>
      <c r="GA74" s="487">
        <v>1544438</v>
      </c>
      <c r="GB74" s="471">
        <f>GD74+GG74+GJ74+HF74+Tableau6[[#This Row],[PRÊT CREDIT D''IMPOT (PM)]]</f>
        <v>1864447.56</v>
      </c>
      <c r="GC74" s="644">
        <f t="shared" si="296"/>
        <v>1864447.56</v>
      </c>
      <c r="GD74" s="507">
        <f t="shared" si="297"/>
        <v>27159.56</v>
      </c>
      <c r="GE74" s="20">
        <f t="shared" si="280"/>
        <v>2236.822602801356</v>
      </c>
      <c r="GF74" s="20">
        <f t="shared" si="281"/>
        <v>207160.84</v>
      </c>
      <c r="GG74" s="508">
        <v>614225</v>
      </c>
      <c r="GH74" s="351"/>
      <c r="GI74" s="20">
        <f t="shared" si="225"/>
        <v>68247.222222222219</v>
      </c>
      <c r="GJ74" s="508">
        <f t="shared" si="282"/>
        <v>1199946</v>
      </c>
      <c r="GK74" s="5">
        <f>GL74+GM74</f>
        <v>1199946</v>
      </c>
      <c r="GL74" s="149">
        <v>270994</v>
      </c>
      <c r="GM74" s="149">
        <v>928952</v>
      </c>
      <c r="GN74" s="345">
        <f t="shared" si="283"/>
        <v>133327.33333333334</v>
      </c>
      <c r="GO74" s="36">
        <v>0</v>
      </c>
      <c r="GP74" s="36">
        <v>1</v>
      </c>
      <c r="GQ74" s="35">
        <v>27158.560000000001</v>
      </c>
      <c r="GR74" s="18">
        <f t="shared" si="284"/>
        <v>5.3635190468966585E-7</v>
      </c>
      <c r="GS74" s="45"/>
      <c r="GT74" s="45"/>
      <c r="GU74" s="36">
        <v>0</v>
      </c>
      <c r="GV74" s="20">
        <f t="shared" si="248"/>
        <v>0.1111111111111111</v>
      </c>
      <c r="GW74" s="20">
        <f t="shared" si="249"/>
        <v>68247.333333333328</v>
      </c>
      <c r="GX74" s="569">
        <v>0</v>
      </c>
      <c r="GY74" s="569">
        <v>0</v>
      </c>
      <c r="GZ74" s="567" t="e">
        <f>(#REF!+#REF!+GY74)/AD74</f>
        <v>#REF!</v>
      </c>
      <c r="HA74" s="569"/>
      <c r="HB74" s="569">
        <f t="shared" si="250"/>
        <v>68247.333333333328</v>
      </c>
      <c r="HC74" s="568">
        <f t="shared" si="298"/>
        <v>0.32944128500991465</v>
      </c>
      <c r="HD74" s="569"/>
      <c r="HE74" s="569"/>
      <c r="HF74" s="508">
        <v>23117</v>
      </c>
      <c r="HG74" s="638">
        <v>1803727.2934400002</v>
      </c>
      <c r="HH74" s="634">
        <f t="shared" si="285"/>
        <v>0.96743256937727984</v>
      </c>
      <c r="HI74" s="635">
        <f t="shared" si="251"/>
        <v>60720.266559999902</v>
      </c>
      <c r="HJ74" s="633" t="e">
        <f t="shared" ref="HJ74:HJ89" ca="1" si="299">IF(EE74&lt;DATEDIF(TODAY(),$HJ$1,"M"),HI74,(HI74/EE74*DATEDIF(TODAY(),$HJ$1,"M")))</f>
        <v>#VALUE!</v>
      </c>
      <c r="HK74" s="633"/>
      <c r="HL74" s="639">
        <f>'[1]GLOBAL OPERATION'!$AG$46</f>
        <v>30000</v>
      </c>
      <c r="HM74" s="633">
        <f t="shared" si="286"/>
        <v>-2840.4399999999987</v>
      </c>
      <c r="HN74" s="636">
        <f t="shared" si="287"/>
        <v>1.1045834321321848</v>
      </c>
      <c r="HO74" s="636"/>
      <c r="HP74" s="563"/>
      <c r="HQ74" s="47"/>
      <c r="HR74" s="563"/>
      <c r="HS74" s="563">
        <f>SUM(Tableau6[[#This Row],[GO]:[CARRELAGE]])</f>
        <v>0</v>
      </c>
      <c r="HT74" s="461"/>
      <c r="HU74" s="461"/>
      <c r="HV74" s="461"/>
      <c r="HW74" s="461"/>
      <c r="HX74" s="461"/>
      <c r="HY74" s="461"/>
      <c r="HZ74" s="461"/>
      <c r="IA74" s="461"/>
      <c r="IB74" s="461"/>
      <c r="IC74" s="461"/>
      <c r="ID74" s="461"/>
      <c r="IE74" s="461"/>
      <c r="IF74" s="461"/>
      <c r="IG74" s="563"/>
      <c r="IH74" s="563"/>
      <c r="II74" s="563">
        <f>HP74+HR74+Tableau6[[#This Row],[TRAVAUX BATIS]]+Tableau6[[#This Row],[HONORAIRES]]+IH74</f>
        <v>0</v>
      </c>
      <c r="IJ74" s="654">
        <f>Tableau6[[#This Row],[TOTAL PRP HT]]-Tableau6[[#This Row],[PRP TTC HORS FRAFU]]/1.021</f>
        <v>-1826099.4711067583</v>
      </c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</row>
    <row r="75" spans="1:256" ht="21.65" customHeight="1">
      <c r="A75" s="596" t="s">
        <v>214</v>
      </c>
      <c r="B75" s="22" t="s">
        <v>25</v>
      </c>
      <c r="C75" s="22" t="s">
        <v>88</v>
      </c>
      <c r="D75" s="22">
        <v>2014</v>
      </c>
      <c r="E75" s="22" t="s">
        <v>123</v>
      </c>
      <c r="F75" s="22" t="s">
        <v>16</v>
      </c>
      <c r="G75" s="57" t="s">
        <v>329</v>
      </c>
      <c r="H75" s="22" t="s">
        <v>181</v>
      </c>
      <c r="I75" s="22"/>
      <c r="J75" s="22"/>
      <c r="K75" s="134" t="s">
        <v>261</v>
      </c>
      <c r="L75" s="81" t="s">
        <v>43</v>
      </c>
      <c r="M75" s="82" t="s">
        <v>108</v>
      </c>
      <c r="N75" s="83"/>
      <c r="O75" s="109">
        <v>2534</v>
      </c>
      <c r="P75" s="109">
        <f>Q75</f>
        <v>217810</v>
      </c>
      <c r="Q75" s="109">
        <v>217810</v>
      </c>
      <c r="R75" s="103">
        <f>P75/AD75</f>
        <v>7260.333333333333</v>
      </c>
      <c r="S75" s="109">
        <f t="shared" si="288"/>
        <v>85.955011838989734</v>
      </c>
      <c r="T75" s="109">
        <f t="shared" si="289"/>
        <v>85.955011838989734</v>
      </c>
      <c r="U75" s="109">
        <f t="shared" si="290"/>
        <v>84.950954581797617</v>
      </c>
      <c r="V75" s="109">
        <f t="shared" si="291"/>
        <v>7260.333333333333</v>
      </c>
      <c r="W75" s="103">
        <f t="shared" si="292"/>
        <v>84.466666666666669</v>
      </c>
      <c r="X75" s="112">
        <f>523.3+554</f>
        <v>1077.3</v>
      </c>
      <c r="Y75" s="445">
        <f t="shared" si="261"/>
        <v>118.38989739542225</v>
      </c>
      <c r="Z75" s="112"/>
      <c r="AA75" s="104">
        <v>105</v>
      </c>
      <c r="AB75" s="105"/>
      <c r="AC75" s="22" t="s">
        <v>10</v>
      </c>
      <c r="AD75" s="426">
        <f t="shared" si="262"/>
        <v>30</v>
      </c>
      <c r="AE75" s="426">
        <f t="shared" si="263"/>
        <v>30</v>
      </c>
      <c r="AF75" s="32"/>
      <c r="AG75" s="22">
        <v>30</v>
      </c>
      <c r="AH75" s="32"/>
      <c r="AI75" s="32"/>
      <c r="AJ75" s="614">
        <v>2202.3000000000002</v>
      </c>
      <c r="AK75" s="222">
        <v>2563.9499999999998</v>
      </c>
      <c r="AL75" s="492">
        <f t="shared" si="264"/>
        <v>73.410000000000011</v>
      </c>
      <c r="AM75" s="4">
        <f t="shared" si="265"/>
        <v>85.464999999999989</v>
      </c>
      <c r="AN75" s="26">
        <v>5.97</v>
      </c>
      <c r="AO75" s="26">
        <v>5.13</v>
      </c>
      <c r="AP75" s="26">
        <v>438.4627734</v>
      </c>
      <c r="AQ75" s="39">
        <f>2/AD75</f>
        <v>6.6666666666666666E-2</v>
      </c>
      <c r="AR75" s="39">
        <f>12/AD75</f>
        <v>0.4</v>
      </c>
      <c r="AS75" s="39">
        <f>12/AD75</f>
        <v>0.4</v>
      </c>
      <c r="AT75" s="39">
        <f>3/AD75</f>
        <v>0.1</v>
      </c>
      <c r="AU75" s="39">
        <f>1/AD75</f>
        <v>3.3333333333333333E-2</v>
      </c>
      <c r="AV75" s="26"/>
      <c r="AW75" s="37">
        <v>0</v>
      </c>
      <c r="AX75" s="39">
        <f>AW75/O75</f>
        <v>0</v>
      </c>
      <c r="AY75" s="26">
        <v>4</v>
      </c>
      <c r="AZ75" s="25" t="s">
        <v>386</v>
      </c>
      <c r="BA75" s="22" t="s">
        <v>94</v>
      </c>
      <c r="BB75" s="22"/>
      <c r="BC75" s="22"/>
      <c r="BD75" s="22"/>
      <c r="BE75" s="22"/>
      <c r="BF75" s="56">
        <v>41667</v>
      </c>
      <c r="BG75" s="56"/>
      <c r="BH75" s="57"/>
      <c r="BI75" s="57"/>
      <c r="BJ75" s="548">
        <v>41728</v>
      </c>
      <c r="BK75" s="548">
        <v>41890</v>
      </c>
      <c r="BL75" s="549"/>
      <c r="BM75" s="547">
        <f t="shared" si="266"/>
        <v>5.4</v>
      </c>
      <c r="BN75" s="490"/>
      <c r="BO75" s="77">
        <v>42233</v>
      </c>
      <c r="BP75" s="100">
        <v>42262</v>
      </c>
      <c r="BQ75" s="536">
        <f t="shared" si="247"/>
        <v>0.96666666666666667</v>
      </c>
      <c r="BR75" s="100"/>
      <c r="BS75" s="77">
        <v>42353</v>
      </c>
      <c r="BT75" s="77">
        <v>42269</v>
      </c>
      <c r="BU75" s="151">
        <v>42370</v>
      </c>
      <c r="BV75" s="150">
        <f t="shared" si="267"/>
        <v>43466</v>
      </c>
      <c r="BW75" s="373">
        <f>10688+63372</f>
        <v>74060</v>
      </c>
      <c r="BX75" s="150" t="str">
        <f>IF(Tableau6[[#This Row],[Montant des loyers perçus avant 1e échéance]]&lt;BW75,"oui","non")</f>
        <v>oui</v>
      </c>
      <c r="BY75" s="475">
        <f t="shared" si="293"/>
        <v>4.2333333333333334</v>
      </c>
      <c r="BZ75" s="373">
        <f t="shared" si="294"/>
        <v>63877.770362677715</v>
      </c>
      <c r="CA75" s="373">
        <f>IF(BW75-BZ75&lt;0,0,Tableau6[[#This Row],[Montant échéance annuelle]]-Tableau6[[#This Row],[Montant des loyers perçus avant 1e échéance]])</f>
        <v>10182.229637322285</v>
      </c>
      <c r="CB75" s="64">
        <v>41604</v>
      </c>
      <c r="CC75" s="64">
        <v>41544</v>
      </c>
      <c r="CD75" s="64">
        <v>41554</v>
      </c>
      <c r="CE75" s="273">
        <f t="shared" si="253"/>
        <v>10</v>
      </c>
      <c r="CF75" s="64">
        <v>41676</v>
      </c>
      <c r="CG75" s="64">
        <v>41628</v>
      </c>
      <c r="CH75" s="273">
        <f t="shared" si="254"/>
        <v>-48</v>
      </c>
      <c r="CI75" s="64">
        <v>41708</v>
      </c>
      <c r="CJ75" s="64">
        <v>41708</v>
      </c>
      <c r="CK75" s="273">
        <f t="shared" si="255"/>
        <v>0</v>
      </c>
      <c r="CL75" s="64">
        <v>41835</v>
      </c>
      <c r="CM75" s="64">
        <v>41835</v>
      </c>
      <c r="CN75" s="273">
        <f t="shared" si="256"/>
        <v>0</v>
      </c>
      <c r="CO75" s="64">
        <v>41892</v>
      </c>
      <c r="CP75" s="64">
        <v>41892</v>
      </c>
      <c r="CQ75" s="273">
        <f t="shared" si="268"/>
        <v>0</v>
      </c>
      <c r="CR75" s="39"/>
      <c r="CS75" s="64">
        <v>42055</v>
      </c>
      <c r="CT75" s="64">
        <v>42368</v>
      </c>
      <c r="CU75" s="64">
        <v>42772</v>
      </c>
      <c r="CV75" s="273">
        <f t="shared" si="230"/>
        <v>404</v>
      </c>
      <c r="CW75" s="64">
        <v>42787</v>
      </c>
      <c r="CX75" s="183">
        <v>42774</v>
      </c>
      <c r="CY75" s="177">
        <v>2017</v>
      </c>
      <c r="CZ75" s="233">
        <f t="shared" si="243"/>
        <v>29.466666666666665</v>
      </c>
      <c r="DA75" s="273">
        <f t="shared" si="269"/>
        <v>-13</v>
      </c>
      <c r="DB75" s="126">
        <v>16</v>
      </c>
      <c r="DC75" s="59">
        <f t="shared" si="270"/>
        <v>18</v>
      </c>
      <c r="DD75" s="64">
        <v>42839</v>
      </c>
      <c r="DE75" s="64">
        <v>42839</v>
      </c>
      <c r="DF75" s="273">
        <f t="shared" si="271"/>
        <v>0</v>
      </c>
      <c r="DG75" s="275">
        <v>42908</v>
      </c>
      <c r="DH75" s="274">
        <v>42907</v>
      </c>
      <c r="DI75" s="276">
        <f t="shared" si="272"/>
        <v>-1</v>
      </c>
      <c r="DJ75" s="275">
        <v>43144</v>
      </c>
      <c r="DK75" s="274">
        <v>43088</v>
      </c>
      <c r="DL75" s="273">
        <f t="shared" si="273"/>
        <v>-56</v>
      </c>
      <c r="DM75" s="64">
        <v>43189</v>
      </c>
      <c r="DN75" s="64">
        <v>43189</v>
      </c>
      <c r="DO75" s="273">
        <f t="shared" si="274"/>
        <v>0</v>
      </c>
      <c r="DP75" s="64">
        <v>43147</v>
      </c>
      <c r="DQ75" s="64">
        <v>43209</v>
      </c>
      <c r="DR75" s="381">
        <f t="shared" si="275"/>
        <v>62</v>
      </c>
      <c r="DS75" s="159">
        <v>43168</v>
      </c>
      <c r="DT75" s="159">
        <v>43216</v>
      </c>
      <c r="DU75" s="381">
        <f t="shared" si="276"/>
        <v>48</v>
      </c>
      <c r="DV75" s="159">
        <v>43238</v>
      </c>
      <c r="DW75" s="159">
        <v>43311</v>
      </c>
      <c r="DX75" s="381">
        <f t="shared" si="277"/>
        <v>73</v>
      </c>
      <c r="DY75" s="159">
        <v>43224</v>
      </c>
      <c r="DZ75" s="159">
        <v>43224</v>
      </c>
      <c r="EA75" s="159">
        <v>43160</v>
      </c>
      <c r="EB75" s="240">
        <f t="shared" si="259"/>
        <v>43259</v>
      </c>
      <c r="EC75" s="183">
        <v>43339</v>
      </c>
      <c r="ED75" s="435">
        <f t="shared" si="278"/>
        <v>2.6666666666666665</v>
      </c>
      <c r="EE75" s="771">
        <f t="shared" ca="1" si="257"/>
        <v>0</v>
      </c>
      <c r="EF75" s="183">
        <f>DATE(YEAR(DH75)+2,MONTH(DH75),DAY(DH75))</f>
        <v>43637</v>
      </c>
      <c r="EG75" s="767">
        <v>43341</v>
      </c>
      <c r="EH75" s="120">
        <v>42702</v>
      </c>
      <c r="EI75" s="764">
        <f>DATE(YEAR(EC75),MONTH(EC75),DAY(EC75)+15)</f>
        <v>43354</v>
      </c>
      <c r="EJ75" s="240" t="s">
        <v>576</v>
      </c>
      <c r="EK75" s="455">
        <f>DATE(YEAR(EB75),MONTH(EB75),DAY(EB75)+15)</f>
        <v>43274</v>
      </c>
      <c r="EL75" s="183">
        <v>43339</v>
      </c>
      <c r="EM75" s="230">
        <v>2018</v>
      </c>
      <c r="EN75" s="430">
        <f t="shared" si="295"/>
        <v>2.1666666666666665</v>
      </c>
      <c r="EO75" s="388">
        <v>15089.237093545917</v>
      </c>
      <c r="EP75" s="440">
        <f t="shared" si="279"/>
        <v>32693.347036016152</v>
      </c>
      <c r="EQ75" s="159">
        <v>43278</v>
      </c>
      <c r="ER75" s="159"/>
      <c r="ES75" s="133"/>
      <c r="ET75" s="300">
        <v>0</v>
      </c>
      <c r="EU75" s="300">
        <v>0</v>
      </c>
      <c r="EV75" s="300">
        <v>109669</v>
      </c>
      <c r="EW75" s="300">
        <v>64277</v>
      </c>
      <c r="EX75" s="300">
        <v>115074</v>
      </c>
      <c r="EY75" s="416">
        <f t="shared" si="258"/>
        <v>2.4084271719409047E-2</v>
      </c>
      <c r="EZ75" s="298" t="s">
        <v>489</v>
      </c>
      <c r="FA75" s="420" t="s">
        <v>931</v>
      </c>
      <c r="FB75" s="356" t="s">
        <v>930</v>
      </c>
      <c r="FC75" s="356" t="s">
        <v>546</v>
      </c>
      <c r="FD75" s="89">
        <f t="shared" si="241"/>
        <v>43637</v>
      </c>
      <c r="FE75" s="159" t="s">
        <v>101</v>
      </c>
      <c r="FF75" s="64">
        <v>43441</v>
      </c>
      <c r="FG75" s="64"/>
      <c r="FH75" s="64"/>
      <c r="FI75" s="64">
        <v>43795</v>
      </c>
      <c r="FJ75" s="216" t="s">
        <v>781</v>
      </c>
      <c r="FK75" s="159">
        <f t="shared" ref="FK75:FK106" si="300">DATE(YEAR(EC75)+1,MONTH(EC75),DAY(EC75))</f>
        <v>43704</v>
      </c>
      <c r="FL75" s="159"/>
      <c r="FM75" s="146"/>
      <c r="FN75" s="22"/>
      <c r="FO75" s="56">
        <v>43417</v>
      </c>
      <c r="FP75" s="56">
        <v>43552</v>
      </c>
      <c r="FQ75" s="22"/>
      <c r="FR75" s="22"/>
      <c r="FS75" s="22"/>
      <c r="FT75" s="22"/>
      <c r="FU75" s="22" t="s">
        <v>861</v>
      </c>
      <c r="FV75" s="22"/>
      <c r="FW75" s="160">
        <v>43385</v>
      </c>
      <c r="FX75" s="56">
        <v>43970</v>
      </c>
      <c r="FY75" s="95">
        <v>43838</v>
      </c>
      <c r="FZ75" s="57" t="s">
        <v>101</v>
      </c>
      <c r="GA75" s="803">
        <v>4943575</v>
      </c>
      <c r="GB75" s="471">
        <f>GD75+GG75+GJ75+HF75+Tableau6[[#This Row],[PRÊT CREDIT D''IMPOT (PM)]]</f>
        <v>4777973</v>
      </c>
      <c r="GC75" s="644">
        <f t="shared" si="296"/>
        <v>4777973</v>
      </c>
      <c r="GD75" s="507">
        <f t="shared" si="297"/>
        <v>609265</v>
      </c>
      <c r="GE75" s="20">
        <f t="shared" si="280"/>
        <v>1863.5203494607931</v>
      </c>
      <c r="GF75" s="20">
        <f t="shared" si="281"/>
        <v>159265.76666666666</v>
      </c>
      <c r="GG75" s="507">
        <v>1462622</v>
      </c>
      <c r="GH75" s="351"/>
      <c r="GI75" s="20">
        <f t="shared" si="225"/>
        <v>48754.066666666666</v>
      </c>
      <c r="GJ75" s="507">
        <f t="shared" si="282"/>
        <v>2706086</v>
      </c>
      <c r="GK75" s="5">
        <f>+GL75+GM75</f>
        <v>2706086</v>
      </c>
      <c r="GL75" s="44">
        <v>461009</v>
      </c>
      <c r="GM75" s="44">
        <v>2245077</v>
      </c>
      <c r="GN75" s="345">
        <f t="shared" si="283"/>
        <v>90202.866666666669</v>
      </c>
      <c r="GO75" s="35"/>
      <c r="GP75" s="35">
        <v>600000</v>
      </c>
      <c r="GQ75" s="35">
        <v>0</v>
      </c>
      <c r="GR75" s="18">
        <f t="shared" si="284"/>
        <v>0.12557626424427262</v>
      </c>
      <c r="GS75" s="45"/>
      <c r="GT75" s="45"/>
      <c r="GU75" s="35">
        <v>9265</v>
      </c>
      <c r="GV75" s="20">
        <f t="shared" si="248"/>
        <v>20000</v>
      </c>
      <c r="GW75" s="20">
        <f t="shared" si="249"/>
        <v>68754.066666666666</v>
      </c>
      <c r="GX75" s="572">
        <v>0</v>
      </c>
      <c r="GY75" s="572">
        <v>0</v>
      </c>
      <c r="GZ75" s="567">
        <f t="shared" ref="GZ75:GZ83" si="301">(GG75+GP75+GY75)/AD75</f>
        <v>68754.066666666666</v>
      </c>
      <c r="HA75" s="572">
        <v>0</v>
      </c>
      <c r="HB75" s="572">
        <f t="shared" si="250"/>
        <v>68754.066666666666</v>
      </c>
      <c r="HC75" s="568">
        <f t="shared" si="298"/>
        <v>0.4316939421800835</v>
      </c>
      <c r="HD75" s="572">
        <v>0</v>
      </c>
      <c r="HE75" s="572"/>
      <c r="HF75" s="507">
        <f>EU75</f>
        <v>0</v>
      </c>
      <c r="HG75" s="637">
        <v>4582214.86063</v>
      </c>
      <c r="HH75" s="634">
        <f t="shared" si="285"/>
        <v>0.9590290402708429</v>
      </c>
      <c r="HI75" s="635">
        <f t="shared" si="251"/>
        <v>195758.13936999999</v>
      </c>
      <c r="HJ75" s="633" t="e">
        <f t="shared" ca="1" si="299"/>
        <v>#VALUE!</v>
      </c>
      <c r="HK75" s="634" t="e">
        <f t="shared" ref="HK75:HK83" ca="1" si="302">(HJ75+HG75)/GB75</f>
        <v>#VALUE!</v>
      </c>
      <c r="HL75" s="633">
        <f>'[1]GLOBAL OPERATION'!$AG$36</f>
        <v>343011.52</v>
      </c>
      <c r="HM75" s="633">
        <f t="shared" si="286"/>
        <v>266253.48</v>
      </c>
      <c r="HN75" s="634">
        <f t="shared" si="287"/>
        <v>0.56299232682002087</v>
      </c>
      <c r="HO75" s="634"/>
      <c r="HP75" s="563"/>
      <c r="HQ75" s="47"/>
      <c r="HR75" s="563"/>
      <c r="HS75" s="563">
        <f>SUM(Tableau6[[#This Row],[GO]:[CARRELAGE]])</f>
        <v>0</v>
      </c>
      <c r="HT75" s="461"/>
      <c r="HU75" s="461"/>
      <c r="HV75" s="461"/>
      <c r="HW75" s="461"/>
      <c r="HX75" s="461"/>
      <c r="HY75" s="461"/>
      <c r="HZ75" s="461"/>
      <c r="IA75" s="461"/>
      <c r="IB75" s="461"/>
      <c r="IC75" s="461"/>
      <c r="ID75" s="461"/>
      <c r="IE75" s="461"/>
      <c r="IF75" s="461"/>
      <c r="IG75" s="563"/>
      <c r="IH75" s="563"/>
      <c r="II75" s="563">
        <f>HP75+HR75+Tableau6[[#This Row],[TRAVAUX BATIS]]+Tableau6[[#This Row],[HONORAIRES]]+IH75</f>
        <v>0</v>
      </c>
      <c r="IJ75" s="654">
        <f>Tableau6[[#This Row],[TOTAL PRP HT]]-Tableau6[[#This Row],[PRP TTC HORS FRAFU]]/1.021</f>
        <v>-4679699.3143976498</v>
      </c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</row>
    <row r="76" spans="1:256" ht="30" customHeight="1">
      <c r="A76" s="596" t="s">
        <v>13</v>
      </c>
      <c r="B76" s="22" t="s">
        <v>14</v>
      </c>
      <c r="C76" s="22" t="s">
        <v>86</v>
      </c>
      <c r="D76" s="22">
        <v>2014</v>
      </c>
      <c r="E76" s="22" t="s">
        <v>15</v>
      </c>
      <c r="F76" s="22" t="s">
        <v>16</v>
      </c>
      <c r="G76" s="2" t="s">
        <v>329</v>
      </c>
      <c r="H76" s="22" t="s">
        <v>181</v>
      </c>
      <c r="I76" s="22" t="s">
        <v>94</v>
      </c>
      <c r="J76" s="22"/>
      <c r="K76" s="134" t="s">
        <v>438</v>
      </c>
      <c r="L76" s="81" t="s">
        <v>46</v>
      </c>
      <c r="M76" s="82" t="s">
        <v>47</v>
      </c>
      <c r="N76" s="83"/>
      <c r="O76" s="109">
        <f>5311+1709</f>
        <v>7020</v>
      </c>
      <c r="P76" s="109">
        <v>577000</v>
      </c>
      <c r="Q76" s="109">
        <v>173455</v>
      </c>
      <c r="R76" s="103">
        <f>P76/21</f>
        <v>27476.190476190477</v>
      </c>
      <c r="S76" s="109">
        <f t="shared" si="288"/>
        <v>82.193732193732188</v>
      </c>
      <c r="T76" s="109">
        <f t="shared" si="289"/>
        <v>24.708689458689459</v>
      </c>
      <c r="U76" s="109">
        <f t="shared" si="290"/>
        <v>113.95918742773048</v>
      </c>
      <c r="V76" s="109">
        <f t="shared" si="291"/>
        <v>8259.7619047619046</v>
      </c>
      <c r="W76" s="103">
        <f t="shared" si="292"/>
        <v>334.28571428571428</v>
      </c>
      <c r="X76" s="112"/>
      <c r="Y76" s="445">
        <f t="shared" si="261"/>
        <v>29.914529914529915</v>
      </c>
      <c r="Z76" s="112" t="s">
        <v>160</v>
      </c>
      <c r="AA76" s="104">
        <v>40</v>
      </c>
      <c r="AB76" s="105"/>
      <c r="AC76" s="22" t="s">
        <v>10</v>
      </c>
      <c r="AD76" s="426">
        <f t="shared" si="262"/>
        <v>21</v>
      </c>
      <c r="AE76" s="426">
        <f t="shared" si="263"/>
        <v>21</v>
      </c>
      <c r="AF76" s="32"/>
      <c r="AG76" s="22">
        <f>21*1</f>
        <v>21</v>
      </c>
      <c r="AH76" s="32"/>
      <c r="AI76" s="32"/>
      <c r="AJ76" s="614">
        <v>1522.08</v>
      </c>
      <c r="AK76" s="222">
        <f>325.36+1196.72</f>
        <v>1522.08</v>
      </c>
      <c r="AL76" s="492">
        <f t="shared" si="264"/>
        <v>72.47999999999999</v>
      </c>
      <c r="AM76" s="4">
        <f t="shared" si="265"/>
        <v>72.47999999999999</v>
      </c>
      <c r="AN76" s="26">
        <v>5.41</v>
      </c>
      <c r="AO76" s="26">
        <v>5.41</v>
      </c>
      <c r="AP76" s="26">
        <v>392.41</v>
      </c>
      <c r="AQ76" s="28">
        <v>0</v>
      </c>
      <c r="AR76" s="28">
        <v>7</v>
      </c>
      <c r="AS76" s="28">
        <v>8</v>
      </c>
      <c r="AT76" s="28">
        <v>5</v>
      </c>
      <c r="AU76" s="28">
        <v>1</v>
      </c>
      <c r="AV76" s="26"/>
      <c r="AW76" s="37"/>
      <c r="AX76" s="39">
        <f>AW76/O76</f>
        <v>0</v>
      </c>
      <c r="AY76" s="26">
        <v>1</v>
      </c>
      <c r="AZ76" s="23" t="s">
        <v>385</v>
      </c>
      <c r="BA76" s="22" t="s">
        <v>95</v>
      </c>
      <c r="BB76" s="57"/>
      <c r="BC76" s="57"/>
      <c r="BD76" s="57"/>
      <c r="BE76" s="57"/>
      <c r="BF76" s="56">
        <v>41438</v>
      </c>
      <c r="BG76" s="56"/>
      <c r="BH76" s="56">
        <v>40963</v>
      </c>
      <c r="BI76" s="56"/>
      <c r="BJ76" s="548">
        <v>41728</v>
      </c>
      <c r="BK76" s="548">
        <v>41848</v>
      </c>
      <c r="BL76" s="549">
        <v>43010</v>
      </c>
      <c r="BM76" s="547">
        <f t="shared" si="266"/>
        <v>4</v>
      </c>
      <c r="BN76" s="490" t="s">
        <v>229</v>
      </c>
      <c r="BO76" s="79">
        <v>42527</v>
      </c>
      <c r="BP76" s="526">
        <v>42594</v>
      </c>
      <c r="BQ76" s="536">
        <f t="shared" si="247"/>
        <v>2.2333333333333334</v>
      </c>
      <c r="BR76" s="528"/>
      <c r="BS76" s="79">
        <v>42686</v>
      </c>
      <c r="BT76" s="79"/>
      <c r="BU76" s="151">
        <v>42736</v>
      </c>
      <c r="BV76" s="150">
        <f t="shared" si="267"/>
        <v>43831</v>
      </c>
      <c r="BW76" s="373">
        <f>13902+33446+35816</f>
        <v>83164</v>
      </c>
      <c r="BX76" s="150" t="str">
        <f>IF(Tableau6[[#This Row],[Montant des loyers perçus avant 1e échéance]]&lt;BW76,"oui","non")</f>
        <v>oui</v>
      </c>
      <c r="BY76" s="475">
        <f t="shared" si="293"/>
        <v>6.2</v>
      </c>
      <c r="BZ76" s="373">
        <f t="shared" si="294"/>
        <v>51924.947436083799</v>
      </c>
      <c r="CA76" s="373">
        <f>IF(BW76-BZ76&lt;0,0,Tableau6[[#This Row],[Montant échéance annuelle]]-Tableau6[[#This Row],[Montant des loyers perçus avant 1e échéance]])</f>
        <v>31239.052563916201</v>
      </c>
      <c r="CB76" s="64">
        <v>40801</v>
      </c>
      <c r="CC76" s="64">
        <v>40817</v>
      </c>
      <c r="CD76" s="64"/>
      <c r="CE76" s="273" t="str">
        <f t="shared" si="253"/>
        <v>0</v>
      </c>
      <c r="CF76" s="64"/>
      <c r="CG76" s="64"/>
      <c r="CH76" s="273" t="str">
        <f t="shared" si="254"/>
        <v>0</v>
      </c>
      <c r="CI76" s="64"/>
      <c r="CJ76" s="64">
        <v>40884</v>
      </c>
      <c r="CK76" s="273" t="str">
        <f t="shared" si="255"/>
        <v>0</v>
      </c>
      <c r="CL76" s="64"/>
      <c r="CM76" s="64">
        <v>40980</v>
      </c>
      <c r="CN76" s="273" t="str">
        <f t="shared" si="256"/>
        <v>0</v>
      </c>
      <c r="CO76" s="64"/>
      <c r="CP76" s="64">
        <v>41264</v>
      </c>
      <c r="CQ76" s="273" t="str">
        <f t="shared" si="268"/>
        <v>0</v>
      </c>
      <c r="CR76" s="39"/>
      <c r="CS76" s="64">
        <v>42244</v>
      </c>
      <c r="CT76" s="64"/>
      <c r="CU76" s="64"/>
      <c r="CV76" s="273"/>
      <c r="CW76" s="64"/>
      <c r="CX76" s="183">
        <v>42933</v>
      </c>
      <c r="CY76" s="177">
        <v>2017</v>
      </c>
      <c r="CZ76" s="233">
        <f t="shared" si="243"/>
        <v>36.166666666666664</v>
      </c>
      <c r="DA76" s="273" t="str">
        <f t="shared" si="269"/>
        <v>0</v>
      </c>
      <c r="DB76" s="133">
        <v>15</v>
      </c>
      <c r="DC76" s="59">
        <f t="shared" si="270"/>
        <v>19</v>
      </c>
      <c r="DD76" s="64">
        <v>42965</v>
      </c>
      <c r="DE76" s="64">
        <v>43038</v>
      </c>
      <c r="DF76" s="273">
        <f t="shared" si="271"/>
        <v>73</v>
      </c>
      <c r="DG76" s="647">
        <v>43266</v>
      </c>
      <c r="DH76" s="309">
        <v>43284</v>
      </c>
      <c r="DI76" s="276">
        <f t="shared" si="272"/>
        <v>18</v>
      </c>
      <c r="DJ76" s="418">
        <v>43294</v>
      </c>
      <c r="DK76" s="790">
        <v>43300</v>
      </c>
      <c r="DL76" s="381">
        <f t="shared" si="273"/>
        <v>6</v>
      </c>
      <c r="DM76" s="64">
        <v>43336</v>
      </c>
      <c r="DN76" s="64">
        <v>43358</v>
      </c>
      <c r="DO76" s="273">
        <f t="shared" si="274"/>
        <v>22</v>
      </c>
      <c r="DP76" s="64">
        <v>43341</v>
      </c>
      <c r="DQ76" s="64">
        <v>43389</v>
      </c>
      <c r="DR76" s="273">
        <f t="shared" si="275"/>
        <v>48</v>
      </c>
      <c r="DS76" s="64">
        <v>43355</v>
      </c>
      <c r="DT76" s="64">
        <v>43389</v>
      </c>
      <c r="DU76" s="273">
        <f t="shared" si="276"/>
        <v>34</v>
      </c>
      <c r="DV76" s="95">
        <v>43376</v>
      </c>
      <c r="DW76" s="95">
        <v>43616</v>
      </c>
      <c r="DX76" s="500">
        <f t="shared" si="277"/>
        <v>240</v>
      </c>
      <c r="DY76" s="95">
        <v>43315</v>
      </c>
      <c r="DZ76" s="95">
        <v>43315</v>
      </c>
      <c r="EA76" s="95">
        <v>43315</v>
      </c>
      <c r="EB76" s="240">
        <f t="shared" si="259"/>
        <v>43390</v>
      </c>
      <c r="EC76" s="183">
        <v>43525</v>
      </c>
      <c r="ED76" s="435">
        <f t="shared" si="278"/>
        <v>4.5</v>
      </c>
      <c r="EE76" s="771">
        <f t="shared" ca="1" si="257"/>
        <v>0</v>
      </c>
      <c r="EF76" s="183">
        <f>DATE(YEAR(DH76)+2,MONTH(DH76),DAY(DH76))</f>
        <v>44015</v>
      </c>
      <c r="EG76" s="763">
        <v>43655</v>
      </c>
      <c r="EH76" s="58">
        <v>43367</v>
      </c>
      <c r="EI76" s="764">
        <v>43622</v>
      </c>
      <c r="EJ76" s="240">
        <v>43627</v>
      </c>
      <c r="EK76" s="455">
        <f>DATE(YEAR(EB76),MONTH(EB76)+1,DAY(EB76))</f>
        <v>43421</v>
      </c>
      <c r="EL76" s="183">
        <v>43645</v>
      </c>
      <c r="EM76" s="324">
        <v>2019</v>
      </c>
      <c r="EN76" s="430">
        <f t="shared" si="295"/>
        <v>7.4666666666666668</v>
      </c>
      <c r="EO76" s="388">
        <f>100499.898263388/12</f>
        <v>8374.9915219489994</v>
      </c>
      <c r="EP76" s="440">
        <f t="shared" si="279"/>
        <v>62533.270030552529</v>
      </c>
      <c r="EQ76" s="226"/>
      <c r="ER76" s="226"/>
      <c r="ES76" s="739"/>
      <c r="ET76" s="300">
        <v>378434</v>
      </c>
      <c r="EU76" s="300">
        <v>306887</v>
      </c>
      <c r="EV76" s="322" t="s">
        <v>574</v>
      </c>
      <c r="EW76" s="322">
        <v>0</v>
      </c>
      <c r="EX76" s="322">
        <v>5975</v>
      </c>
      <c r="EY76" s="416">
        <f t="shared" si="258"/>
        <v>1.1828472030944392E-3</v>
      </c>
      <c r="EZ76" s="298" t="s">
        <v>16</v>
      </c>
      <c r="FA76" s="749" t="s">
        <v>571</v>
      </c>
      <c r="FB76" s="750" t="s">
        <v>932</v>
      </c>
      <c r="FC76" s="751" t="s">
        <v>535</v>
      </c>
      <c r="FD76" s="89">
        <f t="shared" si="241"/>
        <v>44015</v>
      </c>
      <c r="FE76" s="64" t="s">
        <v>101</v>
      </c>
      <c r="FF76" s="63" t="s">
        <v>783</v>
      </c>
      <c r="FG76" s="63" t="s">
        <v>101</v>
      </c>
      <c r="FH76" s="63" t="s">
        <v>101</v>
      </c>
      <c r="FI76" s="86" t="s">
        <v>867</v>
      </c>
      <c r="FJ76" s="22" t="s">
        <v>845</v>
      </c>
      <c r="FK76" s="159">
        <f t="shared" si="300"/>
        <v>43891</v>
      </c>
      <c r="FL76" s="159"/>
      <c r="FM76" s="146"/>
      <c r="FN76" s="22"/>
      <c r="FO76" s="160">
        <v>43816</v>
      </c>
      <c r="FP76" s="56">
        <v>43850</v>
      </c>
      <c r="FQ76" s="57"/>
      <c r="FR76" s="57"/>
      <c r="FS76" s="57"/>
      <c r="FT76" s="57"/>
      <c r="FU76" s="57"/>
      <c r="FV76" s="57"/>
      <c r="FW76" s="57"/>
      <c r="FX76" s="22" t="s">
        <v>933</v>
      </c>
      <c r="FY76" s="57" t="s">
        <v>101</v>
      </c>
      <c r="FZ76" s="57" t="s">
        <v>958</v>
      </c>
      <c r="GA76" s="803">
        <v>2870623</v>
      </c>
      <c r="GB76" s="471">
        <f>GD76+GG76+GJ76+HF76+Tableau6[[#This Row],[PRÊT CREDIT D''IMPOT (PM)]]</f>
        <v>5051370.95</v>
      </c>
      <c r="GC76" s="644">
        <f t="shared" si="296"/>
        <v>5051370.95</v>
      </c>
      <c r="GD76" s="507">
        <f t="shared" si="297"/>
        <v>457174</v>
      </c>
      <c r="GE76" s="20">
        <f t="shared" si="280"/>
        <v>3318.7289432881321</v>
      </c>
      <c r="GF76" s="20">
        <f t="shared" si="281"/>
        <v>240541.47380952383</v>
      </c>
      <c r="GG76" s="507">
        <v>1233885.81</v>
      </c>
      <c r="GH76" s="351">
        <v>1268847</v>
      </c>
      <c r="GI76" s="20">
        <f t="shared" si="225"/>
        <v>58756.467142857146</v>
      </c>
      <c r="GJ76" s="507">
        <f t="shared" si="282"/>
        <v>1784577</v>
      </c>
      <c r="GK76" s="5">
        <f>GM76+GL76</f>
        <v>1784577</v>
      </c>
      <c r="GL76" s="44">
        <v>599672</v>
      </c>
      <c r="GM76" s="44">
        <v>1184905</v>
      </c>
      <c r="GN76" s="345">
        <f t="shared" si="283"/>
        <v>84979.857142857145</v>
      </c>
      <c r="GO76" s="35"/>
      <c r="GP76" s="36">
        <v>442750</v>
      </c>
      <c r="GQ76" s="36">
        <v>0</v>
      </c>
      <c r="GR76" s="18">
        <f t="shared" si="284"/>
        <v>8.7649472664445671E-2</v>
      </c>
      <c r="GS76" s="45"/>
      <c r="GT76" s="45"/>
      <c r="GU76" s="35">
        <v>14424</v>
      </c>
      <c r="GV76" s="20">
        <f t="shared" si="248"/>
        <v>21083.333333333332</v>
      </c>
      <c r="GW76" s="20">
        <f t="shared" si="249"/>
        <v>79839.800476190474</v>
      </c>
      <c r="GX76" s="569">
        <v>1039697</v>
      </c>
      <c r="GY76" s="569">
        <f>15000*AD76</f>
        <v>315000</v>
      </c>
      <c r="GZ76" s="567">
        <f t="shared" si="301"/>
        <v>94839.800476190474</v>
      </c>
      <c r="HA76" s="569">
        <v>292222.2</v>
      </c>
      <c r="HB76" s="569">
        <f t="shared" si="250"/>
        <v>108755.14333333334</v>
      </c>
      <c r="HC76" s="568">
        <f t="shared" si="298"/>
        <v>0.38618019938337711</v>
      </c>
      <c r="HD76" s="569">
        <v>177098.21865</v>
      </c>
      <c r="HE76" s="569"/>
      <c r="HF76" s="507">
        <v>306887.14</v>
      </c>
      <c r="HG76" s="637">
        <f>2534551.60755+1262197</f>
        <v>3796748.6075499998</v>
      </c>
      <c r="HH76" s="634">
        <f t="shared" si="285"/>
        <v>0.75162735921225499</v>
      </c>
      <c r="HI76" s="635">
        <f t="shared" si="251"/>
        <v>1254622.3424500003</v>
      </c>
      <c r="HJ76" s="633" t="e">
        <f t="shared" ca="1" si="299"/>
        <v>#VALUE!</v>
      </c>
      <c r="HK76" s="634" t="e">
        <f t="shared" ca="1" si="302"/>
        <v>#VALUE!</v>
      </c>
      <c r="HL76" s="633">
        <f>'[1]GLOBAL OPERATION'!$AG$76</f>
        <v>689078.94</v>
      </c>
      <c r="HM76" s="633">
        <f t="shared" si="286"/>
        <v>-231904.93999999994</v>
      </c>
      <c r="HN76" s="634">
        <f t="shared" si="287"/>
        <v>1.5072574993328578</v>
      </c>
      <c r="HO76" s="634"/>
      <c r="HP76" s="563"/>
      <c r="HQ76" s="47"/>
      <c r="HR76" s="563"/>
      <c r="HS76" s="563">
        <f>SUM(Tableau6[[#This Row],[GO]:[CARRELAGE]])</f>
        <v>0</v>
      </c>
      <c r="HT76" s="461"/>
      <c r="HU76" s="461"/>
      <c r="HV76" s="461"/>
      <c r="HW76" s="461"/>
      <c r="HX76" s="461"/>
      <c r="HY76" s="461"/>
      <c r="HZ76" s="461"/>
      <c r="IA76" s="461"/>
      <c r="IB76" s="461"/>
      <c r="IC76" s="461"/>
      <c r="ID76" s="461"/>
      <c r="IE76" s="461"/>
      <c r="IF76" s="461"/>
      <c r="IG76" s="563"/>
      <c r="IH76" s="563"/>
      <c r="II76" s="563">
        <f>HP76+HR76+Tableau6[[#This Row],[TRAVAUX BATIS]]+Tableau6[[#This Row],[HONORAIRES]]+IH76</f>
        <v>0</v>
      </c>
      <c r="IJ76" s="654">
        <f>Tableau6[[#This Row],[TOTAL PRP HT]]-Tableau6[[#This Row],[PRP TTC HORS FRAFU]]/1.021</f>
        <v>-4947473.9960822733</v>
      </c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</row>
    <row r="77" spans="1:256" ht="30" customHeight="1">
      <c r="A77" s="477" t="s">
        <v>191</v>
      </c>
      <c r="B77" s="22" t="s">
        <v>14</v>
      </c>
      <c r="C77" s="22" t="s">
        <v>86</v>
      </c>
      <c r="D77" s="22">
        <v>2015</v>
      </c>
      <c r="E77" s="22" t="s">
        <v>178</v>
      </c>
      <c r="F77" s="22" t="s">
        <v>686</v>
      </c>
      <c r="G77" s="2" t="s">
        <v>860</v>
      </c>
      <c r="H77" s="22" t="s">
        <v>181</v>
      </c>
      <c r="I77" s="24"/>
      <c r="J77" s="22"/>
      <c r="K77" s="134"/>
      <c r="L77" s="81" t="s">
        <v>43</v>
      </c>
      <c r="M77" s="82" t="s">
        <v>51</v>
      </c>
      <c r="N77" s="83"/>
      <c r="O77" s="103">
        <v>779</v>
      </c>
      <c r="P77" s="103">
        <v>195000</v>
      </c>
      <c r="Q77" s="103">
        <f>P77</f>
        <v>195000</v>
      </c>
      <c r="R77" s="103">
        <f t="shared" ref="R77:R82" si="303">P77/AD77</f>
        <v>9750</v>
      </c>
      <c r="S77" s="103">
        <f t="shared" si="288"/>
        <v>250.32092426187421</v>
      </c>
      <c r="T77" s="109">
        <f t="shared" si="289"/>
        <v>250.32092426187421</v>
      </c>
      <c r="U77" s="109">
        <f t="shared" si="290"/>
        <v>150.05655978022486</v>
      </c>
      <c r="V77" s="109">
        <f t="shared" si="291"/>
        <v>9750</v>
      </c>
      <c r="W77" s="103">
        <f t="shared" si="292"/>
        <v>38.950000000000003</v>
      </c>
      <c r="X77" s="104"/>
      <c r="Y77" s="444">
        <f t="shared" si="261"/>
        <v>256.73940949935815</v>
      </c>
      <c r="Z77" s="104" t="s">
        <v>148</v>
      </c>
      <c r="AA77" s="104">
        <v>35</v>
      </c>
      <c r="AB77" s="105">
        <v>0</v>
      </c>
      <c r="AC77" s="23" t="s">
        <v>10</v>
      </c>
      <c r="AD77" s="426">
        <f t="shared" si="262"/>
        <v>20</v>
      </c>
      <c r="AE77" s="426">
        <f t="shared" si="263"/>
        <v>20</v>
      </c>
      <c r="AF77" s="32"/>
      <c r="AG77" s="22">
        <v>20</v>
      </c>
      <c r="AH77" s="32"/>
      <c r="AI77" s="32"/>
      <c r="AJ77" s="614">
        <v>1299.51</v>
      </c>
      <c r="AK77" s="222">
        <v>1299.51</v>
      </c>
      <c r="AL77" s="492">
        <f t="shared" si="264"/>
        <v>64.975499999999997</v>
      </c>
      <c r="AM77" s="4">
        <f t="shared" si="265"/>
        <v>64.975499999999997</v>
      </c>
      <c r="AN77" s="26">
        <v>5.59</v>
      </c>
      <c r="AO77" s="26">
        <v>5.59</v>
      </c>
      <c r="AP77" s="26">
        <v>363.43</v>
      </c>
      <c r="AQ77" s="39">
        <v>0.2</v>
      </c>
      <c r="AR77" s="39">
        <v>0.4</v>
      </c>
      <c r="AS77" s="39">
        <v>0.2</v>
      </c>
      <c r="AT77" s="39">
        <v>0.2</v>
      </c>
      <c r="AU77" s="39">
        <v>0</v>
      </c>
      <c r="AV77" s="26"/>
      <c r="AW77" s="37">
        <v>0</v>
      </c>
      <c r="AX77" s="39">
        <f>AW77/O77</f>
        <v>0</v>
      </c>
      <c r="AY77" s="26">
        <v>4</v>
      </c>
      <c r="AZ77" s="25" t="s">
        <v>386</v>
      </c>
      <c r="BA77" s="22" t="s">
        <v>95</v>
      </c>
      <c r="BB77" s="22"/>
      <c r="BC77" s="22"/>
      <c r="BD77" s="22"/>
      <c r="BE77" s="22"/>
      <c r="BF77" s="56">
        <v>41921</v>
      </c>
      <c r="BG77" s="56"/>
      <c r="BH77" s="22"/>
      <c r="BI77" s="22"/>
      <c r="BJ77" s="548">
        <v>42093</v>
      </c>
      <c r="BK77" s="548">
        <v>42249</v>
      </c>
      <c r="BL77" s="549"/>
      <c r="BM77" s="547">
        <f t="shared" si="266"/>
        <v>5.2</v>
      </c>
      <c r="BN77" s="490"/>
      <c r="BO77" s="77">
        <v>42606</v>
      </c>
      <c r="BP77" s="100">
        <v>42620</v>
      </c>
      <c r="BQ77" s="536">
        <f t="shared" si="247"/>
        <v>0.46666666666666667</v>
      </c>
      <c r="BR77" s="100"/>
      <c r="BS77" s="77">
        <v>42711</v>
      </c>
      <c r="BT77" s="77">
        <v>42646</v>
      </c>
      <c r="BU77" s="151">
        <v>42736</v>
      </c>
      <c r="BV77" s="150">
        <f t="shared" si="267"/>
        <v>43831</v>
      </c>
      <c r="BW77" s="373">
        <f>34022+7868</f>
        <v>41890</v>
      </c>
      <c r="BX77" s="150" t="str">
        <f>IF(Tableau6[[#This Row],[Montant des loyers perçus avant 1e échéance]]&lt;BW77,"oui","non")</f>
        <v>non</v>
      </c>
      <c r="BY77" s="475">
        <f t="shared" si="293"/>
        <v>16.5</v>
      </c>
      <c r="BZ77" s="373">
        <f t="shared" si="294"/>
        <v>142632.46203927579</v>
      </c>
      <c r="CA77" s="373">
        <f>IF(BW77-BZ77&lt;0,0,Tableau6[[#This Row],[Montant échéance annuelle]]-Tableau6[[#This Row],[Montant des loyers perçus avant 1e échéance]])</f>
        <v>0</v>
      </c>
      <c r="CB77" s="64">
        <v>41828</v>
      </c>
      <c r="CC77" s="64">
        <v>41829</v>
      </c>
      <c r="CD77" s="64">
        <v>41862</v>
      </c>
      <c r="CE77" s="273">
        <f t="shared" si="253"/>
        <v>33</v>
      </c>
      <c r="CF77" s="64">
        <v>42048</v>
      </c>
      <c r="CG77" s="64">
        <v>42040</v>
      </c>
      <c r="CH77" s="273">
        <f t="shared" si="254"/>
        <v>-8</v>
      </c>
      <c r="CI77" s="64">
        <v>42027</v>
      </c>
      <c r="CJ77" s="64">
        <v>42027</v>
      </c>
      <c r="CK77" s="273">
        <f t="shared" si="255"/>
        <v>0</v>
      </c>
      <c r="CL77" s="64">
        <v>42121</v>
      </c>
      <c r="CM77" s="64">
        <v>42184</v>
      </c>
      <c r="CN77" s="273">
        <f t="shared" si="256"/>
        <v>63</v>
      </c>
      <c r="CO77" s="64">
        <v>42244</v>
      </c>
      <c r="CP77" s="64">
        <v>42254</v>
      </c>
      <c r="CQ77" s="273">
        <f t="shared" si="268"/>
        <v>10</v>
      </c>
      <c r="CR77" s="237"/>
      <c r="CS77" s="64">
        <v>42528</v>
      </c>
      <c r="CT77" s="64">
        <v>42810</v>
      </c>
      <c r="CU77" s="64">
        <v>42781</v>
      </c>
      <c r="CV77" s="273">
        <f>IF(AND(CT77&gt;0,CU77&gt;0),CU77-CT77,"0")</f>
        <v>-29</v>
      </c>
      <c r="CW77" s="64">
        <v>42796</v>
      </c>
      <c r="CX77" s="229">
        <v>42786</v>
      </c>
      <c r="CY77" s="177">
        <v>2017</v>
      </c>
      <c r="CZ77" s="233">
        <f t="shared" si="243"/>
        <v>17.899999999999999</v>
      </c>
      <c r="DA77" s="273">
        <f t="shared" si="269"/>
        <v>-10</v>
      </c>
      <c r="DB77" s="169">
        <v>14</v>
      </c>
      <c r="DC77" s="59">
        <f t="shared" si="270"/>
        <v>17</v>
      </c>
      <c r="DD77" s="64">
        <v>42860</v>
      </c>
      <c r="DE77" s="64">
        <v>42893</v>
      </c>
      <c r="DF77" s="273">
        <f t="shared" si="271"/>
        <v>33</v>
      </c>
      <c r="DG77" s="64">
        <v>42899</v>
      </c>
      <c r="DH77" s="309">
        <v>42978</v>
      </c>
      <c r="DI77" s="276">
        <f t="shared" si="272"/>
        <v>79</v>
      </c>
      <c r="DJ77" s="64">
        <v>42978</v>
      </c>
      <c r="DK77" s="309">
        <v>43054</v>
      </c>
      <c r="DL77" s="273">
        <f t="shared" si="273"/>
        <v>76</v>
      </c>
      <c r="DM77" s="64">
        <v>43054</v>
      </c>
      <c r="DN77" s="64">
        <v>43181</v>
      </c>
      <c r="DO77" s="273">
        <f t="shared" si="274"/>
        <v>127</v>
      </c>
      <c r="DP77" s="64">
        <v>43047</v>
      </c>
      <c r="DQ77" s="64">
        <v>43604</v>
      </c>
      <c r="DR77" s="273">
        <f t="shared" si="275"/>
        <v>557</v>
      </c>
      <c r="DS77" s="64">
        <v>43167</v>
      </c>
      <c r="DT77" s="159">
        <v>43665</v>
      </c>
      <c r="DU77" s="381">
        <f t="shared" si="276"/>
        <v>498</v>
      </c>
      <c r="DV77" s="159">
        <v>43200</v>
      </c>
      <c r="DW77" s="159">
        <v>43313</v>
      </c>
      <c r="DX77" s="381">
        <f t="shared" si="277"/>
        <v>113</v>
      </c>
      <c r="DY77" s="168"/>
      <c r="DZ77" s="168"/>
      <c r="EA77" s="168"/>
      <c r="EB77" s="327">
        <f t="shared" si="259"/>
        <v>43210</v>
      </c>
      <c r="EC77" s="183">
        <v>43326</v>
      </c>
      <c r="ED77" s="435">
        <f t="shared" si="278"/>
        <v>3.8666666666666667</v>
      </c>
      <c r="EE77" s="762">
        <f t="shared" ca="1" si="257"/>
        <v>0</v>
      </c>
      <c r="EF77" s="183">
        <f>DATE(YEAR(DH77)+2,MONTH(DH77),DAY(DH77))</f>
        <v>43708</v>
      </c>
      <c r="EG77" s="767">
        <v>43361</v>
      </c>
      <c r="EH77" s="125">
        <v>42879</v>
      </c>
      <c r="EI77" s="764">
        <v>43327</v>
      </c>
      <c r="EJ77" s="240">
        <v>43328</v>
      </c>
      <c r="EK77" s="455">
        <f>DATE(YEAR(EB77),MONTH(EB77),DAY(EB77)+15)</f>
        <v>43225</v>
      </c>
      <c r="EL77" s="183">
        <v>43336</v>
      </c>
      <c r="EM77" s="230">
        <v>2018</v>
      </c>
      <c r="EN77" s="430">
        <f t="shared" si="295"/>
        <v>3.7</v>
      </c>
      <c r="EO77" s="389">
        <v>8644.3916387439876</v>
      </c>
      <c r="EP77" s="440">
        <f t="shared" si="279"/>
        <v>31984.249063352756</v>
      </c>
      <c r="EQ77" s="159">
        <v>43307</v>
      </c>
      <c r="ER77" s="159"/>
      <c r="ES77" s="133"/>
      <c r="ET77" s="300">
        <v>0</v>
      </c>
      <c r="EU77" s="300">
        <f>31976-22182.97</f>
        <v>9793.0299999999988</v>
      </c>
      <c r="EV77" s="300">
        <v>11509.23</v>
      </c>
      <c r="EW77" s="300">
        <v>0</v>
      </c>
      <c r="EX77" s="300">
        <f>(10675+20610)*1.021</f>
        <v>31941.984999999997</v>
      </c>
      <c r="EY77" s="416">
        <f t="shared" si="258"/>
        <v>1.1525215067660913E-2</v>
      </c>
      <c r="EZ77" s="297" t="s">
        <v>493</v>
      </c>
      <c r="FA77" s="356" t="s">
        <v>567</v>
      </c>
      <c r="FB77" s="356" t="s">
        <v>579</v>
      </c>
      <c r="FC77" s="356"/>
      <c r="FD77" s="89">
        <f t="shared" si="241"/>
        <v>43708</v>
      </c>
      <c r="FE77" s="166" t="s">
        <v>101</v>
      </c>
      <c r="FF77" s="64">
        <v>43440</v>
      </c>
      <c r="FG77" s="63"/>
      <c r="FH77" s="166" t="s">
        <v>101</v>
      </c>
      <c r="FI77" s="159">
        <v>43685</v>
      </c>
      <c r="FJ77" s="56">
        <v>43474</v>
      </c>
      <c r="FK77" s="159">
        <f t="shared" si="300"/>
        <v>43691</v>
      </c>
      <c r="FL77" s="159" t="s">
        <v>101</v>
      </c>
      <c r="FM77" s="146"/>
      <c r="FN77" s="22"/>
      <c r="FO77" s="56">
        <v>43419</v>
      </c>
      <c r="FP77" s="56">
        <v>43529</v>
      </c>
      <c r="FQ77" s="22"/>
      <c r="FR77" s="22"/>
      <c r="FS77" s="22"/>
      <c r="FT77" s="22"/>
      <c r="FU77" s="89" t="s">
        <v>856</v>
      </c>
      <c r="FV77" s="89"/>
      <c r="FW77" s="160">
        <v>43389</v>
      </c>
      <c r="FX77" s="22"/>
      <c r="FY77" s="22" t="s">
        <v>223</v>
      </c>
      <c r="FZ77" s="22" t="s">
        <v>223</v>
      </c>
      <c r="GA77" s="451"/>
      <c r="GB77" s="471">
        <f>GD77+GG77+GJ77+HF77+Tableau6[[#This Row],[PRÊT CREDIT D''IMPOT (PM)]]</f>
        <v>2771487.11</v>
      </c>
      <c r="GC77" s="644">
        <f t="shared" si="296"/>
        <v>2771487.11</v>
      </c>
      <c r="GD77" s="507">
        <f t="shared" si="297"/>
        <v>411757</v>
      </c>
      <c r="GE77" s="20">
        <f t="shared" si="280"/>
        <v>2132.7170318042954</v>
      </c>
      <c r="GF77" s="20">
        <f t="shared" si="281"/>
        <v>138574.35550000001</v>
      </c>
      <c r="GG77" s="507">
        <v>803098</v>
      </c>
      <c r="GH77" s="351"/>
      <c r="GI77" s="20">
        <f t="shared" si="225"/>
        <v>40154.9</v>
      </c>
      <c r="GJ77" s="507">
        <f t="shared" si="282"/>
        <v>1544668</v>
      </c>
      <c r="GK77" s="5">
        <f>GM77+GL77</f>
        <v>1544668</v>
      </c>
      <c r="GL77" s="44">
        <v>339371</v>
      </c>
      <c r="GM77" s="44">
        <v>1205297</v>
      </c>
      <c r="GN77" s="345">
        <f t="shared" si="283"/>
        <v>77233.399999999994</v>
      </c>
      <c r="GO77" s="35"/>
      <c r="GP77" s="35">
        <v>400000</v>
      </c>
      <c r="GQ77" s="35"/>
      <c r="GR77" s="18">
        <f t="shared" si="284"/>
        <v>0.14432684841171786</v>
      </c>
      <c r="GS77" s="45"/>
      <c r="GT77" s="45"/>
      <c r="GU77" s="35">
        <v>11757</v>
      </c>
      <c r="GV77" s="20">
        <f t="shared" si="248"/>
        <v>20000</v>
      </c>
      <c r="GW77" s="20">
        <f t="shared" si="249"/>
        <v>60154.9</v>
      </c>
      <c r="GX77" s="569">
        <v>0</v>
      </c>
      <c r="GY77" s="569">
        <v>0</v>
      </c>
      <c r="GZ77" s="567">
        <f t="shared" si="301"/>
        <v>60154.9</v>
      </c>
      <c r="HA77" s="569">
        <v>0</v>
      </c>
      <c r="HB77" s="569">
        <f t="shared" si="250"/>
        <v>60154.9</v>
      </c>
      <c r="HC77" s="568">
        <f t="shared" si="298"/>
        <v>0.4340983566761023</v>
      </c>
      <c r="HD77" s="569">
        <v>0</v>
      </c>
      <c r="HE77" s="569"/>
      <c r="HF77" s="507">
        <v>11964.11</v>
      </c>
      <c r="HG77" s="637">
        <v>2524740.5956999999</v>
      </c>
      <c r="HH77" s="634">
        <f t="shared" si="285"/>
        <v>0.91096963308626033</v>
      </c>
      <c r="HI77" s="635">
        <f t="shared" si="251"/>
        <v>246746.51429999992</v>
      </c>
      <c r="HJ77" s="633" t="e">
        <f t="shared" ca="1" si="299"/>
        <v>#VALUE!</v>
      </c>
      <c r="HK77" s="634" t="e">
        <f t="shared" ca="1" si="302"/>
        <v>#VALUE!</v>
      </c>
      <c r="HL77" s="633">
        <f>'[1]GLOBAL OPERATION'!$AG$37</f>
        <v>316226.06</v>
      </c>
      <c r="HM77" s="633">
        <f t="shared" si="286"/>
        <v>95530.94</v>
      </c>
      <c r="HN77" s="634">
        <f t="shared" si="287"/>
        <v>0.76799194670643123</v>
      </c>
      <c r="HO77" s="634"/>
      <c r="HP77" s="563">
        <v>223659.48</v>
      </c>
      <c r="HQ77" s="47">
        <v>195000</v>
      </c>
      <c r="HR77" s="563">
        <v>357390.7</v>
      </c>
      <c r="HS77" s="563">
        <f>SUM(Tableau6[[#This Row],[GO]:[CARRELAGE]])</f>
        <v>1656871.4600000002</v>
      </c>
      <c r="HT77" s="461">
        <v>890782.07000000007</v>
      </c>
      <c r="HU77" s="461">
        <v>103733.88</v>
      </c>
      <c r="HV77" s="461">
        <v>175645</v>
      </c>
      <c r="HW77" s="461"/>
      <c r="HX77" s="461">
        <v>117464</v>
      </c>
      <c r="HY77" s="461">
        <v>48367</v>
      </c>
      <c r="HZ77" s="461">
        <v>104343.07</v>
      </c>
      <c r="IA77" s="461">
        <v>6555.12</v>
      </c>
      <c r="IB77" s="461">
        <v>56277.169999999991</v>
      </c>
      <c r="IC77" s="461"/>
      <c r="ID77" s="461">
        <v>75476</v>
      </c>
      <c r="IE77" s="461">
        <v>41853.499999999993</v>
      </c>
      <c r="IF77" s="461">
        <v>36374.65</v>
      </c>
      <c r="IG77" s="563">
        <v>242423.78</v>
      </c>
      <c r="IH77" s="563">
        <v>234137.55</v>
      </c>
      <c r="II77" s="563">
        <f>HP77+HR77+Tableau6[[#This Row],[TRAVAUX BATIS]]+Tableau6[[#This Row],[HONORAIRES]]+IH77</f>
        <v>2714482.9699999997</v>
      </c>
      <c r="IJ77" s="654">
        <f>Tableau6[[#This Row],[TOTAL PRP HT]]-Tableau6[[#This Row],[PRP TTC HORS FRAFU]]/1.021</f>
        <v>2.321253065019846E-3</v>
      </c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</row>
    <row r="78" spans="1:256" ht="28.5" customHeight="1">
      <c r="A78" s="628" t="s">
        <v>590</v>
      </c>
      <c r="B78" s="22" t="s">
        <v>33</v>
      </c>
      <c r="C78" s="22" t="s">
        <v>87</v>
      </c>
      <c r="D78" s="22">
        <v>2015</v>
      </c>
      <c r="E78" s="22" t="s">
        <v>185</v>
      </c>
      <c r="F78" s="22" t="s">
        <v>113</v>
      </c>
      <c r="G78" s="57" t="s">
        <v>139</v>
      </c>
      <c r="H78" s="22" t="s">
        <v>181</v>
      </c>
      <c r="I78" s="24"/>
      <c r="J78" s="22"/>
      <c r="K78" s="134" t="s">
        <v>260</v>
      </c>
      <c r="L78" s="81" t="s">
        <v>48</v>
      </c>
      <c r="M78" s="82" t="s">
        <v>112</v>
      </c>
      <c r="N78" s="83"/>
      <c r="O78" s="103">
        <v>1767</v>
      </c>
      <c r="P78" s="103">
        <v>210000</v>
      </c>
      <c r="Q78" s="103">
        <v>210000</v>
      </c>
      <c r="R78" s="103">
        <f t="shared" si="303"/>
        <v>11666.666666666666</v>
      </c>
      <c r="S78" s="103">
        <f t="shared" si="288"/>
        <v>118.84550084889644</v>
      </c>
      <c r="T78" s="109">
        <f t="shared" si="289"/>
        <v>118.84550084889644</v>
      </c>
      <c r="U78" s="109">
        <f t="shared" si="290"/>
        <v>122.89973137630142</v>
      </c>
      <c r="V78" s="109">
        <f t="shared" si="291"/>
        <v>11666.666666666666</v>
      </c>
      <c r="W78" s="103">
        <f t="shared" si="292"/>
        <v>98.166666666666671</v>
      </c>
      <c r="X78" s="104"/>
      <c r="Y78" s="444">
        <f t="shared" si="261"/>
        <v>101.86757215619694</v>
      </c>
      <c r="Z78" s="104" t="s">
        <v>190</v>
      </c>
      <c r="AA78" s="104">
        <v>200</v>
      </c>
      <c r="AB78" s="105"/>
      <c r="AC78" s="23" t="s">
        <v>10</v>
      </c>
      <c r="AD78" s="426">
        <f t="shared" si="262"/>
        <v>18</v>
      </c>
      <c r="AE78" s="426">
        <f t="shared" si="263"/>
        <v>18</v>
      </c>
      <c r="AF78" s="32"/>
      <c r="AG78" s="22">
        <v>18</v>
      </c>
      <c r="AH78" s="32"/>
      <c r="AI78" s="32"/>
      <c r="AJ78" s="614">
        <v>1480.6299999999999</v>
      </c>
      <c r="AK78" s="222">
        <v>1708.71</v>
      </c>
      <c r="AL78" s="492">
        <f t="shared" si="264"/>
        <v>82.257222222222211</v>
      </c>
      <c r="AM78" s="4">
        <f t="shared" si="265"/>
        <v>94.928333333333342</v>
      </c>
      <c r="AN78" s="26">
        <v>5.8</v>
      </c>
      <c r="AO78" s="26">
        <v>5.0199999999999996</v>
      </c>
      <c r="AP78" s="26">
        <v>476.85</v>
      </c>
      <c r="AQ78" s="39">
        <v>0</v>
      </c>
      <c r="AR78" s="39">
        <v>0</v>
      </c>
      <c r="AS78" s="39">
        <f>10/AD78</f>
        <v>0.55555555555555558</v>
      </c>
      <c r="AT78" s="39">
        <f>4/AD78</f>
        <v>0.22222222222222221</v>
      </c>
      <c r="AU78" s="39">
        <f>4/AD78</f>
        <v>0.22222222222222221</v>
      </c>
      <c r="AV78" s="26"/>
      <c r="AW78" s="37">
        <v>0</v>
      </c>
      <c r="AX78" s="39">
        <v>0</v>
      </c>
      <c r="AY78" s="26">
        <v>3</v>
      </c>
      <c r="AZ78" s="25" t="s">
        <v>386</v>
      </c>
      <c r="BA78" s="22" t="s">
        <v>94</v>
      </c>
      <c r="BB78" s="22"/>
      <c r="BC78" s="22"/>
      <c r="BD78" s="22"/>
      <c r="BE78" s="22"/>
      <c r="BF78" s="56">
        <v>41920</v>
      </c>
      <c r="BG78" s="56"/>
      <c r="BH78" s="22"/>
      <c r="BI78" s="22"/>
      <c r="BJ78" s="548">
        <v>42093</v>
      </c>
      <c r="BK78" s="548">
        <v>42320</v>
      </c>
      <c r="BL78" s="549"/>
      <c r="BM78" s="547">
        <f t="shared" si="266"/>
        <v>7.5666666666666664</v>
      </c>
      <c r="BN78" s="490"/>
      <c r="BO78" s="77">
        <v>42608</v>
      </c>
      <c r="BP78" s="100">
        <v>42620</v>
      </c>
      <c r="BQ78" s="536">
        <f t="shared" si="247"/>
        <v>0.4</v>
      </c>
      <c r="BR78" s="100"/>
      <c r="BS78" s="77">
        <v>42711</v>
      </c>
      <c r="BT78" s="77">
        <v>42648</v>
      </c>
      <c r="BU78" s="151">
        <v>42736</v>
      </c>
      <c r="BV78" s="150">
        <f t="shared" si="267"/>
        <v>43831</v>
      </c>
      <c r="BW78" s="373">
        <f>47718.4+7748.48</f>
        <v>55466.880000000005</v>
      </c>
      <c r="BX78" s="150" t="str">
        <f>IF(Tableau6[[#This Row],[Montant des loyers perçus avant 1e échéance]]&lt;BW78,"oui","non")</f>
        <v>non</v>
      </c>
      <c r="BY78" s="475">
        <f t="shared" si="293"/>
        <v>15.366666666666667</v>
      </c>
      <c r="BZ78" s="373">
        <f t="shared" si="294"/>
        <v>156033.90354922268</v>
      </c>
      <c r="CA78" s="373">
        <f>IF(BW78-BZ78&lt;0,0,Tableau6[[#This Row],[Montant échéance annuelle]]-Tableau6[[#This Row],[Montant des loyers perçus avant 1e échéance]])</f>
        <v>0</v>
      </c>
      <c r="CB78" s="64">
        <v>41813</v>
      </c>
      <c r="CC78" s="64">
        <v>41814</v>
      </c>
      <c r="CD78" s="64">
        <v>41813</v>
      </c>
      <c r="CE78" s="273">
        <f t="shared" si="253"/>
        <v>-1</v>
      </c>
      <c r="CF78" s="64">
        <v>42027</v>
      </c>
      <c r="CG78" s="64">
        <v>41996</v>
      </c>
      <c r="CH78" s="273">
        <f t="shared" si="254"/>
        <v>-31</v>
      </c>
      <c r="CI78" s="64">
        <v>42026</v>
      </c>
      <c r="CJ78" s="64">
        <v>42038</v>
      </c>
      <c r="CK78" s="273">
        <f t="shared" si="255"/>
        <v>12</v>
      </c>
      <c r="CL78" s="64">
        <v>42078</v>
      </c>
      <c r="CM78" s="64">
        <v>42128</v>
      </c>
      <c r="CN78" s="273">
        <f t="shared" si="256"/>
        <v>50</v>
      </c>
      <c r="CO78" s="64">
        <v>42186</v>
      </c>
      <c r="CP78" s="64">
        <v>42254</v>
      </c>
      <c r="CQ78" s="273">
        <f t="shared" si="268"/>
        <v>68</v>
      </c>
      <c r="CR78" s="237"/>
      <c r="CS78" s="64">
        <v>42472</v>
      </c>
      <c r="CT78" s="64">
        <v>42695</v>
      </c>
      <c r="CU78" s="64">
        <v>42769</v>
      </c>
      <c r="CV78" s="273">
        <f>IF(AND(CT78&gt;0,CU78&gt;0),CU78-CT78,"0")</f>
        <v>74</v>
      </c>
      <c r="CW78" s="64">
        <v>42783</v>
      </c>
      <c r="CX78" s="229">
        <v>42772</v>
      </c>
      <c r="CY78" s="177">
        <v>2017</v>
      </c>
      <c r="CZ78" s="233">
        <f t="shared" si="243"/>
        <v>15.066666666666666</v>
      </c>
      <c r="DA78" s="273">
        <f t="shared" si="269"/>
        <v>-11</v>
      </c>
      <c r="DB78" s="133">
        <v>16</v>
      </c>
      <c r="DC78" s="59">
        <f t="shared" si="270"/>
        <v>18</v>
      </c>
      <c r="DD78" s="64">
        <v>42800</v>
      </c>
      <c r="DE78" s="64">
        <v>42867</v>
      </c>
      <c r="DF78" s="273">
        <f t="shared" si="271"/>
        <v>67</v>
      </c>
      <c r="DG78" s="64">
        <v>42899</v>
      </c>
      <c r="DH78" s="309">
        <v>42923</v>
      </c>
      <c r="DI78" s="276">
        <f t="shared" si="272"/>
        <v>24</v>
      </c>
      <c r="DJ78" s="64">
        <v>43068</v>
      </c>
      <c r="DK78" s="309">
        <v>43064</v>
      </c>
      <c r="DL78" s="273">
        <f t="shared" si="273"/>
        <v>-4</v>
      </c>
      <c r="DM78" s="64">
        <v>43082</v>
      </c>
      <c r="DN78" s="64">
        <v>43082</v>
      </c>
      <c r="DO78" s="273">
        <f t="shared" si="274"/>
        <v>0</v>
      </c>
      <c r="DP78" s="64">
        <v>43136</v>
      </c>
      <c r="DQ78" s="64">
        <v>43144</v>
      </c>
      <c r="DR78" s="273">
        <f t="shared" si="275"/>
        <v>8</v>
      </c>
      <c r="DS78" s="64">
        <v>43216</v>
      </c>
      <c r="DT78" s="64">
        <v>43294</v>
      </c>
      <c r="DU78" s="273">
        <f t="shared" si="276"/>
        <v>78</v>
      </c>
      <c r="DV78" s="64">
        <v>43244</v>
      </c>
      <c r="DW78" s="64">
        <v>43325</v>
      </c>
      <c r="DX78" s="273">
        <f t="shared" si="277"/>
        <v>81</v>
      </c>
      <c r="DY78" s="64"/>
      <c r="DZ78" s="64"/>
      <c r="EA78" s="64"/>
      <c r="EB78" s="327">
        <f t="shared" si="259"/>
        <v>43257</v>
      </c>
      <c r="EC78" s="183">
        <v>43346</v>
      </c>
      <c r="ED78" s="435">
        <f t="shared" si="278"/>
        <v>2.9666666666666668</v>
      </c>
      <c r="EE78" s="771">
        <f t="shared" ca="1" si="257"/>
        <v>0</v>
      </c>
      <c r="EF78" s="183">
        <f>DATE(YEAR(DH78)+2,MONTH(DH78),DAY(DH78))</f>
        <v>43653</v>
      </c>
      <c r="EG78" s="763">
        <v>43360</v>
      </c>
      <c r="EH78" s="160">
        <v>42879</v>
      </c>
      <c r="EI78" s="764">
        <v>43334</v>
      </c>
      <c r="EJ78" s="240">
        <v>43340</v>
      </c>
      <c r="EK78" s="455">
        <f>DATE(YEAR(EB78),MONTH(EB78),DAY(EB78)+15)</f>
        <v>43272</v>
      </c>
      <c r="EL78" s="183">
        <v>43370</v>
      </c>
      <c r="EM78" s="230">
        <v>2018</v>
      </c>
      <c r="EN78" s="430">
        <f t="shared" si="295"/>
        <v>3.2666666666666666</v>
      </c>
      <c r="EO78" s="389">
        <v>10154.050122509068</v>
      </c>
      <c r="EP78" s="440">
        <f t="shared" si="279"/>
        <v>33169.897066862955</v>
      </c>
      <c r="EQ78" s="159">
        <v>43328</v>
      </c>
      <c r="ER78" s="159"/>
      <c r="ES78" s="133"/>
      <c r="ET78" s="117">
        <v>0</v>
      </c>
      <c r="EU78" s="117">
        <v>0</v>
      </c>
      <c r="EV78" s="117">
        <f>174061.74*1.021</f>
        <v>177717.03653999997</v>
      </c>
      <c r="EW78" s="117">
        <v>128189</v>
      </c>
      <c r="EX78" s="117">
        <f>8252.34*1.021</f>
        <v>8425.6391399999993</v>
      </c>
      <c r="EY78" s="417">
        <f t="shared" si="258"/>
        <v>2.4840082218120355E-3</v>
      </c>
      <c r="EZ78" s="297" t="s">
        <v>771</v>
      </c>
      <c r="FA78" s="356"/>
      <c r="FB78" s="356" t="s">
        <v>563</v>
      </c>
      <c r="FC78" s="356" t="s">
        <v>498</v>
      </c>
      <c r="FD78" s="89">
        <f t="shared" si="241"/>
        <v>43653</v>
      </c>
      <c r="FE78" s="64" t="s">
        <v>101</v>
      </c>
      <c r="FF78" s="64">
        <v>43446</v>
      </c>
      <c r="FG78" s="63"/>
      <c r="FH78" s="63"/>
      <c r="FI78" s="146" t="s">
        <v>725</v>
      </c>
      <c r="FJ78" s="557" t="s">
        <v>779</v>
      </c>
      <c r="FK78" s="159">
        <f t="shared" si="300"/>
        <v>43711</v>
      </c>
      <c r="FL78" s="159"/>
      <c r="FM78" s="146"/>
      <c r="FN78" s="22"/>
      <c r="FO78" s="56">
        <v>43417</v>
      </c>
      <c r="FP78" s="56">
        <v>43545</v>
      </c>
      <c r="FQ78" s="22"/>
      <c r="FR78" s="22"/>
      <c r="FS78" s="22"/>
      <c r="FT78" s="22"/>
      <c r="FU78" s="22" t="s">
        <v>841</v>
      </c>
      <c r="FV78" s="89"/>
      <c r="FW78" s="57" t="s">
        <v>101</v>
      </c>
      <c r="FX78" s="22"/>
      <c r="FY78" s="22"/>
      <c r="FZ78" s="22"/>
      <c r="GA78" s="451"/>
      <c r="GB78" s="471">
        <f>GD78+GG78+GJ78+HF78+Tableau6[[#This Row],[PRÊT CREDIT D''IMPOT (PM)]]</f>
        <v>3391953</v>
      </c>
      <c r="GC78" s="644">
        <f t="shared" si="296"/>
        <v>3391953</v>
      </c>
      <c r="GD78" s="507">
        <f t="shared" si="297"/>
        <v>384432</v>
      </c>
      <c r="GE78" s="20">
        <f t="shared" si="280"/>
        <v>1985.095774004951</v>
      </c>
      <c r="GF78" s="20">
        <f t="shared" si="281"/>
        <v>188441.83333333334</v>
      </c>
      <c r="GG78" s="507">
        <v>982780</v>
      </c>
      <c r="GH78" s="351"/>
      <c r="GI78" s="11">
        <f t="shared" si="225"/>
        <v>54598.888888888891</v>
      </c>
      <c r="GJ78" s="507">
        <f t="shared" si="282"/>
        <v>2024741</v>
      </c>
      <c r="GK78" s="5">
        <f>SUBTOTAL(9,GL78:GM78)</f>
        <v>2024741</v>
      </c>
      <c r="GL78" s="44">
        <v>334225</v>
      </c>
      <c r="GM78" s="44">
        <v>1690516</v>
      </c>
      <c r="GN78" s="345">
        <f t="shared" si="283"/>
        <v>112485.61111111111</v>
      </c>
      <c r="GO78" s="35"/>
      <c r="GP78" s="35">
        <v>360000</v>
      </c>
      <c r="GQ78" s="35"/>
      <c r="GR78" s="18">
        <f t="shared" si="284"/>
        <v>0.10613354607213013</v>
      </c>
      <c r="GS78" s="45"/>
      <c r="GT78" s="45"/>
      <c r="GU78" s="35">
        <v>24432</v>
      </c>
      <c r="GV78" s="20">
        <f t="shared" si="248"/>
        <v>20000</v>
      </c>
      <c r="GW78" s="41">
        <f t="shared" si="249"/>
        <v>74598.888888888891</v>
      </c>
      <c r="GX78" s="569">
        <v>0</v>
      </c>
      <c r="GY78" s="569">
        <v>0</v>
      </c>
      <c r="GZ78" s="567">
        <f t="shared" si="301"/>
        <v>74598.888888888891</v>
      </c>
      <c r="HA78" s="569">
        <v>0</v>
      </c>
      <c r="HB78" s="569">
        <f t="shared" si="250"/>
        <v>74598.888888888891</v>
      </c>
      <c r="HC78" s="568">
        <f t="shared" si="298"/>
        <v>0.39587223054093024</v>
      </c>
      <c r="HD78" s="569">
        <v>0</v>
      </c>
      <c r="HE78" s="569"/>
      <c r="HF78" s="507">
        <f>EU78</f>
        <v>0</v>
      </c>
      <c r="HG78" s="637">
        <v>3312676.0346199996</v>
      </c>
      <c r="HH78" s="634">
        <f t="shared" si="285"/>
        <v>0.97662792928439734</v>
      </c>
      <c r="HI78" s="635">
        <f t="shared" si="251"/>
        <v>79276.965380000416</v>
      </c>
      <c r="HJ78" s="633" t="e">
        <f t="shared" ca="1" si="299"/>
        <v>#VALUE!</v>
      </c>
      <c r="HK78" s="634" t="e">
        <f t="shared" ca="1" si="302"/>
        <v>#VALUE!</v>
      </c>
      <c r="HL78" s="633">
        <f>'[1]GLOBAL OPERATION'!$AG$41</f>
        <v>0</v>
      </c>
      <c r="HM78" s="633">
        <f t="shared" si="286"/>
        <v>384432</v>
      </c>
      <c r="HN78" s="634">
        <f t="shared" si="287"/>
        <v>0</v>
      </c>
      <c r="HO78" s="634"/>
      <c r="HP78" s="563">
        <v>263436.49</v>
      </c>
      <c r="HQ78" s="47">
        <v>191120</v>
      </c>
      <c r="HR78" s="563">
        <v>263532.21999999997</v>
      </c>
      <c r="HS78" s="563">
        <f>SUM(Tableau6[[#This Row],[GO]:[CARRELAGE]])</f>
        <v>2107736.4846082944</v>
      </c>
      <c r="HT78" s="461">
        <v>1084687.8899999999</v>
      </c>
      <c r="HU78" s="461">
        <v>228023.7</v>
      </c>
      <c r="HV78" s="461">
        <v>106184.00460829493</v>
      </c>
      <c r="HW78" s="461">
        <v>115242.89</v>
      </c>
      <c r="HX78" s="461">
        <v>105132</v>
      </c>
      <c r="HY78" s="461">
        <v>62748.95</v>
      </c>
      <c r="HZ78" s="461">
        <v>92063.14</v>
      </c>
      <c r="IA78" s="461">
        <v>76515.41</v>
      </c>
      <c r="IB78" s="461">
        <v>65100.000000000007</v>
      </c>
      <c r="IC78" s="461"/>
      <c r="ID78" s="461"/>
      <c r="IE78" s="461">
        <v>115917.49999999999</v>
      </c>
      <c r="IF78" s="461">
        <v>56121</v>
      </c>
      <c r="IG78" s="563">
        <v>424629.94</v>
      </c>
      <c r="IH78" s="563">
        <v>262851.94300000003</v>
      </c>
      <c r="II78" s="563">
        <f>HP78+HR78+Tableau6[[#This Row],[TRAVAUX BATIS]]+Tableau6[[#This Row],[HONORAIRES]]+IH78</f>
        <v>3322187.0776082943</v>
      </c>
      <c r="IJ78" s="654">
        <f>Tableau6[[#This Row],[TOTAL PRP HT]]-Tableau6[[#This Row],[PRP TTC HORS FRAFU]]/1.021</f>
        <v>6.1097629368305206E-3</v>
      </c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</row>
    <row r="79" spans="1:256" ht="31.5" customHeight="1">
      <c r="A79" s="477" t="s">
        <v>730</v>
      </c>
      <c r="B79" s="22" t="s">
        <v>125</v>
      </c>
      <c r="C79" s="22" t="s">
        <v>88</v>
      </c>
      <c r="D79" s="22">
        <v>2015</v>
      </c>
      <c r="E79" s="22" t="s">
        <v>182</v>
      </c>
      <c r="F79" s="22" t="s">
        <v>834</v>
      </c>
      <c r="G79" s="57"/>
      <c r="H79" s="22" t="s">
        <v>646</v>
      </c>
      <c r="I79" s="22"/>
      <c r="J79" s="22"/>
      <c r="K79" s="134" t="s">
        <v>388</v>
      </c>
      <c r="L79" s="81" t="s">
        <v>42</v>
      </c>
      <c r="M79" s="781"/>
      <c r="N79" s="83"/>
      <c r="O79" s="103">
        <f>13077/58*AD79</f>
        <v>10371.413793103447</v>
      </c>
      <c r="P79" s="103">
        <f>590200/58*AD79</f>
        <v>468089.65517241386</v>
      </c>
      <c r="Q79" s="103">
        <f>590200/58*AD79</f>
        <v>468089.65517241386</v>
      </c>
      <c r="R79" s="103">
        <f t="shared" si="303"/>
        <v>10175.862068965518</v>
      </c>
      <c r="S79" s="103">
        <f t="shared" si="288"/>
        <v>45.13267569014301</v>
      </c>
      <c r="T79" s="109">
        <f t="shared" si="289"/>
        <v>45.13267569014301</v>
      </c>
      <c r="U79" s="109">
        <f t="shared" si="290"/>
        <v>115.98823370433713</v>
      </c>
      <c r="V79" s="109">
        <f t="shared" si="291"/>
        <v>10175.862068965518</v>
      </c>
      <c r="W79" s="103">
        <f t="shared" si="292"/>
        <v>225.4655172413793</v>
      </c>
      <c r="X79" s="104"/>
      <c r="Y79" s="444">
        <f t="shared" si="261"/>
        <v>44.352680278351308</v>
      </c>
      <c r="Z79" s="104" t="s">
        <v>596</v>
      </c>
      <c r="AA79" s="104">
        <v>280</v>
      </c>
      <c r="AB79" s="105">
        <v>0.25</v>
      </c>
      <c r="AC79" s="23" t="s">
        <v>9</v>
      </c>
      <c r="AD79" s="426">
        <f t="shared" si="262"/>
        <v>46</v>
      </c>
      <c r="AE79" s="426">
        <f t="shared" si="263"/>
        <v>46</v>
      </c>
      <c r="AF79" s="22">
        <v>46</v>
      </c>
      <c r="AG79" s="32"/>
      <c r="AH79" s="32"/>
      <c r="AI79" s="32"/>
      <c r="AJ79" s="614">
        <v>3586.65</v>
      </c>
      <c r="AK79" s="222">
        <v>4035.6650000000013</v>
      </c>
      <c r="AL79" s="492">
        <f t="shared" si="264"/>
        <v>77.970652173913052</v>
      </c>
      <c r="AM79" s="4">
        <f t="shared" si="265"/>
        <v>87.731847826086991</v>
      </c>
      <c r="AN79" s="26">
        <v>7.21</v>
      </c>
      <c r="AO79" s="26">
        <v>6.41</v>
      </c>
      <c r="AP79" s="26">
        <v>562</v>
      </c>
      <c r="AQ79" s="39"/>
      <c r="AR79" s="39"/>
      <c r="AS79" s="39">
        <f>36/AF79</f>
        <v>0.78260869565217395</v>
      </c>
      <c r="AT79" s="39">
        <f>10/AD79</f>
        <v>0.21739130434782608</v>
      </c>
      <c r="AU79" s="39"/>
      <c r="AV79" s="26"/>
      <c r="AW79" s="37"/>
      <c r="AX79" s="39"/>
      <c r="AY79" s="28">
        <v>2</v>
      </c>
      <c r="AZ79" s="25" t="s">
        <v>386</v>
      </c>
      <c r="BA79" s="22" t="s">
        <v>94</v>
      </c>
      <c r="BB79" s="22"/>
      <c r="BC79" s="22"/>
      <c r="BD79" s="22"/>
      <c r="BE79" s="22"/>
      <c r="BF79" s="56">
        <v>41921</v>
      </c>
      <c r="BG79" s="56"/>
      <c r="BH79" s="22"/>
      <c r="BI79" s="22"/>
      <c r="BJ79" s="548">
        <v>42093</v>
      </c>
      <c r="BK79" s="548">
        <v>42304</v>
      </c>
      <c r="BL79" s="549">
        <v>42335</v>
      </c>
      <c r="BM79" s="547">
        <f t="shared" si="266"/>
        <v>7.0333333333333332</v>
      </c>
      <c r="BN79" s="490"/>
      <c r="BO79" s="77">
        <v>42614</v>
      </c>
      <c r="BP79" s="100">
        <v>42620</v>
      </c>
      <c r="BQ79" s="536">
        <f t="shared" si="247"/>
        <v>0.2</v>
      </c>
      <c r="BR79" s="529">
        <v>54047</v>
      </c>
      <c r="BS79" s="77">
        <v>42711</v>
      </c>
      <c r="BT79" s="77"/>
      <c r="BU79" s="151">
        <v>42736</v>
      </c>
      <c r="BV79" s="150">
        <f t="shared" si="267"/>
        <v>43831</v>
      </c>
      <c r="BW79" s="373">
        <f>35712+134537</f>
        <v>170249</v>
      </c>
      <c r="BX79" s="150" t="str">
        <f>IF(Tableau6[[#This Row],[Montant des loyers perçus avant 1e échéance]]&lt;BW79,"oui","non")</f>
        <v>non</v>
      </c>
      <c r="BY79" s="475">
        <f t="shared" si="293"/>
        <v>10.533333333333333</v>
      </c>
      <c r="BZ79" s="373">
        <f t="shared" si="294"/>
        <v>280537.77777777775</v>
      </c>
      <c r="CA79" s="373">
        <f>IF(BW79-BZ79&lt;0,0,Tableau6[[#This Row],[Montant échéance annuelle]]-Tableau6[[#This Row],[Montant des loyers perçus avant 1e échéance]])</f>
        <v>0</v>
      </c>
      <c r="CB79" s="64"/>
      <c r="CC79" s="64"/>
      <c r="CD79" s="64"/>
      <c r="CE79" s="273" t="str">
        <f t="shared" si="253"/>
        <v>0</v>
      </c>
      <c r="CF79" s="64"/>
      <c r="CG79" s="64"/>
      <c r="CH79" s="273" t="str">
        <f t="shared" si="254"/>
        <v>0</v>
      </c>
      <c r="CI79" s="64"/>
      <c r="CJ79" s="64"/>
      <c r="CK79" s="273" t="str">
        <f t="shared" si="255"/>
        <v>0</v>
      </c>
      <c r="CL79" s="64"/>
      <c r="CM79" s="64"/>
      <c r="CN79" s="273" t="str">
        <f t="shared" si="256"/>
        <v>0</v>
      </c>
      <c r="CO79" s="64"/>
      <c r="CP79" s="64"/>
      <c r="CQ79" s="273" t="str">
        <f t="shared" si="268"/>
        <v>0</v>
      </c>
      <c r="CR79" s="237"/>
      <c r="CS79" s="64"/>
      <c r="CT79" s="64"/>
      <c r="CU79" s="64"/>
      <c r="CV79" s="273"/>
      <c r="CW79" s="64"/>
      <c r="CX79" s="229">
        <v>42782</v>
      </c>
      <c r="CY79" s="177">
        <v>2017</v>
      </c>
      <c r="CZ79" s="233">
        <f t="shared" si="243"/>
        <v>15.933333333333334</v>
      </c>
      <c r="DA79" s="273" t="str">
        <f t="shared" si="269"/>
        <v>0</v>
      </c>
      <c r="DB79" s="133">
        <v>18</v>
      </c>
      <c r="DC79" s="59">
        <f t="shared" si="270"/>
        <v>23</v>
      </c>
      <c r="DD79" s="64">
        <v>42909</v>
      </c>
      <c r="DE79" s="64">
        <v>42909</v>
      </c>
      <c r="DF79" s="273">
        <f t="shared" si="271"/>
        <v>0</v>
      </c>
      <c r="DG79" s="159">
        <v>42942</v>
      </c>
      <c r="DH79" s="336">
        <v>43160</v>
      </c>
      <c r="DI79" s="337">
        <f t="shared" si="272"/>
        <v>218</v>
      </c>
      <c r="DJ79" s="64">
        <v>43046</v>
      </c>
      <c r="DK79" s="309">
        <v>43259</v>
      </c>
      <c r="DL79" s="273">
        <f t="shared" si="273"/>
        <v>213</v>
      </c>
      <c r="DM79" s="159">
        <v>43133</v>
      </c>
      <c r="DN79" s="159">
        <v>43278</v>
      </c>
      <c r="DO79" s="381">
        <f t="shared" si="274"/>
        <v>145</v>
      </c>
      <c r="DP79" s="64">
        <v>43182</v>
      </c>
      <c r="DQ79" s="64">
        <v>43290</v>
      </c>
      <c r="DR79" s="273">
        <f t="shared" si="275"/>
        <v>108</v>
      </c>
      <c r="DS79" s="159">
        <v>43214</v>
      </c>
      <c r="DT79" s="159">
        <v>43412</v>
      </c>
      <c r="DU79" s="381">
        <f t="shared" si="276"/>
        <v>198</v>
      </c>
      <c r="DV79" s="282">
        <v>43346</v>
      </c>
      <c r="DW79" s="282">
        <f ca="1">IF(DV79&lt;TODAY(),TODAY(),DV79)</f>
        <v>43998</v>
      </c>
      <c r="DX79" s="279">
        <f t="shared" ca="1" si="277"/>
        <v>652</v>
      </c>
      <c r="DY79" s="283"/>
      <c r="DZ79" s="283"/>
      <c r="EA79" s="283"/>
      <c r="EB79" s="327">
        <f t="shared" si="259"/>
        <v>43328</v>
      </c>
      <c r="EC79" s="183">
        <v>43503</v>
      </c>
      <c r="ED79" s="435">
        <f t="shared" si="278"/>
        <v>5.833333333333333</v>
      </c>
      <c r="EE79" s="762">
        <f t="shared" ca="1" si="257"/>
        <v>0</v>
      </c>
      <c r="EF79" s="183">
        <f>DATE(YEAR(DH79)+2,MONTH(DH79),DAY(DH79))</f>
        <v>43891</v>
      </c>
      <c r="EG79" s="767">
        <v>43522</v>
      </c>
      <c r="EH79" s="125">
        <v>42887</v>
      </c>
      <c r="EI79" s="764">
        <v>43504</v>
      </c>
      <c r="EJ79" s="240"/>
      <c r="EK79" s="455">
        <f>DATE(YEAR(EB79),MONTH(EB79),DAY(EB79)+15)</f>
        <v>43343</v>
      </c>
      <c r="EL79" s="183">
        <v>43515</v>
      </c>
      <c r="EM79" s="177">
        <v>2019</v>
      </c>
      <c r="EN79" s="430">
        <f t="shared" si="295"/>
        <v>5.7333333333333334</v>
      </c>
      <c r="EO79" s="389">
        <f>319600/12</f>
        <v>26633.333333333332</v>
      </c>
      <c r="EP79" s="440">
        <f t="shared" si="279"/>
        <v>152697.77777777778</v>
      </c>
      <c r="EQ79" s="226"/>
      <c r="ER79" s="226"/>
      <c r="ES79" s="739"/>
      <c r="ET79" s="300">
        <v>0</v>
      </c>
      <c r="EU79" s="300">
        <v>0</v>
      </c>
      <c r="EV79" s="300">
        <f>481600.82*1.021</f>
        <v>491714.43721999996</v>
      </c>
      <c r="EW79" s="300">
        <v>345197.8408103516</v>
      </c>
      <c r="EX79" s="300">
        <f>75606.36*1.021</f>
        <v>77194.093559999994</v>
      </c>
      <c r="EY79" s="416">
        <f t="shared" si="258"/>
        <v>9.1700933674838531E-3</v>
      </c>
      <c r="EZ79" s="297" t="s">
        <v>496</v>
      </c>
      <c r="FA79" s="356" t="s">
        <v>657</v>
      </c>
      <c r="FB79" s="620" t="s">
        <v>660</v>
      </c>
      <c r="FC79" s="356" t="s">
        <v>547</v>
      </c>
      <c r="FD79" s="89">
        <f t="shared" si="241"/>
        <v>43891</v>
      </c>
      <c r="FE79" s="64">
        <v>43511</v>
      </c>
      <c r="FF79" s="159">
        <v>43591</v>
      </c>
      <c r="FG79" s="63"/>
      <c r="FH79" s="166" t="s">
        <v>101</v>
      </c>
      <c r="FI79" s="63" t="s">
        <v>847</v>
      </c>
      <c r="FJ79" s="216" t="s">
        <v>846</v>
      </c>
      <c r="FK79" s="159">
        <f t="shared" si="300"/>
        <v>43868</v>
      </c>
      <c r="FL79" s="159"/>
      <c r="FM79" s="226"/>
      <c r="FN79" s="56">
        <v>43563</v>
      </c>
      <c r="FO79" s="56">
        <v>43563</v>
      </c>
      <c r="FP79" s="22"/>
      <c r="FQ79" s="22"/>
      <c r="FR79" s="22"/>
      <c r="FS79" s="22"/>
      <c r="FT79" s="22"/>
      <c r="FU79" s="22" t="s">
        <v>863</v>
      </c>
      <c r="FV79" s="22"/>
      <c r="FW79" s="160">
        <v>43791</v>
      </c>
      <c r="FX79" s="22"/>
      <c r="FY79" s="22"/>
      <c r="FZ79" s="22"/>
      <c r="GA79" s="451"/>
      <c r="GB79" s="471">
        <f>GD79+GG79+GJ79+HF79+Tableau6[[#This Row],[PRÊT CREDIT D''IMPOT (PM)]]</f>
        <v>8418027</v>
      </c>
      <c r="GC79" s="644">
        <f t="shared" si="296"/>
        <v>8418027</v>
      </c>
      <c r="GD79" s="507">
        <f t="shared" si="297"/>
        <v>489468</v>
      </c>
      <c r="GE79" s="20">
        <f t="shared" si="280"/>
        <v>2085.9082703841864</v>
      </c>
      <c r="GF79" s="20">
        <f t="shared" si="281"/>
        <v>183000.58695652173</v>
      </c>
      <c r="GG79" s="507">
        <v>2642685</v>
      </c>
      <c r="GH79" s="351"/>
      <c r="GI79" s="20">
        <f t="shared" si="225"/>
        <v>57449.67391304348</v>
      </c>
      <c r="GJ79" s="507">
        <f t="shared" si="282"/>
        <v>5285874</v>
      </c>
      <c r="GK79" s="5">
        <f>GL79+GM79</f>
        <v>5285874</v>
      </c>
      <c r="GL79" s="44">
        <v>1258166</v>
      </c>
      <c r="GM79" s="44">
        <v>4027708</v>
      </c>
      <c r="GN79" s="345">
        <f t="shared" si="283"/>
        <v>114910.30434782608</v>
      </c>
      <c r="GO79" s="35"/>
      <c r="GP79" s="35">
        <v>406000</v>
      </c>
      <c r="GQ79" s="35"/>
      <c r="GR79" s="18">
        <f t="shared" si="284"/>
        <v>4.8229828676006857E-2</v>
      </c>
      <c r="GS79" s="45"/>
      <c r="GT79" s="45"/>
      <c r="GU79" s="35">
        <v>83468</v>
      </c>
      <c r="GV79" s="20">
        <f t="shared" si="248"/>
        <v>8826.0869565217399</v>
      </c>
      <c r="GW79" s="41">
        <f t="shared" si="249"/>
        <v>66275.760869565216</v>
      </c>
      <c r="GX79" s="569"/>
      <c r="GY79" s="569"/>
      <c r="GZ79" s="567">
        <f t="shared" si="301"/>
        <v>66275.760869565216</v>
      </c>
      <c r="HA79" s="569"/>
      <c r="HB79" s="569">
        <f t="shared" si="250"/>
        <v>66275.760869565216</v>
      </c>
      <c r="HC79" s="568">
        <f t="shared" si="298"/>
        <v>0.36216146610126104</v>
      </c>
      <c r="HD79" s="569"/>
      <c r="HE79" s="569"/>
      <c r="HF79" s="507">
        <f>EU79</f>
        <v>0</v>
      </c>
      <c r="HG79" s="637">
        <v>6980817.6599099981</v>
      </c>
      <c r="HH79" s="634">
        <f t="shared" si="285"/>
        <v>0.82927004865985798</v>
      </c>
      <c r="HI79" s="635">
        <f t="shared" si="251"/>
        <v>1437209.3400900019</v>
      </c>
      <c r="HJ79" s="633" t="e">
        <f t="shared" ca="1" si="299"/>
        <v>#VALUE!</v>
      </c>
      <c r="HK79" s="634" t="e">
        <f t="shared" ca="1" si="302"/>
        <v>#VALUE!</v>
      </c>
      <c r="HL79" s="633">
        <f>'[1]GLOBAL OPERATION'!$AG$47+65300</f>
        <v>66875</v>
      </c>
      <c r="HM79" s="633">
        <f>GD79+GD80-HL79</f>
        <v>702600</v>
      </c>
      <c r="HN79" s="634">
        <f>HL79/(GD79+GD80)</f>
        <v>8.6909906104811724E-2</v>
      </c>
      <c r="HO79" s="634"/>
      <c r="HP79" s="563">
        <v>646692.76887145452</v>
      </c>
      <c r="HQ79" s="47">
        <v>516449.05746259482</v>
      </c>
      <c r="HR79" s="563">
        <v>1348573.9336279698</v>
      </c>
      <c r="HS79" s="563">
        <f>SUM(Tableau6[[#This Row],[GO]:[CARRELAGE]])</f>
        <v>4646261.8742106669</v>
      </c>
      <c r="HT79" s="461">
        <v>2277012.8277887837</v>
      </c>
      <c r="HU79" s="461">
        <v>519122.18646431883</v>
      </c>
      <c r="HV79" s="461">
        <v>320255.19396128732</v>
      </c>
      <c r="HW79" s="461">
        <v>170427.69761925982</v>
      </c>
      <c r="HX79" s="461">
        <v>193850.29764530523</v>
      </c>
      <c r="HY79" s="461">
        <v>27076.591907520269</v>
      </c>
      <c r="HZ79" s="461">
        <v>378900.68472434854</v>
      </c>
      <c r="IA79" s="461">
        <v>197068.26293649912</v>
      </c>
      <c r="IB79" s="461">
        <v>140946.53723536871</v>
      </c>
      <c r="IC79" s="461"/>
      <c r="ID79" s="461">
        <v>275716</v>
      </c>
      <c r="IE79" s="461">
        <v>115350.46</v>
      </c>
      <c r="IF79" s="461">
        <v>30535.133927974668</v>
      </c>
      <c r="IG79" s="563">
        <v>866765.85</v>
      </c>
      <c r="IH79" s="563">
        <v>736590</v>
      </c>
      <c r="II79" s="563">
        <f>HP79+HR79+Tableau6[[#This Row],[TRAVAUX BATIS]]+Tableau6[[#This Row],[HONORAIRES]]+IH79</f>
        <v>8244884.4267100906</v>
      </c>
      <c r="IJ79" s="654">
        <f>Tableau6[[#This Row],[TOTAL PRP HT]]-Tableau6[[#This Row],[PRP TTC HORS FRAFU]]/1.021</f>
        <v>-3.2223109155893326E-4</v>
      </c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</row>
    <row r="80" spans="1:256" ht="72.75" customHeight="1">
      <c r="A80" s="477" t="s">
        <v>598</v>
      </c>
      <c r="B80" s="22" t="s">
        <v>125</v>
      </c>
      <c r="C80" s="22" t="s">
        <v>88</v>
      </c>
      <c r="D80" s="22">
        <v>2015</v>
      </c>
      <c r="E80" s="22" t="s">
        <v>182</v>
      </c>
      <c r="F80" s="22" t="s">
        <v>834</v>
      </c>
      <c r="G80" s="22" t="s">
        <v>329</v>
      </c>
      <c r="H80" s="57"/>
      <c r="I80" s="22"/>
      <c r="J80" s="22"/>
      <c r="K80" s="134" t="s">
        <v>388</v>
      </c>
      <c r="L80" s="81" t="s">
        <v>42</v>
      </c>
      <c r="M80" s="82" t="s">
        <v>47</v>
      </c>
      <c r="N80" s="83"/>
      <c r="O80" s="103">
        <f>13077/58*AD80</f>
        <v>2705.5862068965516</v>
      </c>
      <c r="P80" s="103">
        <f>590200/58*AD80</f>
        <v>122110.34482758622</v>
      </c>
      <c r="Q80" s="103">
        <f>590200/58*AD80</f>
        <v>122110.34482758622</v>
      </c>
      <c r="R80" s="103">
        <f t="shared" si="303"/>
        <v>10175.862068965518</v>
      </c>
      <c r="S80" s="103">
        <f t="shared" si="288"/>
        <v>45.132675690143003</v>
      </c>
      <c r="T80" s="109">
        <f t="shared" si="289"/>
        <v>45.132675690143003</v>
      </c>
      <c r="U80" s="109">
        <f t="shared" si="290"/>
        <v>180.30054163480233</v>
      </c>
      <c r="V80" s="109">
        <f t="shared" si="291"/>
        <v>10175.862068965518</v>
      </c>
      <c r="W80" s="103">
        <f t="shared" si="292"/>
        <v>225.4655172413793</v>
      </c>
      <c r="X80" s="104"/>
      <c r="Y80" s="444">
        <f t="shared" si="261"/>
        <v>44.352680278351308</v>
      </c>
      <c r="Z80" s="104" t="s">
        <v>596</v>
      </c>
      <c r="AA80" s="104">
        <v>280</v>
      </c>
      <c r="AB80" s="105">
        <v>0.25</v>
      </c>
      <c r="AC80" s="23" t="s">
        <v>10</v>
      </c>
      <c r="AD80" s="426">
        <f t="shared" si="262"/>
        <v>12</v>
      </c>
      <c r="AE80" s="426">
        <f t="shared" si="263"/>
        <v>12</v>
      </c>
      <c r="AF80" s="32"/>
      <c r="AG80" s="22">
        <v>12</v>
      </c>
      <c r="AH80" s="32"/>
      <c r="AI80" s="32"/>
      <c r="AJ80" s="614">
        <v>677.26</v>
      </c>
      <c r="AK80" s="222">
        <v>677.26</v>
      </c>
      <c r="AL80" s="492">
        <f t="shared" si="264"/>
        <v>56.438333333333333</v>
      </c>
      <c r="AM80" s="4">
        <f t="shared" si="265"/>
        <v>56.438333333333333</v>
      </c>
      <c r="AN80" s="26">
        <v>5.87</v>
      </c>
      <c r="AO80" s="26">
        <v>5.87</v>
      </c>
      <c r="AP80" s="26">
        <v>331.1</v>
      </c>
      <c r="AQ80" s="39"/>
      <c r="AR80" s="39">
        <f>12/AD80</f>
        <v>1</v>
      </c>
      <c r="AS80" s="39"/>
      <c r="AT80" s="39"/>
      <c r="AU80" s="39"/>
      <c r="AV80" s="26"/>
      <c r="AW80" s="37"/>
      <c r="AX80" s="39"/>
      <c r="AY80" s="26">
        <v>2</v>
      </c>
      <c r="AZ80" s="25" t="s">
        <v>386</v>
      </c>
      <c r="BA80" s="22" t="s">
        <v>94</v>
      </c>
      <c r="BB80" s="22"/>
      <c r="BC80" s="22"/>
      <c r="BD80" s="22"/>
      <c r="BE80" s="22"/>
      <c r="BF80" s="56">
        <v>41921</v>
      </c>
      <c r="BG80" s="56"/>
      <c r="BH80" s="22"/>
      <c r="BI80" s="22"/>
      <c r="BJ80" s="548">
        <v>42093</v>
      </c>
      <c r="BK80" s="548">
        <v>42306</v>
      </c>
      <c r="BL80" s="549">
        <v>42335</v>
      </c>
      <c r="BM80" s="547">
        <f t="shared" si="266"/>
        <v>7.1</v>
      </c>
      <c r="BN80" s="490"/>
      <c r="BO80" s="77">
        <v>42614</v>
      </c>
      <c r="BP80" s="100">
        <v>42622</v>
      </c>
      <c r="BQ80" s="536">
        <f t="shared" si="247"/>
        <v>0.26666666666666666</v>
      </c>
      <c r="BR80" s="529">
        <v>54134</v>
      </c>
      <c r="BS80" s="77">
        <v>42713</v>
      </c>
      <c r="BT80" s="77"/>
      <c r="BU80" s="151">
        <v>42736</v>
      </c>
      <c r="BV80" s="150">
        <f t="shared" si="267"/>
        <v>43831</v>
      </c>
      <c r="BW80" s="373">
        <f>16897+4009</f>
        <v>20906</v>
      </c>
      <c r="BX80" s="150" t="str">
        <f>IF(Tableau6[[#This Row],[Montant des loyers perçus avant 1e échéance]]&lt;BW80,"oui","non")</f>
        <v>non</v>
      </c>
      <c r="BY80" s="475">
        <f t="shared" si="293"/>
        <v>10.533333333333333</v>
      </c>
      <c r="BZ80" s="373">
        <f t="shared" si="294"/>
        <v>43209.488888888889</v>
      </c>
      <c r="CA80" s="373">
        <f>IF(BW80-BZ80&lt;0,0,Tableau6[[#This Row],[Montant échéance annuelle]]-Tableau6[[#This Row],[Montant des loyers perçus avant 1e échéance]])</f>
        <v>0</v>
      </c>
      <c r="CB80" s="64"/>
      <c r="CC80" s="64"/>
      <c r="CD80" s="64"/>
      <c r="CE80" s="273" t="str">
        <f t="shared" si="253"/>
        <v>0</v>
      </c>
      <c r="CF80" s="64"/>
      <c r="CG80" s="64"/>
      <c r="CH80" s="273" t="str">
        <f t="shared" si="254"/>
        <v>0</v>
      </c>
      <c r="CI80" s="64"/>
      <c r="CJ80" s="64"/>
      <c r="CK80" s="273" t="str">
        <f t="shared" si="255"/>
        <v>0</v>
      </c>
      <c r="CL80" s="66"/>
      <c r="CM80" s="64"/>
      <c r="CN80" s="273" t="str">
        <f t="shared" si="256"/>
        <v>0</v>
      </c>
      <c r="CO80" s="64"/>
      <c r="CP80" s="64"/>
      <c r="CQ80" s="273" t="str">
        <f t="shared" si="268"/>
        <v>0</v>
      </c>
      <c r="CR80" s="237"/>
      <c r="CS80" s="64"/>
      <c r="CT80" s="64"/>
      <c r="CU80" s="64"/>
      <c r="CV80" s="273"/>
      <c r="CW80" s="64"/>
      <c r="CX80" s="229">
        <v>42782</v>
      </c>
      <c r="CY80" s="177">
        <v>2017</v>
      </c>
      <c r="CZ80" s="233">
        <f t="shared" si="243"/>
        <v>15.866666666666667</v>
      </c>
      <c r="DA80" s="273" t="str">
        <f t="shared" si="269"/>
        <v>0</v>
      </c>
      <c r="DB80" s="169">
        <v>18</v>
      </c>
      <c r="DC80" s="59">
        <f t="shared" si="270"/>
        <v>23</v>
      </c>
      <c r="DD80" s="64"/>
      <c r="DE80" s="64"/>
      <c r="DF80" s="273" t="str">
        <f t="shared" si="271"/>
        <v>0</v>
      </c>
      <c r="DG80" s="159"/>
      <c r="DH80" s="336"/>
      <c r="DI80" s="337" t="str">
        <f t="shared" si="272"/>
        <v>0</v>
      </c>
      <c r="DJ80" s="64"/>
      <c r="DK80" s="309"/>
      <c r="DL80" s="273" t="str">
        <f t="shared" si="273"/>
        <v>0</v>
      </c>
      <c r="DM80" s="159"/>
      <c r="DN80" s="159"/>
      <c r="DO80" s="381" t="str">
        <f t="shared" si="274"/>
        <v>0</v>
      </c>
      <c r="DP80" s="64"/>
      <c r="DQ80" s="64">
        <v>43290</v>
      </c>
      <c r="DR80" s="273" t="str">
        <f t="shared" si="275"/>
        <v>0</v>
      </c>
      <c r="DS80" s="159"/>
      <c r="DT80" s="159"/>
      <c r="DU80" s="381" t="str">
        <f t="shared" si="276"/>
        <v>0</v>
      </c>
      <c r="DV80" s="282"/>
      <c r="DW80" s="282"/>
      <c r="DX80" s="279" t="str">
        <f t="shared" si="277"/>
        <v>0</v>
      </c>
      <c r="DY80" s="283"/>
      <c r="DZ80" s="283"/>
      <c r="EA80" s="283"/>
      <c r="EB80" s="327">
        <f t="shared" si="259"/>
        <v>43328</v>
      </c>
      <c r="EC80" s="183">
        <v>43503</v>
      </c>
      <c r="ED80" s="435">
        <f t="shared" si="278"/>
        <v>5.833333333333333</v>
      </c>
      <c r="EE80" s="762">
        <f t="shared" ca="1" si="257"/>
        <v>0</v>
      </c>
      <c r="EF80" s="459"/>
      <c r="EG80" s="767">
        <v>43522</v>
      </c>
      <c r="EH80" s="125">
        <v>42887</v>
      </c>
      <c r="EI80" s="801"/>
      <c r="EJ80" s="509"/>
      <c r="EK80" s="455">
        <f>DATE(YEAR(EB80),MONTH(EB80),DAY(EB80)+15)</f>
        <v>43343</v>
      </c>
      <c r="EL80" s="183">
        <v>43515</v>
      </c>
      <c r="EM80" s="324">
        <v>2019</v>
      </c>
      <c r="EN80" s="430">
        <f t="shared" si="295"/>
        <v>5.7333333333333334</v>
      </c>
      <c r="EO80" s="389">
        <f>49226/12</f>
        <v>4102.166666666667</v>
      </c>
      <c r="EP80" s="440">
        <f t="shared" si="279"/>
        <v>23519.088888888891</v>
      </c>
      <c r="EQ80" s="159"/>
      <c r="ER80" s="159"/>
      <c r="ES80" s="133"/>
      <c r="ET80" s="300">
        <v>0</v>
      </c>
      <c r="EU80" s="300">
        <v>0</v>
      </c>
      <c r="EV80" s="117" t="s">
        <v>379</v>
      </c>
      <c r="EW80" s="117"/>
      <c r="EX80" s="117"/>
      <c r="EY80" s="416">
        <f t="shared" si="258"/>
        <v>0</v>
      </c>
      <c r="EZ80" s="57"/>
      <c r="FA80" s="601"/>
      <c r="FB80" s="627"/>
      <c r="FC80" s="601"/>
      <c r="FD80" s="89">
        <f t="shared" si="241"/>
        <v>731</v>
      </c>
      <c r="FE80" s="64"/>
      <c r="FF80" s="64"/>
      <c r="FG80" s="64"/>
      <c r="FH80" s="64"/>
      <c r="FI80" s="64"/>
      <c r="FJ80" s="558"/>
      <c r="FK80" s="159">
        <f t="shared" si="300"/>
        <v>43868</v>
      </c>
      <c r="FL80" s="159"/>
      <c r="FM80" s="226"/>
      <c r="FN80" s="57"/>
      <c r="FO80" s="57"/>
      <c r="FP80" s="57"/>
      <c r="FQ80" s="57"/>
      <c r="FR80" s="57"/>
      <c r="FS80" s="57"/>
      <c r="FT80" s="57"/>
      <c r="FU80" s="57"/>
      <c r="FV80" s="89"/>
      <c r="FW80" s="160">
        <v>43791</v>
      </c>
      <c r="FX80" s="22"/>
      <c r="FY80" s="22"/>
      <c r="FZ80" s="22"/>
      <c r="GA80" s="451"/>
      <c r="GB80" s="471">
        <f>GD80+GG80+GJ80+HF80+Tableau6[[#This Row],[PRÊT CREDIT D''IMPOT (PM)]]</f>
        <v>1495054.8900000001</v>
      </c>
      <c r="GC80" s="644">
        <f t="shared" si="296"/>
        <v>1495054.8900000001</v>
      </c>
      <c r="GD80" s="507">
        <f t="shared" si="297"/>
        <v>280007</v>
      </c>
      <c r="GE80" s="20">
        <f t="shared" si="280"/>
        <v>2207.5050792900806</v>
      </c>
      <c r="GF80" s="20">
        <f t="shared" si="281"/>
        <v>124587.90750000002</v>
      </c>
      <c r="GG80" s="507">
        <v>443491.89</v>
      </c>
      <c r="GH80" s="351"/>
      <c r="GI80" s="20">
        <f t="shared" si="225"/>
        <v>36957.657500000001</v>
      </c>
      <c r="GJ80" s="507">
        <f t="shared" si="282"/>
        <v>771556</v>
      </c>
      <c r="GK80" s="5">
        <f>GL80+GM80</f>
        <v>771556</v>
      </c>
      <c r="GL80" s="44">
        <v>172922</v>
      </c>
      <c r="GM80" s="44">
        <v>598634</v>
      </c>
      <c r="GN80" s="345">
        <f t="shared" si="283"/>
        <v>64296.333333333336</v>
      </c>
      <c r="GO80" s="35"/>
      <c r="GP80" s="35">
        <v>266000</v>
      </c>
      <c r="GQ80" s="35"/>
      <c r="GR80" s="18">
        <f t="shared" si="284"/>
        <v>0.17791988894802382</v>
      </c>
      <c r="GS80" s="45"/>
      <c r="GT80" s="45"/>
      <c r="GU80" s="35">
        <v>14007</v>
      </c>
      <c r="GV80" s="20">
        <f t="shared" si="248"/>
        <v>22166.666666666668</v>
      </c>
      <c r="GW80" s="41">
        <f t="shared" si="249"/>
        <v>59124.324166666665</v>
      </c>
      <c r="GX80" s="569">
        <v>0</v>
      </c>
      <c r="GY80" s="569">
        <v>0</v>
      </c>
      <c r="GZ80" s="567">
        <f t="shared" si="301"/>
        <v>59124.324166666665</v>
      </c>
      <c r="HA80" s="569">
        <v>0</v>
      </c>
      <c r="HB80" s="569">
        <f t="shared" si="250"/>
        <v>59124.324166666665</v>
      </c>
      <c r="HC80" s="568">
        <f t="shared" si="298"/>
        <v>0.474559091271893</v>
      </c>
      <c r="HD80" s="569">
        <v>0</v>
      </c>
      <c r="HE80" s="569"/>
      <c r="HF80" s="507">
        <f>EU80</f>
        <v>0</v>
      </c>
      <c r="HG80" s="637">
        <v>1177926.57</v>
      </c>
      <c r="HH80" s="634">
        <f t="shared" si="285"/>
        <v>0.78788182151626551</v>
      </c>
      <c r="HI80" s="635">
        <f t="shared" si="251"/>
        <v>317128.32000000007</v>
      </c>
      <c r="HJ80" s="633" t="e">
        <f t="shared" ca="1" si="299"/>
        <v>#VALUE!</v>
      </c>
      <c r="HK80" s="634" t="e">
        <f t="shared" ca="1" si="302"/>
        <v>#VALUE!</v>
      </c>
      <c r="HL80" s="633"/>
      <c r="HM80" s="633"/>
      <c r="HN80" s="634">
        <f>HL80/GD80</f>
        <v>0</v>
      </c>
      <c r="HO80" s="634"/>
      <c r="HP80" s="563">
        <v>108527.1311285454</v>
      </c>
      <c r="HQ80" s="47">
        <v>86669.802537405078</v>
      </c>
      <c r="HR80" s="563">
        <v>226315.90637203009</v>
      </c>
      <c r="HS80" s="563">
        <f>SUM(Tableau6[[#This Row],[GO]:[CARRELAGE]])</f>
        <v>779729.26578933455</v>
      </c>
      <c r="HT80" s="461">
        <v>382125.30221121694</v>
      </c>
      <c r="HU80" s="461">
        <v>87118.403535681107</v>
      </c>
      <c r="HV80" s="461">
        <v>53744.806038712675</v>
      </c>
      <c r="HW80" s="461">
        <v>28600.952380740193</v>
      </c>
      <c r="HX80" s="461">
        <v>32531.702354694797</v>
      </c>
      <c r="HY80" s="461">
        <v>4543.9580924797201</v>
      </c>
      <c r="HZ80" s="461">
        <v>63586.615275651522</v>
      </c>
      <c r="IA80" s="461">
        <v>33071.737063500899</v>
      </c>
      <c r="IB80" s="461">
        <v>23653.462764631302</v>
      </c>
      <c r="IC80" s="461"/>
      <c r="ID80" s="461">
        <v>46270</v>
      </c>
      <c r="IE80" s="461">
        <v>19357.96</v>
      </c>
      <c r="IF80" s="461">
        <v>5124.3660720253338</v>
      </c>
      <c r="IG80" s="563"/>
      <c r="IH80" s="563"/>
      <c r="II80" s="563">
        <f>HP80+HR80+Tableau6[[#This Row],[TRAVAUX BATIS]]+Tableau6[[#This Row],[HONORAIRES]]+IH80</f>
        <v>1114572.3032899101</v>
      </c>
      <c r="IJ80" s="654">
        <f>Tableau6[[#This Row],[TOTAL PRP HT]]-Tableau6[[#This Row],[PRP TTC HORS FRAFU]]/1.021</f>
        <v>-349732.19230264658</v>
      </c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</row>
    <row r="81" spans="1:256" ht="30" customHeight="1">
      <c r="A81" s="596" t="s">
        <v>665</v>
      </c>
      <c r="B81" s="23" t="s">
        <v>17</v>
      </c>
      <c r="C81" s="23" t="s">
        <v>86</v>
      </c>
      <c r="D81" s="23">
        <v>2015</v>
      </c>
      <c r="E81" s="23" t="s">
        <v>186</v>
      </c>
      <c r="F81" s="23" t="s">
        <v>16</v>
      </c>
      <c r="G81" s="23" t="s">
        <v>450</v>
      </c>
      <c r="H81" s="23" t="s">
        <v>133</v>
      </c>
      <c r="I81" s="23"/>
      <c r="J81" s="23"/>
      <c r="K81" s="134" t="s">
        <v>437</v>
      </c>
      <c r="L81" s="81" t="s">
        <v>42</v>
      </c>
      <c r="M81" s="82" t="s">
        <v>197</v>
      </c>
      <c r="N81" s="83"/>
      <c r="O81" s="108">
        <v>3547</v>
      </c>
      <c r="P81" s="108">
        <v>319230</v>
      </c>
      <c r="Q81" s="108">
        <v>132491.5</v>
      </c>
      <c r="R81" s="103">
        <f t="shared" si="303"/>
        <v>16801.57894736842</v>
      </c>
      <c r="S81" s="103">
        <f t="shared" si="288"/>
        <v>90</v>
      </c>
      <c r="T81" s="109">
        <f t="shared" si="289"/>
        <v>37.353115308711587</v>
      </c>
      <c r="U81" s="109">
        <f t="shared" si="290"/>
        <v>110.26440187087003</v>
      </c>
      <c r="V81" s="109">
        <f t="shared" si="291"/>
        <v>6973.2368421052633</v>
      </c>
      <c r="W81" s="103">
        <f t="shared" si="292"/>
        <v>186.68421052631578</v>
      </c>
      <c r="X81" s="110"/>
      <c r="Y81" s="446">
        <f t="shared" si="261"/>
        <v>53.566394135889482</v>
      </c>
      <c r="Z81" s="110" t="s">
        <v>148</v>
      </c>
      <c r="AA81" s="114">
        <v>30</v>
      </c>
      <c r="AB81" s="111"/>
      <c r="AC81" s="23" t="s">
        <v>10</v>
      </c>
      <c r="AD81" s="426">
        <f t="shared" si="262"/>
        <v>19</v>
      </c>
      <c r="AE81" s="427">
        <f t="shared" si="263"/>
        <v>19</v>
      </c>
      <c r="AF81" s="135"/>
      <c r="AG81" s="23">
        <v>19</v>
      </c>
      <c r="AH81" s="32"/>
      <c r="AI81" s="32"/>
      <c r="AJ81" s="614">
        <v>1201.58</v>
      </c>
      <c r="AK81" s="222">
        <v>1201.58</v>
      </c>
      <c r="AL81" s="492">
        <f t="shared" si="264"/>
        <v>63.241052631578945</v>
      </c>
      <c r="AM81" s="4">
        <f t="shared" si="265"/>
        <v>63.241052631578945</v>
      </c>
      <c r="AN81" s="26">
        <v>5.65</v>
      </c>
      <c r="AO81" s="26">
        <v>5.65</v>
      </c>
      <c r="AP81" s="26">
        <v>357.37715014736841</v>
      </c>
      <c r="AQ81" s="29">
        <v>0</v>
      </c>
      <c r="AR81" s="40">
        <f>13/AD81</f>
        <v>0.68421052631578949</v>
      </c>
      <c r="AS81" s="40">
        <f>5/AD81</f>
        <v>0.26315789473684209</v>
      </c>
      <c r="AT81" s="40">
        <f>2/AD81</f>
        <v>0.10526315789473684</v>
      </c>
      <c r="AU81" s="40">
        <v>0</v>
      </c>
      <c r="AV81" s="27"/>
      <c r="AW81" s="38" t="s">
        <v>229</v>
      </c>
      <c r="AX81" s="40"/>
      <c r="AY81" s="29">
        <v>2</v>
      </c>
      <c r="AZ81" s="25" t="s">
        <v>386</v>
      </c>
      <c r="BA81" s="23" t="s">
        <v>95</v>
      </c>
      <c r="BB81" s="23"/>
      <c r="BC81" s="23"/>
      <c r="BD81" s="23"/>
      <c r="BE81" s="23"/>
      <c r="BF81" s="160">
        <v>42031</v>
      </c>
      <c r="BG81" s="160"/>
      <c r="BH81" s="23"/>
      <c r="BI81" s="23"/>
      <c r="BJ81" s="548">
        <v>42093</v>
      </c>
      <c r="BK81" s="548">
        <v>42248</v>
      </c>
      <c r="BL81" s="549"/>
      <c r="BM81" s="547">
        <f t="shared" si="266"/>
        <v>5.166666666666667</v>
      </c>
      <c r="BN81" s="490"/>
      <c r="BO81" s="77">
        <v>42548</v>
      </c>
      <c r="BP81" s="100">
        <v>42559</v>
      </c>
      <c r="BQ81" s="536">
        <f t="shared" si="247"/>
        <v>0.36666666666666664</v>
      </c>
      <c r="BR81" s="529">
        <v>52069</v>
      </c>
      <c r="BS81" s="79" t="s">
        <v>286</v>
      </c>
      <c r="BT81" s="77"/>
      <c r="BU81" s="151">
        <v>42675</v>
      </c>
      <c r="BV81" s="150">
        <f t="shared" si="267"/>
        <v>43770</v>
      </c>
      <c r="BW81" s="373">
        <f>7745+28940</f>
        <v>36685</v>
      </c>
      <c r="BX81" s="150" t="str">
        <f>IF(Tableau6[[#This Row],[Montant des loyers perçus avant 1e échéance]]&lt;BW81,"oui","non")</f>
        <v>oui</v>
      </c>
      <c r="BY81" s="475">
        <f t="shared" si="293"/>
        <v>4.5333333333333332</v>
      </c>
      <c r="BZ81" s="373">
        <f t="shared" si="294"/>
        <v>31735.222222222223</v>
      </c>
      <c r="CA81" s="373">
        <f>IF(BW81-BZ81&lt;0,0,Tableau6[[#This Row],[Montant échéance annuelle]]-Tableau6[[#This Row],[Montant des loyers perçus avant 1e échéance]])</f>
        <v>4949.7777777777774</v>
      </c>
      <c r="CB81" s="64"/>
      <c r="CC81" s="64"/>
      <c r="CD81" s="64"/>
      <c r="CE81" s="273" t="str">
        <f t="shared" si="253"/>
        <v>0</v>
      </c>
      <c r="CF81" s="64"/>
      <c r="CG81" s="64"/>
      <c r="CH81" s="273" t="str">
        <f t="shared" si="254"/>
        <v>0</v>
      </c>
      <c r="CI81" s="64"/>
      <c r="CJ81" s="64"/>
      <c r="CK81" s="273" t="str">
        <f t="shared" si="255"/>
        <v>0</v>
      </c>
      <c r="CL81" s="64"/>
      <c r="CM81" s="64"/>
      <c r="CN81" s="273" t="str">
        <f t="shared" si="256"/>
        <v>0</v>
      </c>
      <c r="CO81" s="64"/>
      <c r="CP81" s="64"/>
      <c r="CQ81" s="273" t="str">
        <f t="shared" si="268"/>
        <v>0</v>
      </c>
      <c r="CR81" s="237"/>
      <c r="CS81" s="64"/>
      <c r="CT81" s="64"/>
      <c r="CU81" s="64"/>
      <c r="CV81" s="273"/>
      <c r="CW81" s="64"/>
      <c r="CX81" s="229">
        <v>42947</v>
      </c>
      <c r="CY81" s="177">
        <v>2017</v>
      </c>
      <c r="CZ81" s="233">
        <f t="shared" si="243"/>
        <v>23.3</v>
      </c>
      <c r="DA81" s="273" t="str">
        <f t="shared" si="269"/>
        <v>0</v>
      </c>
      <c r="DB81" s="133">
        <v>15</v>
      </c>
      <c r="DC81" s="59">
        <f t="shared" si="270"/>
        <v>22</v>
      </c>
      <c r="DD81" s="64">
        <v>43059</v>
      </c>
      <c r="DE81" s="64">
        <v>43081</v>
      </c>
      <c r="DF81" s="273">
        <f t="shared" si="271"/>
        <v>22</v>
      </c>
      <c r="DG81" s="64">
        <v>43059</v>
      </c>
      <c r="DH81" s="309">
        <v>43144</v>
      </c>
      <c r="DI81" s="276">
        <f t="shared" si="272"/>
        <v>85</v>
      </c>
      <c r="DJ81" s="64">
        <v>43166</v>
      </c>
      <c r="DK81" s="309">
        <v>43264</v>
      </c>
      <c r="DL81" s="273">
        <f t="shared" si="273"/>
        <v>98</v>
      </c>
      <c r="DM81" s="64">
        <v>43209</v>
      </c>
      <c r="DN81" s="64">
        <v>43372</v>
      </c>
      <c r="DO81" s="273">
        <f t="shared" si="274"/>
        <v>163</v>
      </c>
      <c r="DP81" s="64">
        <v>43229</v>
      </c>
      <c r="DQ81" s="64">
        <v>43390</v>
      </c>
      <c r="DR81" s="273">
        <f t="shared" si="275"/>
        <v>161</v>
      </c>
      <c r="DS81" s="64">
        <v>43252</v>
      </c>
      <c r="DT81" s="64">
        <v>43398</v>
      </c>
      <c r="DU81" s="273">
        <f t="shared" si="276"/>
        <v>146</v>
      </c>
      <c r="DV81" s="95">
        <v>43287</v>
      </c>
      <c r="DW81" s="95">
        <v>43465</v>
      </c>
      <c r="DX81" s="500">
        <f t="shared" si="277"/>
        <v>178</v>
      </c>
      <c r="DY81" s="95">
        <v>43252</v>
      </c>
      <c r="DZ81" s="95">
        <v>43252</v>
      </c>
      <c r="EA81" s="95">
        <v>43224</v>
      </c>
      <c r="EB81" s="327">
        <f t="shared" si="259"/>
        <v>43404</v>
      </c>
      <c r="EC81" s="183">
        <v>43623</v>
      </c>
      <c r="ED81" s="435">
        <f t="shared" si="278"/>
        <v>7.3</v>
      </c>
      <c r="EE81" s="762">
        <f t="shared" ca="1" si="257"/>
        <v>0</v>
      </c>
      <c r="EF81" s="183">
        <f t="shared" ref="EF81:EF112" si="304">DATE(YEAR(DH81)+2,MONTH(DH81),DAY(DH81))</f>
        <v>43874</v>
      </c>
      <c r="EG81" s="763">
        <v>43650</v>
      </c>
      <c r="EH81" s="160">
        <v>43367</v>
      </c>
      <c r="EI81" s="764" t="s">
        <v>717</v>
      </c>
      <c r="EJ81" s="240">
        <v>43621</v>
      </c>
      <c r="EK81" s="517">
        <f>DATE(YEAR(EB81),MONTH(EB81)+1,DAY(EB81))</f>
        <v>43435</v>
      </c>
      <c r="EL81" s="518">
        <v>43634</v>
      </c>
      <c r="EM81" s="519">
        <v>2019</v>
      </c>
      <c r="EN81" s="520">
        <f t="shared" si="295"/>
        <v>6.6333333333333337</v>
      </c>
      <c r="EO81" s="521">
        <f>84005/12</f>
        <v>7000.416666666667</v>
      </c>
      <c r="EP81" s="522">
        <f t="shared" si="279"/>
        <v>46436.097222222226</v>
      </c>
      <c r="EQ81" s="523"/>
      <c r="ER81" s="523"/>
      <c r="ES81" s="741"/>
      <c r="ET81" s="300">
        <v>66994</v>
      </c>
      <c r="EU81" s="300">
        <v>1994</v>
      </c>
      <c r="EV81" s="322">
        <f>97642*1.021</f>
        <v>99692.481999999989</v>
      </c>
      <c r="EW81" s="322"/>
      <c r="EX81" s="322">
        <f>1754.94*1.021</f>
        <v>1791.7937399999998</v>
      </c>
      <c r="EY81" s="416">
        <f t="shared" si="258"/>
        <v>6.9613528180406811E-4</v>
      </c>
      <c r="EZ81" s="297" t="s">
        <v>16</v>
      </c>
      <c r="FA81" s="308" t="s">
        <v>682</v>
      </c>
      <c r="FB81" s="462" t="s">
        <v>683</v>
      </c>
      <c r="FC81" s="308" t="s">
        <v>685</v>
      </c>
      <c r="FD81" s="89">
        <f t="shared" si="241"/>
        <v>43874</v>
      </c>
      <c r="FE81" s="65" t="s">
        <v>370</v>
      </c>
      <c r="FF81" s="159">
        <v>43731</v>
      </c>
      <c r="FG81" s="65"/>
      <c r="FH81" s="65"/>
      <c r="FI81" s="159">
        <v>43782</v>
      </c>
      <c r="FJ81" s="23" t="s">
        <v>858</v>
      </c>
      <c r="FK81" s="146">
        <f t="shared" si="300"/>
        <v>43989</v>
      </c>
      <c r="FL81" s="146"/>
      <c r="FM81" s="146"/>
      <c r="FN81" s="23"/>
      <c r="FO81" s="160">
        <v>43797</v>
      </c>
      <c r="FP81" s="160">
        <v>43853</v>
      </c>
      <c r="FQ81" s="23"/>
      <c r="FR81" s="23"/>
      <c r="FS81" s="23"/>
      <c r="FT81" s="23"/>
      <c r="FU81" s="23"/>
      <c r="FV81" s="89"/>
      <c r="FW81" s="160">
        <v>43740</v>
      </c>
      <c r="FX81" s="23"/>
      <c r="FY81" s="23"/>
      <c r="FZ81" s="23"/>
      <c r="GA81" s="451"/>
      <c r="GB81" s="471">
        <f>GD81+GG81+GJ81+HF81+Tableau6[[#This Row],[PRÊT CREDIT D''IMPOT (PM)]]</f>
        <v>2573916</v>
      </c>
      <c r="GC81" s="644">
        <f t="shared" si="296"/>
        <v>2573916</v>
      </c>
      <c r="GD81" s="507">
        <f t="shared" si="297"/>
        <v>443453</v>
      </c>
      <c r="GE81" s="20">
        <f t="shared" si="280"/>
        <v>2142.1095557515937</v>
      </c>
      <c r="GF81" s="20">
        <f t="shared" si="281"/>
        <v>135469.26315789475</v>
      </c>
      <c r="GG81" s="507">
        <v>771141</v>
      </c>
      <c r="GH81" s="351"/>
      <c r="GI81" s="20">
        <f t="shared" si="225"/>
        <v>40586.368421052633</v>
      </c>
      <c r="GJ81" s="507">
        <f t="shared" si="282"/>
        <v>1359322</v>
      </c>
      <c r="GK81" s="5">
        <f>SUBTOTAL(9,GL81:GM81)</f>
        <v>1359322</v>
      </c>
      <c r="GL81" s="44">
        <v>334066</v>
      </c>
      <c r="GM81" s="44">
        <v>1025256</v>
      </c>
      <c r="GN81" s="345">
        <f t="shared" si="283"/>
        <v>71543.263157894733</v>
      </c>
      <c r="GO81" s="35"/>
      <c r="GP81" s="35">
        <v>420000</v>
      </c>
      <c r="GQ81" s="35"/>
      <c r="GR81" s="18">
        <f t="shared" si="284"/>
        <v>0.16317548824437161</v>
      </c>
      <c r="GS81" s="35"/>
      <c r="GT81" s="35"/>
      <c r="GU81" s="35">
        <v>23453</v>
      </c>
      <c r="GV81" s="20">
        <f t="shared" si="248"/>
        <v>22105.263157894737</v>
      </c>
      <c r="GW81" s="41">
        <f t="shared" si="249"/>
        <v>62691.631578947367</v>
      </c>
      <c r="GX81" s="569">
        <v>510850.13361374999</v>
      </c>
      <c r="GY81" s="569">
        <v>380000</v>
      </c>
      <c r="GZ81" s="567">
        <f t="shared" si="301"/>
        <v>82691.631578947374</v>
      </c>
      <c r="HA81" s="569">
        <v>0</v>
      </c>
      <c r="HB81" s="569">
        <f t="shared" si="250"/>
        <v>82691.631578947374</v>
      </c>
      <c r="HC81" s="568">
        <f t="shared" si="298"/>
        <v>0.52843147937932811</v>
      </c>
      <c r="HD81" s="569">
        <v>111550</v>
      </c>
      <c r="HE81" s="569"/>
      <c r="HF81" s="507"/>
      <c r="HG81" s="637">
        <f>2015988.53+416919</f>
        <v>2432907.5300000003</v>
      </c>
      <c r="HH81" s="634">
        <f t="shared" si="285"/>
        <v>0.94521636681228149</v>
      </c>
      <c r="HI81" s="635">
        <f t="shared" si="251"/>
        <v>141008.46999999974</v>
      </c>
      <c r="HJ81" s="633" t="e">
        <f t="shared" ca="1" si="299"/>
        <v>#VALUE!</v>
      </c>
      <c r="HK81" s="634" t="e">
        <f t="shared" ca="1" si="302"/>
        <v>#VALUE!</v>
      </c>
      <c r="HL81" s="633">
        <f>'[1]GLOBAL OPERATION'!$AG$86</f>
        <v>0</v>
      </c>
      <c r="HM81" s="633">
        <f>GD81-HL81</f>
        <v>443453</v>
      </c>
      <c r="HN81" s="634">
        <f>HL81/GD81</f>
        <v>0</v>
      </c>
      <c r="HO81" s="634"/>
      <c r="HP81" s="563">
        <v>121758.45520019994</v>
      </c>
      <c r="HQ81" s="47">
        <v>111550</v>
      </c>
      <c r="HR81" s="563">
        <v>436781.30508440436</v>
      </c>
      <c r="HS81" s="563">
        <f>SUM(Tableau6[[#This Row],[GO]:[CARRELAGE]])</f>
        <v>1504359.7661436049</v>
      </c>
      <c r="HT81" s="461">
        <v>669549.59036525979</v>
      </c>
      <c r="HU81" s="461">
        <v>212660.69577834496</v>
      </c>
      <c r="HV81" s="461">
        <v>81960</v>
      </c>
      <c r="HW81" s="461">
        <v>62841.19</v>
      </c>
      <c r="HX81" s="461">
        <v>51660</v>
      </c>
      <c r="HY81" s="461">
        <v>59502.14</v>
      </c>
      <c r="HZ81" s="461">
        <v>99722.78</v>
      </c>
      <c r="IA81" s="461">
        <v>88803</v>
      </c>
      <c r="IB81" s="461">
        <v>49694.69</v>
      </c>
      <c r="IC81" s="461"/>
      <c r="ID81" s="461">
        <v>67998.52</v>
      </c>
      <c r="IE81" s="461">
        <v>50913.8</v>
      </c>
      <c r="IF81" s="461">
        <v>9053.36</v>
      </c>
      <c r="IG81" s="563">
        <v>257112.06</v>
      </c>
      <c r="IH81" s="563">
        <v>200963.93</v>
      </c>
      <c r="II81" s="563">
        <f>HP81+HR81+Tableau6[[#This Row],[TRAVAUX BATIS]]+Tableau6[[#This Row],[HONORAIRES]]+IH81</f>
        <v>2520975.5164282094</v>
      </c>
      <c r="IJ81" s="654">
        <f>Tableau6[[#This Row],[TOTAL PRP HT]]-Tableau6[[#This Row],[PRP TTC HORS FRAFU]]/1.021</f>
        <v>2.2264462895691395E-3</v>
      </c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</row>
    <row r="82" spans="1:256" ht="33.75" customHeight="1">
      <c r="A82" s="477" t="s">
        <v>721</v>
      </c>
      <c r="B82" s="22" t="s">
        <v>25</v>
      </c>
      <c r="C82" s="22" t="s">
        <v>88</v>
      </c>
      <c r="D82" s="22">
        <v>2015</v>
      </c>
      <c r="E82" s="22" t="s">
        <v>183</v>
      </c>
      <c r="F82" s="22" t="s">
        <v>870</v>
      </c>
      <c r="G82" s="22" t="s">
        <v>139</v>
      </c>
      <c r="H82" s="22" t="s">
        <v>133</v>
      </c>
      <c r="I82" s="22"/>
      <c r="J82" s="22"/>
      <c r="K82" s="134"/>
      <c r="L82" s="81" t="s">
        <v>43</v>
      </c>
      <c r="M82" s="82" t="s">
        <v>108</v>
      </c>
      <c r="N82" s="83"/>
      <c r="O82" s="103">
        <v>1263</v>
      </c>
      <c r="P82" s="103">
        <v>126500</v>
      </c>
      <c r="Q82" s="103">
        <v>126500</v>
      </c>
      <c r="R82" s="103">
        <f t="shared" si="303"/>
        <v>7027.7777777777774</v>
      </c>
      <c r="S82" s="103">
        <f t="shared" si="288"/>
        <v>100.15835312747427</v>
      </c>
      <c r="T82" s="109">
        <f t="shared" si="289"/>
        <v>100.15835312747427</v>
      </c>
      <c r="U82" s="109">
        <f t="shared" si="290"/>
        <v>86.456710134230022</v>
      </c>
      <c r="V82" s="109">
        <f t="shared" si="291"/>
        <v>7027.7777777777774</v>
      </c>
      <c r="W82" s="103">
        <f t="shared" si="292"/>
        <v>70.166666666666671</v>
      </c>
      <c r="X82" s="104"/>
      <c r="Y82" s="444">
        <f t="shared" si="261"/>
        <v>142.51781472684087</v>
      </c>
      <c r="Z82" s="104"/>
      <c r="AA82" s="104"/>
      <c r="AB82" s="105"/>
      <c r="AC82" s="23" t="s">
        <v>10</v>
      </c>
      <c r="AD82" s="426">
        <f t="shared" si="262"/>
        <v>18</v>
      </c>
      <c r="AE82" s="426">
        <f t="shared" si="263"/>
        <v>18</v>
      </c>
      <c r="AF82" s="32"/>
      <c r="AG82" s="22">
        <v>18</v>
      </c>
      <c r="AH82" s="32"/>
      <c r="AI82" s="32"/>
      <c r="AJ82" s="614">
        <v>1306.4099999999999</v>
      </c>
      <c r="AK82" s="222">
        <v>1463.16</v>
      </c>
      <c r="AL82" s="492">
        <f t="shared" si="264"/>
        <v>72.578333333333319</v>
      </c>
      <c r="AM82" s="4">
        <f t="shared" si="265"/>
        <v>81.286666666666676</v>
      </c>
      <c r="AN82" s="26">
        <v>5.86</v>
      </c>
      <c r="AO82" s="26">
        <v>5.23</v>
      </c>
      <c r="AP82" s="26">
        <v>425.19</v>
      </c>
      <c r="AQ82" s="39">
        <v>0</v>
      </c>
      <c r="AR82" s="39">
        <f>6/AD82</f>
        <v>0.33333333333333331</v>
      </c>
      <c r="AS82" s="39">
        <f>6/AD82</f>
        <v>0.33333333333333331</v>
      </c>
      <c r="AT82" s="39">
        <f>6/AD82</f>
        <v>0.33333333333333331</v>
      </c>
      <c r="AU82" s="39">
        <v>0</v>
      </c>
      <c r="AV82" s="26"/>
      <c r="AW82" s="37">
        <v>0</v>
      </c>
      <c r="AX82" s="39">
        <v>0</v>
      </c>
      <c r="AY82" s="28">
        <v>3</v>
      </c>
      <c r="AZ82" s="25" t="s">
        <v>386</v>
      </c>
      <c r="BA82" s="22" t="s">
        <v>94</v>
      </c>
      <c r="BB82" s="22"/>
      <c r="BC82" s="22"/>
      <c r="BD82" s="22"/>
      <c r="BE82" s="22"/>
      <c r="BF82" s="56">
        <v>42047</v>
      </c>
      <c r="BG82" s="56"/>
      <c r="BH82" s="22"/>
      <c r="BI82" s="22"/>
      <c r="BJ82" s="548">
        <v>42093</v>
      </c>
      <c r="BK82" s="548">
        <v>42298</v>
      </c>
      <c r="BL82" s="549"/>
      <c r="BM82" s="547">
        <f t="shared" si="266"/>
        <v>6.833333333333333</v>
      </c>
      <c r="BN82" s="490" t="s">
        <v>229</v>
      </c>
      <c r="BO82" s="77">
        <v>42885</v>
      </c>
      <c r="BP82" s="100">
        <v>42929</v>
      </c>
      <c r="BQ82" s="537">
        <f t="shared" si="247"/>
        <v>1.4666666666666666</v>
      </c>
      <c r="BR82" s="529">
        <v>66468</v>
      </c>
      <c r="BS82" s="77">
        <v>43013</v>
      </c>
      <c r="BT82" s="77">
        <v>42957</v>
      </c>
      <c r="BU82" s="151">
        <v>43040</v>
      </c>
      <c r="BV82" s="150">
        <f t="shared" si="267"/>
        <v>44136</v>
      </c>
      <c r="BW82" s="373">
        <f>63863+6067</f>
        <v>69930</v>
      </c>
      <c r="BX82" s="150" t="str">
        <f>IF(Tableau6[[#This Row],[Montant des loyers perçus avant 1e échéance]]&lt;BW82,"oui","non")</f>
        <v>non</v>
      </c>
      <c r="BY82" s="475">
        <f t="shared" si="293"/>
        <v>15.133333333333333</v>
      </c>
      <c r="BZ82" s="373">
        <f t="shared" si="294"/>
        <v>116912.56666666667</v>
      </c>
      <c r="CA82" s="373">
        <f>IF(BW82-BZ82&lt;0,0,Tableau6[[#This Row],[Montant échéance annuelle]]-Tableau6[[#This Row],[Montant des loyers perçus avant 1e échéance]])</f>
        <v>0</v>
      </c>
      <c r="CB82" s="64">
        <v>41963</v>
      </c>
      <c r="CC82" s="64">
        <v>41955</v>
      </c>
      <c r="CD82" s="64">
        <v>41955</v>
      </c>
      <c r="CE82" s="273">
        <f t="shared" si="253"/>
        <v>0</v>
      </c>
      <c r="CF82" s="64">
        <v>42041</v>
      </c>
      <c r="CG82" s="64">
        <v>42012</v>
      </c>
      <c r="CH82" s="273">
        <f t="shared" si="254"/>
        <v>-29</v>
      </c>
      <c r="CI82" s="64">
        <v>42033</v>
      </c>
      <c r="CJ82" s="64">
        <v>42033</v>
      </c>
      <c r="CK82" s="273">
        <f t="shared" si="255"/>
        <v>0</v>
      </c>
      <c r="CL82" s="64">
        <v>42109</v>
      </c>
      <c r="CM82" s="64">
        <v>42109</v>
      </c>
      <c r="CN82" s="273">
        <f t="shared" si="256"/>
        <v>0</v>
      </c>
      <c r="CO82" s="64">
        <v>42174</v>
      </c>
      <c r="CP82" s="64">
        <v>42174</v>
      </c>
      <c r="CQ82" s="273">
        <f t="shared" si="268"/>
        <v>0</v>
      </c>
      <c r="CR82" s="237"/>
      <c r="CS82" s="64">
        <v>42472</v>
      </c>
      <c r="CT82" s="64">
        <v>42502</v>
      </c>
      <c r="CU82" s="64">
        <v>43088</v>
      </c>
      <c r="CV82" s="273">
        <f>IF(AND(CT82&gt;0,CU82&gt;0),CU82-CT82,"0")</f>
        <v>586</v>
      </c>
      <c r="CW82" s="64">
        <v>43112</v>
      </c>
      <c r="CX82" s="229">
        <v>43122</v>
      </c>
      <c r="CY82" s="230">
        <v>2018</v>
      </c>
      <c r="CZ82" s="235">
        <f t="shared" si="243"/>
        <v>27.466666666666665</v>
      </c>
      <c r="DA82" s="273">
        <f t="shared" si="269"/>
        <v>10</v>
      </c>
      <c r="DB82" s="133">
        <v>15</v>
      </c>
      <c r="DC82" s="59">
        <f t="shared" si="270"/>
        <v>17</v>
      </c>
      <c r="DD82" s="64"/>
      <c r="DE82" s="64">
        <v>43205</v>
      </c>
      <c r="DF82" s="273" t="str">
        <f t="shared" si="271"/>
        <v>0</v>
      </c>
      <c r="DG82" s="64"/>
      <c r="DH82" s="336">
        <v>43222</v>
      </c>
      <c r="DI82" s="276" t="str">
        <f t="shared" si="272"/>
        <v>0</v>
      </c>
      <c r="DJ82" s="64">
        <v>43375</v>
      </c>
      <c r="DK82" s="336">
        <v>43419</v>
      </c>
      <c r="DL82" s="273">
        <f t="shared" si="273"/>
        <v>44</v>
      </c>
      <c r="DM82" s="64">
        <v>43412</v>
      </c>
      <c r="DN82" s="64">
        <v>43445</v>
      </c>
      <c r="DO82" s="273">
        <f t="shared" si="274"/>
        <v>33</v>
      </c>
      <c r="DP82" s="125">
        <v>43427</v>
      </c>
      <c r="DQ82" s="95">
        <v>43412</v>
      </c>
      <c r="DR82" s="499">
        <f t="shared" si="275"/>
        <v>-15</v>
      </c>
      <c r="DS82" s="121">
        <v>43447</v>
      </c>
      <c r="DT82" s="95">
        <v>43495</v>
      </c>
      <c r="DU82" s="499">
        <f t="shared" si="276"/>
        <v>48</v>
      </c>
      <c r="DV82" s="95">
        <v>43552</v>
      </c>
      <c r="DW82" s="95">
        <v>43607</v>
      </c>
      <c r="DX82" s="499">
        <f t="shared" si="277"/>
        <v>55</v>
      </c>
      <c r="DY82" s="147"/>
      <c r="DZ82" s="147"/>
      <c r="EA82" s="122">
        <v>43599</v>
      </c>
      <c r="EB82" s="327">
        <f t="shared" si="259"/>
        <v>43577</v>
      </c>
      <c r="EC82" s="183">
        <v>43642</v>
      </c>
      <c r="ED82" s="435">
        <f t="shared" si="278"/>
        <v>2.1666666666666665</v>
      </c>
      <c r="EE82" s="762">
        <f t="shared" ca="1" si="257"/>
        <v>0</v>
      </c>
      <c r="EF82" s="183">
        <f t="shared" si="304"/>
        <v>43953</v>
      </c>
      <c r="EG82" s="763">
        <v>43671</v>
      </c>
      <c r="EH82" s="160">
        <v>43348</v>
      </c>
      <c r="EI82" s="764">
        <v>43630</v>
      </c>
      <c r="EJ82" s="240">
        <v>43634</v>
      </c>
      <c r="EK82" s="455">
        <f>DATE(YEAR(EB82),MONTH(EB82)+1,DAY(EB82))</f>
        <v>43607</v>
      </c>
      <c r="EL82" s="183">
        <v>43682</v>
      </c>
      <c r="EM82" s="559">
        <v>2019</v>
      </c>
      <c r="EN82" s="430">
        <f t="shared" si="295"/>
        <v>2.5</v>
      </c>
      <c r="EO82" s="389">
        <f>92706/12</f>
        <v>7725.5</v>
      </c>
      <c r="EP82" s="440">
        <f t="shared" si="279"/>
        <v>19313.75</v>
      </c>
      <c r="EQ82" s="226"/>
      <c r="ER82" s="226"/>
      <c r="ES82" s="739"/>
      <c r="ET82" s="300">
        <v>0</v>
      </c>
      <c r="EU82" s="300">
        <v>0</v>
      </c>
      <c r="EV82" s="300">
        <v>115573</v>
      </c>
      <c r="EW82" s="300">
        <v>96000</v>
      </c>
      <c r="EX82" s="608"/>
      <c r="EY82" s="416">
        <f t="shared" si="258"/>
        <v>0</v>
      </c>
      <c r="EZ82" s="297" t="s">
        <v>495</v>
      </c>
      <c r="FA82" s="308" t="s">
        <v>570</v>
      </c>
      <c r="FB82" s="462" t="s">
        <v>661</v>
      </c>
      <c r="FC82" s="308" t="s">
        <v>497</v>
      </c>
      <c r="FD82" s="89">
        <f t="shared" si="241"/>
        <v>43953</v>
      </c>
      <c r="FE82" s="64">
        <v>43649</v>
      </c>
      <c r="FF82" s="63"/>
      <c r="FG82" s="63"/>
      <c r="FH82" s="63"/>
      <c r="FI82" s="63">
        <v>43768</v>
      </c>
      <c r="FJ82" s="22" t="s">
        <v>801</v>
      </c>
      <c r="FK82" s="146">
        <f t="shared" si="300"/>
        <v>44008</v>
      </c>
      <c r="FL82" s="146"/>
      <c r="FM82" s="226"/>
      <c r="FN82" s="57"/>
      <c r="FO82" s="56">
        <v>43815</v>
      </c>
      <c r="FP82" s="56">
        <v>43812</v>
      </c>
      <c r="FQ82" s="22"/>
      <c r="FR82" s="22"/>
      <c r="FS82" s="22"/>
      <c r="FT82" s="22"/>
      <c r="FU82" s="22" t="s">
        <v>129</v>
      </c>
      <c r="FV82" s="22"/>
      <c r="FW82" s="22"/>
      <c r="FX82" s="22"/>
      <c r="FY82" s="22"/>
      <c r="FZ82" s="22"/>
      <c r="GA82" s="451"/>
      <c r="GB82" s="471">
        <f>GD82+GG82+GJ82+HF82+Tableau6[[#This Row],[PRÊT CREDIT D''IMPOT (PM)]]</f>
        <v>3787328.5218066997</v>
      </c>
      <c r="GC82" s="644">
        <f t="shared" si="296"/>
        <v>3787328.5218066997</v>
      </c>
      <c r="GD82" s="507">
        <f t="shared" si="297"/>
        <v>377485</v>
      </c>
      <c r="GE82" s="20">
        <f t="shared" si="280"/>
        <v>2588.4582149639818</v>
      </c>
      <c r="GF82" s="20">
        <f t="shared" si="281"/>
        <v>210407.1401003722</v>
      </c>
      <c r="GG82" s="507">
        <v>885688.52180669981</v>
      </c>
      <c r="GH82" s="351">
        <v>866176</v>
      </c>
      <c r="GI82" s="20">
        <f t="shared" si="225"/>
        <v>49204.917878149987</v>
      </c>
      <c r="GJ82" s="507">
        <f t="shared" si="282"/>
        <v>1657979</v>
      </c>
      <c r="GK82" s="5">
        <f>GL82+GM82</f>
        <v>1657979</v>
      </c>
      <c r="GL82" s="44">
        <v>261692</v>
      </c>
      <c r="GM82" s="44">
        <v>1396287</v>
      </c>
      <c r="GN82" s="345">
        <f t="shared" si="283"/>
        <v>92109.944444444438</v>
      </c>
      <c r="GO82" s="35"/>
      <c r="GP82" s="35">
        <v>360000</v>
      </c>
      <c r="GQ82" s="35"/>
      <c r="GR82" s="18">
        <f t="shared" si="284"/>
        <v>9.5053808489860364E-2</v>
      </c>
      <c r="GS82" s="35"/>
      <c r="GT82" s="35"/>
      <c r="GU82" s="35">
        <v>17485</v>
      </c>
      <c r="GV82" s="20">
        <f t="shared" si="248"/>
        <v>20000</v>
      </c>
      <c r="GW82" s="20">
        <f t="shared" si="249"/>
        <v>69204.91787814998</v>
      </c>
      <c r="GX82" s="569">
        <v>0</v>
      </c>
      <c r="GY82" s="569">
        <v>0</v>
      </c>
      <c r="GZ82" s="567">
        <f t="shared" si="301"/>
        <v>69204.91787814998</v>
      </c>
      <c r="HA82" s="569">
        <v>0</v>
      </c>
      <c r="HB82" s="569">
        <f t="shared" si="250"/>
        <v>69204.91787814998</v>
      </c>
      <c r="HC82" s="568">
        <f t="shared" si="298"/>
        <v>0.32890955052730914</v>
      </c>
      <c r="HD82" s="569">
        <v>0</v>
      </c>
      <c r="HE82" s="569"/>
      <c r="HF82" s="507">
        <f>EU82</f>
        <v>0</v>
      </c>
      <c r="HG82" s="637">
        <v>2289749.1799699995</v>
      </c>
      <c r="HH82" s="634">
        <f t="shared" si="285"/>
        <v>0.60458161122967546</v>
      </c>
      <c r="HI82" s="635">
        <f t="shared" si="251"/>
        <v>1497579.3418367002</v>
      </c>
      <c r="HJ82" s="633" t="e">
        <f t="shared" ca="1" si="299"/>
        <v>#VALUE!</v>
      </c>
      <c r="HK82" s="634" t="e">
        <f t="shared" ca="1" si="302"/>
        <v>#VALUE!</v>
      </c>
      <c r="HL82" s="633">
        <f>'[1]GLOBAL OPERATION'!$AG$67</f>
        <v>308750.63</v>
      </c>
      <c r="HM82" s="633">
        <f>GD82-HL82</f>
        <v>68734.37</v>
      </c>
      <c r="HN82" s="634">
        <f>HL82/GD82</f>
        <v>0.81791496350848381</v>
      </c>
      <c r="HO82" s="634"/>
      <c r="HP82" s="563">
        <v>129278</v>
      </c>
      <c r="HQ82" s="47">
        <v>127650</v>
      </c>
      <c r="HR82" s="563">
        <v>270602.33</v>
      </c>
      <c r="HS82" s="563">
        <f>SUM(Tableau6[[#This Row],[GO]:[CARRELAGE]])</f>
        <v>1829493.84</v>
      </c>
      <c r="HT82" s="461">
        <v>933976.69000000006</v>
      </c>
      <c r="HU82" s="461">
        <v>264203</v>
      </c>
      <c r="HV82" s="461">
        <v>95547.999999999985</v>
      </c>
      <c r="HW82" s="461">
        <v>27384.32</v>
      </c>
      <c r="HX82" s="461">
        <v>53035</v>
      </c>
      <c r="HY82" s="461">
        <v>53497.82</v>
      </c>
      <c r="HZ82" s="461">
        <v>114634.06</v>
      </c>
      <c r="IA82" s="461">
        <v>72146</v>
      </c>
      <c r="IB82" s="461">
        <v>54000</v>
      </c>
      <c r="IC82" s="461"/>
      <c r="ID82" s="461">
        <v>77902.42</v>
      </c>
      <c r="IE82" s="461">
        <v>41839.550000000003</v>
      </c>
      <c r="IF82" s="461">
        <v>41326.980000000003</v>
      </c>
      <c r="IG82" s="563">
        <v>454608.02</v>
      </c>
      <c r="IH82" s="563">
        <v>177087.86</v>
      </c>
      <c r="II82" s="563">
        <f>HP82+HR82+Tableau6[[#This Row],[TRAVAUX BATIS]]+Tableau6[[#This Row],[HONORAIRES]]+IH82</f>
        <v>2861070.05</v>
      </c>
      <c r="IJ82" s="654">
        <f>Tableau6[[#This Row],[TOTAL PRP HT]]-Tableau6[[#This Row],[PRP TTC HORS FRAFU]]/1.021</f>
        <v>-848360.43169118511</v>
      </c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</row>
    <row r="83" spans="1:256" ht="31.5" customHeight="1">
      <c r="A83" s="477" t="s">
        <v>272</v>
      </c>
      <c r="B83" s="22" t="s">
        <v>21</v>
      </c>
      <c r="C83" s="22" t="s">
        <v>86</v>
      </c>
      <c r="D83" s="22">
        <v>2015</v>
      </c>
      <c r="E83" s="22" t="s">
        <v>184</v>
      </c>
      <c r="F83" s="22" t="s">
        <v>113</v>
      </c>
      <c r="G83" s="22" t="s">
        <v>137</v>
      </c>
      <c r="H83" s="22" t="s">
        <v>134</v>
      </c>
      <c r="I83" s="22"/>
      <c r="J83" s="22"/>
      <c r="K83" s="134" t="s">
        <v>419</v>
      </c>
      <c r="L83" s="81" t="s">
        <v>196</v>
      </c>
      <c r="M83" s="781"/>
      <c r="N83" s="83"/>
      <c r="O83" s="103">
        <v>8838</v>
      </c>
      <c r="P83" s="103">
        <v>652080</v>
      </c>
      <c r="Q83" s="103">
        <f>P83</f>
        <v>652080</v>
      </c>
      <c r="R83" s="103">
        <f>P83/89</f>
        <v>7326.7415730337079</v>
      </c>
      <c r="S83" s="103">
        <f t="shared" si="288"/>
        <v>73.78139850644942</v>
      </c>
      <c r="T83" s="109">
        <f t="shared" si="289"/>
        <v>73.78139850644942</v>
      </c>
      <c r="U83" s="109">
        <f t="shared" si="290"/>
        <v>336.01286173633446</v>
      </c>
      <c r="V83" s="109">
        <f t="shared" si="291"/>
        <v>32604</v>
      </c>
      <c r="W83" s="103">
        <f t="shared" si="292"/>
        <v>441.9</v>
      </c>
      <c r="X83" s="104"/>
      <c r="Y83" s="444">
        <f t="shared" si="261"/>
        <v>22.629554197782305</v>
      </c>
      <c r="Z83" s="104" t="s">
        <v>142</v>
      </c>
      <c r="AA83" s="104">
        <v>630</v>
      </c>
      <c r="AB83" s="105">
        <v>0</v>
      </c>
      <c r="AC83" s="23" t="s">
        <v>9</v>
      </c>
      <c r="AD83" s="426">
        <f t="shared" si="262"/>
        <v>20</v>
      </c>
      <c r="AE83" s="426">
        <f t="shared" si="263"/>
        <v>20</v>
      </c>
      <c r="AF83" s="22">
        <v>20</v>
      </c>
      <c r="AG83" s="32"/>
      <c r="AH83" s="32"/>
      <c r="AI83" s="32"/>
      <c r="AJ83" s="614">
        <v>1765.6399999999996</v>
      </c>
      <c r="AK83" s="222">
        <v>1940.6399999999996</v>
      </c>
      <c r="AL83" s="492">
        <f t="shared" si="264"/>
        <v>88.281999999999982</v>
      </c>
      <c r="AM83" s="4">
        <f t="shared" si="265"/>
        <v>97.031999999999982</v>
      </c>
      <c r="AN83" s="26">
        <v>6.8645960354319122</v>
      </c>
      <c r="AO83" s="26">
        <v>6.25</v>
      </c>
      <c r="AP83" s="26">
        <v>606.02026719999992</v>
      </c>
      <c r="AQ83" s="39"/>
      <c r="AR83" s="39"/>
      <c r="AS83" s="39"/>
      <c r="AT83" s="39">
        <f>16/AD83</f>
        <v>0.8</v>
      </c>
      <c r="AU83" s="39">
        <f>4/AD83</f>
        <v>0.2</v>
      </c>
      <c r="AV83" s="26"/>
      <c r="AW83" s="37" t="s">
        <v>129</v>
      </c>
      <c r="AX83" s="39">
        <v>0</v>
      </c>
      <c r="AY83" s="26">
        <v>4</v>
      </c>
      <c r="AZ83" s="25" t="s">
        <v>386</v>
      </c>
      <c r="BA83" s="22" t="s">
        <v>94</v>
      </c>
      <c r="BB83" s="22"/>
      <c r="BC83" s="22"/>
      <c r="BD83" s="22"/>
      <c r="BE83" s="22"/>
      <c r="BF83" s="56">
        <v>42031</v>
      </c>
      <c r="BG83" s="56"/>
      <c r="BH83" s="22"/>
      <c r="BI83" s="22"/>
      <c r="BJ83" s="548">
        <v>42093</v>
      </c>
      <c r="BK83" s="548">
        <v>42354</v>
      </c>
      <c r="BL83" s="549">
        <v>42380</v>
      </c>
      <c r="BM83" s="547">
        <f t="shared" si="266"/>
        <v>8.6999999999999993</v>
      </c>
      <c r="BN83" s="490" t="s">
        <v>229</v>
      </c>
      <c r="BO83" s="77">
        <v>42899</v>
      </c>
      <c r="BP83" s="100">
        <v>42929</v>
      </c>
      <c r="BQ83" s="537">
        <f t="shared" si="247"/>
        <v>1</v>
      </c>
      <c r="BR83" s="529">
        <v>66464</v>
      </c>
      <c r="BS83" s="77">
        <v>43013</v>
      </c>
      <c r="BT83" s="77"/>
      <c r="BU83" s="151">
        <v>43040</v>
      </c>
      <c r="BV83" s="150">
        <f t="shared" si="267"/>
        <v>44136</v>
      </c>
      <c r="BW83" s="373">
        <f>82893+7312.94</f>
        <v>90205.94</v>
      </c>
      <c r="BX83" s="150" t="str">
        <f>IF(Tableau6[[#This Row],[Montant des loyers perçus avant 1e échéance]]&lt;BW83,"oui","non")</f>
        <v>oui</v>
      </c>
      <c r="BY83" s="475">
        <f t="shared" si="293"/>
        <v>1.8333333333333333</v>
      </c>
      <c r="BZ83" s="373">
        <f t="shared" si="294"/>
        <v>22634.333333333332</v>
      </c>
      <c r="CA83" s="373">
        <f>IF(BW83-BZ83&lt;0,0,Tableau6[[#This Row],[Montant échéance annuelle]]-Tableau6[[#This Row],[Montant des loyers perçus avant 1e échéance]])</f>
        <v>67571.606666666674</v>
      </c>
      <c r="CB83" s="64"/>
      <c r="CC83" s="64"/>
      <c r="CD83" s="64"/>
      <c r="CE83" s="273" t="str">
        <f t="shared" si="253"/>
        <v>0</v>
      </c>
      <c r="CF83" s="64"/>
      <c r="CG83" s="64"/>
      <c r="CH83" s="273" t="str">
        <f t="shared" si="254"/>
        <v>0</v>
      </c>
      <c r="CI83" s="64"/>
      <c r="CJ83" s="64"/>
      <c r="CK83" s="273" t="str">
        <f t="shared" si="255"/>
        <v>0</v>
      </c>
      <c r="CL83" s="64"/>
      <c r="CM83" s="64"/>
      <c r="CN83" s="273" t="str">
        <f t="shared" si="256"/>
        <v>0</v>
      </c>
      <c r="CO83" s="64"/>
      <c r="CP83" s="64"/>
      <c r="CQ83" s="273" t="str">
        <f t="shared" si="268"/>
        <v>0</v>
      </c>
      <c r="CR83" s="237"/>
      <c r="CS83" s="64"/>
      <c r="CT83" s="64"/>
      <c r="CU83" s="64"/>
      <c r="CV83" s="273"/>
      <c r="CW83" s="95"/>
      <c r="CX83" s="229">
        <v>43129</v>
      </c>
      <c r="CY83" s="230">
        <v>2018</v>
      </c>
      <c r="CZ83" s="235">
        <f t="shared" si="243"/>
        <v>25.833333333333332</v>
      </c>
      <c r="DA83" s="273" t="str">
        <f t="shared" si="269"/>
        <v>0</v>
      </c>
      <c r="DB83" s="133">
        <v>21</v>
      </c>
      <c r="DC83" s="59">
        <f t="shared" si="270"/>
        <v>29</v>
      </c>
      <c r="DD83" s="159">
        <v>43250</v>
      </c>
      <c r="DE83" s="159">
        <v>43294</v>
      </c>
      <c r="DF83" s="381">
        <f t="shared" si="271"/>
        <v>44</v>
      </c>
      <c r="DG83" s="159">
        <v>43315</v>
      </c>
      <c r="DH83" s="336">
        <v>43446</v>
      </c>
      <c r="DI83" s="337">
        <f t="shared" si="272"/>
        <v>131</v>
      </c>
      <c r="DJ83" s="64">
        <v>43529</v>
      </c>
      <c r="DK83" s="309">
        <f ca="1">IF(DJ83&lt;TODAY(),TODAY(),DJ83)</f>
        <v>43998</v>
      </c>
      <c r="DL83" s="273">
        <f t="shared" ca="1" si="273"/>
        <v>469</v>
      </c>
      <c r="DM83" s="226">
        <v>43615</v>
      </c>
      <c r="DN83" s="64">
        <v>43818</v>
      </c>
      <c r="DO83" s="273">
        <f t="shared" si="274"/>
        <v>203</v>
      </c>
      <c r="DP83" s="64">
        <v>43623</v>
      </c>
      <c r="DQ83" s="64">
        <v>43703</v>
      </c>
      <c r="DR83" s="273">
        <f t="shared" si="275"/>
        <v>80</v>
      </c>
      <c r="DS83" s="282">
        <v>43602</v>
      </c>
      <c r="DT83" s="282">
        <f ca="1">IF(DS83&lt;TODAY(),TODAY(),DS83)</f>
        <v>43998</v>
      </c>
      <c r="DU83" s="279">
        <f t="shared" ca="1" si="276"/>
        <v>396</v>
      </c>
      <c r="DV83" s="282">
        <v>43647</v>
      </c>
      <c r="DW83" s="282">
        <v>43739</v>
      </c>
      <c r="DX83" s="279">
        <f t="shared" si="277"/>
        <v>92</v>
      </c>
      <c r="DY83" s="358">
        <v>43703</v>
      </c>
      <c r="DZ83" s="358">
        <v>43703</v>
      </c>
      <c r="EA83" s="358">
        <v>43657</v>
      </c>
      <c r="EB83" s="410">
        <f t="shared" si="259"/>
        <v>43767</v>
      </c>
      <c r="EC83" s="409">
        <v>44020</v>
      </c>
      <c r="ED83" s="406">
        <f t="shared" si="278"/>
        <v>8.4333333333333336</v>
      </c>
      <c r="EE83" s="758">
        <f t="shared" ca="1" si="257"/>
        <v>0.73333333333333328</v>
      </c>
      <c r="EF83" s="409">
        <f t="shared" si="304"/>
        <v>44177</v>
      </c>
      <c r="EG83" s="457"/>
      <c r="EH83" s="160">
        <v>43788</v>
      </c>
      <c r="EI83" s="223"/>
      <c r="EJ83" s="242"/>
      <c r="EK83" s="456">
        <f>DATE(YEAR(EB83),MONTH(EB83)+1,DAY(EB83))</f>
        <v>43798</v>
      </c>
      <c r="EL83" s="409">
        <v>44081</v>
      </c>
      <c r="EM83" s="314"/>
      <c r="EN83" s="404">
        <f t="shared" si="295"/>
        <v>9.4333333333333336</v>
      </c>
      <c r="EO83" s="395">
        <v>12346</v>
      </c>
      <c r="EP83" s="29">
        <f t="shared" si="279"/>
        <v>116463.93333333333</v>
      </c>
      <c r="EQ83" s="625">
        <f>EO83*3</f>
        <v>37038</v>
      </c>
      <c r="ER83" s="625"/>
      <c r="ES83" s="740"/>
      <c r="ET83" s="300">
        <v>0</v>
      </c>
      <c r="EU83" s="300">
        <v>33895</v>
      </c>
      <c r="EV83" s="300">
        <f>475800*1.021</f>
        <v>485791.79999999993</v>
      </c>
      <c r="EW83" s="300">
        <v>0</v>
      </c>
      <c r="EX83" s="300">
        <v>0</v>
      </c>
      <c r="EY83" s="416">
        <f t="shared" si="258"/>
        <v>0</v>
      </c>
      <c r="EZ83" s="297" t="s">
        <v>494</v>
      </c>
      <c r="FA83" s="308" t="s">
        <v>525</v>
      </c>
      <c r="FB83" s="462" t="s">
        <v>894</v>
      </c>
      <c r="FC83" s="308" t="s">
        <v>936</v>
      </c>
      <c r="FD83" s="89">
        <f t="shared" si="241"/>
        <v>44177</v>
      </c>
      <c r="FE83" s="63"/>
      <c r="FF83" s="63"/>
      <c r="FG83" s="63"/>
      <c r="FH83" s="63"/>
      <c r="FI83" s="63"/>
      <c r="FJ83" s="22"/>
      <c r="FK83" s="146">
        <f t="shared" si="300"/>
        <v>44385</v>
      </c>
      <c r="FL83" s="146"/>
      <c r="FM83" s="146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451"/>
      <c r="GB83" s="471">
        <f>GD83+GG83+GJ83+HF83+Tableau6[[#This Row],[PRÊT CREDIT D''IMPOT (PM)]]</f>
        <v>4714821.3567086011</v>
      </c>
      <c r="GC83" s="644">
        <f t="shared" si="296"/>
        <v>4714821.3567086011</v>
      </c>
      <c r="GD83" s="507">
        <f t="shared" si="297"/>
        <v>258774</v>
      </c>
      <c r="GE83" s="20">
        <f t="shared" si="280"/>
        <v>2429.5187962262976</v>
      </c>
      <c r="GF83" s="20">
        <f t="shared" si="281"/>
        <v>235741.06783543006</v>
      </c>
      <c r="GG83" s="507">
        <v>1228058.3567086009</v>
      </c>
      <c r="GH83" s="351">
        <v>1114069</v>
      </c>
      <c r="GI83" s="20">
        <f t="shared" si="225"/>
        <v>61402.917835430046</v>
      </c>
      <c r="GJ83" s="507">
        <f t="shared" si="282"/>
        <v>2066681</v>
      </c>
      <c r="GK83" s="5">
        <f>GL83+GM83</f>
        <v>2066681</v>
      </c>
      <c r="GL83" s="805">
        <v>309940</v>
      </c>
      <c r="GM83" s="805">
        <v>1756741</v>
      </c>
      <c r="GN83" s="345">
        <f t="shared" si="283"/>
        <v>103334.05</v>
      </c>
      <c r="GO83" s="35"/>
      <c r="GP83" s="35">
        <v>200000</v>
      </c>
      <c r="GQ83" s="35"/>
      <c r="GR83" s="18">
        <f t="shared" si="284"/>
        <v>4.2419422681927284E-2</v>
      </c>
      <c r="GS83" s="45"/>
      <c r="GT83" s="45"/>
      <c r="GU83" s="35">
        <v>58774</v>
      </c>
      <c r="GV83" s="20">
        <f t="shared" si="248"/>
        <v>10000</v>
      </c>
      <c r="GW83" s="20">
        <f t="shared" si="249"/>
        <v>71402.917835430038</v>
      </c>
      <c r="GX83" s="569">
        <v>0</v>
      </c>
      <c r="GY83" s="569">
        <v>0</v>
      </c>
      <c r="GZ83" s="567">
        <f t="shared" si="301"/>
        <v>71402.917835430038</v>
      </c>
      <c r="HA83" s="569">
        <v>0</v>
      </c>
      <c r="HB83" s="569">
        <f t="shared" si="250"/>
        <v>71402.917835430038</v>
      </c>
      <c r="HC83" s="568">
        <f t="shared" si="298"/>
        <v>0.30288705523840315</v>
      </c>
      <c r="HD83" s="569">
        <v>0</v>
      </c>
      <c r="HE83" s="569"/>
      <c r="HF83" s="507">
        <v>47239</v>
      </c>
      <c r="HG83" s="637">
        <v>2102468.2793891593</v>
      </c>
      <c r="HH83" s="634">
        <f t="shared" si="285"/>
        <v>0.44592745309376564</v>
      </c>
      <c r="HI83" s="635">
        <f t="shared" si="251"/>
        <v>2612353.0773194418</v>
      </c>
      <c r="HJ83" s="633" t="e">
        <f t="shared" ca="1" si="299"/>
        <v>#VALUE!</v>
      </c>
      <c r="HK83" s="634" t="e">
        <f t="shared" ca="1" si="302"/>
        <v>#VALUE!</v>
      </c>
      <c r="HL83" s="633">
        <f>'[1]GLOBAL OPERATION'!$AG$57</f>
        <v>880000</v>
      </c>
      <c r="HM83" s="633">
        <f>GD83+GD84-HL83</f>
        <v>-528799.71</v>
      </c>
      <c r="HN83" s="634">
        <f>HL83/(GD83+GD84)</f>
        <v>2.5056926917685631</v>
      </c>
      <c r="HO83" s="634"/>
      <c r="HP83" s="563"/>
      <c r="HQ83" s="47"/>
      <c r="HR83" s="563"/>
      <c r="HS83" s="563">
        <f>SUM(Tableau6[[#This Row],[GO]:[CARRELAGE]])</f>
        <v>0</v>
      </c>
      <c r="HT83" s="461"/>
      <c r="HU83" s="461"/>
      <c r="HV83" s="461"/>
      <c r="HW83" s="461"/>
      <c r="HX83" s="461"/>
      <c r="HY83" s="461"/>
      <c r="HZ83" s="461"/>
      <c r="IA83" s="461"/>
      <c r="IB83" s="461"/>
      <c r="IC83" s="461"/>
      <c r="ID83" s="461"/>
      <c r="IE83" s="461"/>
      <c r="IF83" s="461"/>
      <c r="IG83" s="563"/>
      <c r="IH83" s="563"/>
      <c r="II83" s="563">
        <f>HP83+HR83+Tableau6[[#This Row],[TRAVAUX BATIS]]+Tableau6[[#This Row],[HONORAIRES]]+IH83</f>
        <v>0</v>
      </c>
      <c r="IJ83" s="654">
        <f>Tableau6[[#This Row],[TOTAL PRP HT]]-Tableau6[[#This Row],[PRP TTC HORS FRAFU]]/1.021</f>
        <v>-4617846.578558865</v>
      </c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</row>
    <row r="84" spans="1:256" ht="30" customHeight="1">
      <c r="A84" s="441" t="s">
        <v>299</v>
      </c>
      <c r="B84" s="22" t="s">
        <v>14</v>
      </c>
      <c r="C84" s="22" t="s">
        <v>86</v>
      </c>
      <c r="D84" s="22">
        <v>2017</v>
      </c>
      <c r="E84" s="22"/>
      <c r="F84" s="22" t="s">
        <v>301</v>
      </c>
      <c r="G84" s="22" t="s">
        <v>860</v>
      </c>
      <c r="H84" s="22" t="s">
        <v>134</v>
      </c>
      <c r="I84" s="22"/>
      <c r="J84" s="22" t="s">
        <v>302</v>
      </c>
      <c r="K84" s="134" t="s">
        <v>359</v>
      </c>
      <c r="L84" s="81" t="s">
        <v>43</v>
      </c>
      <c r="M84" s="82" t="s">
        <v>334</v>
      </c>
      <c r="N84" s="83">
        <v>34914</v>
      </c>
      <c r="O84" s="117"/>
      <c r="P84" s="117"/>
      <c r="Q84" s="117"/>
      <c r="R84" s="117"/>
      <c r="S84" s="117"/>
      <c r="T84" s="330"/>
      <c r="U84" s="330"/>
      <c r="V84" s="330"/>
      <c r="W84" s="117"/>
      <c r="X84" s="104"/>
      <c r="Y84" s="447" t="e">
        <f t="shared" si="261"/>
        <v>#DIV/0!</v>
      </c>
      <c r="Z84" s="104"/>
      <c r="AA84" s="104"/>
      <c r="AB84" s="105"/>
      <c r="AC84" s="22" t="s">
        <v>300</v>
      </c>
      <c r="AD84" s="426">
        <f t="shared" si="262"/>
        <v>26</v>
      </c>
      <c r="AE84" s="426">
        <f t="shared" si="263"/>
        <v>0</v>
      </c>
      <c r="AF84" s="32"/>
      <c r="AG84" s="32"/>
      <c r="AH84" s="32"/>
      <c r="AI84" s="94">
        <v>26</v>
      </c>
      <c r="AJ84" s="614"/>
      <c r="AK84" s="222"/>
      <c r="AL84" s="492">
        <f t="shared" si="264"/>
        <v>0</v>
      </c>
      <c r="AM84" s="4">
        <f t="shared" si="265"/>
        <v>0</v>
      </c>
      <c r="AN84" s="26"/>
      <c r="AO84" s="26"/>
      <c r="AP84" s="26"/>
      <c r="AQ84" s="39"/>
      <c r="AR84" s="39"/>
      <c r="AS84" s="39"/>
      <c r="AT84" s="39"/>
      <c r="AU84" s="39"/>
      <c r="AV84" s="26"/>
      <c r="AW84" s="37"/>
      <c r="AX84" s="39"/>
      <c r="AY84" s="26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548">
        <v>42824</v>
      </c>
      <c r="BK84" s="548">
        <v>43005</v>
      </c>
      <c r="BL84" s="549"/>
      <c r="BM84" s="547">
        <f t="shared" si="266"/>
        <v>6.0333333333333332</v>
      </c>
      <c r="BN84" s="490"/>
      <c r="BO84" s="77">
        <v>43081</v>
      </c>
      <c r="BP84" s="100">
        <v>43235</v>
      </c>
      <c r="BQ84" s="537">
        <f t="shared" si="247"/>
        <v>5.1333333333333337</v>
      </c>
      <c r="BR84" s="529">
        <v>78080</v>
      </c>
      <c r="BS84" s="77">
        <f>DATE(YEAR(BP84),MONTH(BP84)+3,DAY(BP84))</f>
        <v>43327</v>
      </c>
      <c r="BT84" s="77"/>
      <c r="BU84" s="151">
        <v>43344</v>
      </c>
      <c r="BV84" s="150">
        <f t="shared" si="267"/>
        <v>44440</v>
      </c>
      <c r="BW84" s="373"/>
      <c r="BX84" s="150" t="str">
        <f>IF(Tableau6[[#This Row],[Montant des loyers perçus avant 1e échéance]]&lt;BW84,"oui","non")</f>
        <v>non</v>
      </c>
      <c r="BY84" s="474"/>
      <c r="BZ84" s="474"/>
      <c r="CA84" s="474"/>
      <c r="CB84" s="159">
        <v>42649</v>
      </c>
      <c r="CC84" s="64"/>
      <c r="CD84" s="64"/>
      <c r="CE84" s="273" t="str">
        <f t="shared" si="253"/>
        <v>0</v>
      </c>
      <c r="CF84" s="64">
        <v>42839</v>
      </c>
      <c r="CG84" s="64">
        <v>42879</v>
      </c>
      <c r="CH84" s="273">
        <f t="shared" si="254"/>
        <v>40</v>
      </c>
      <c r="CI84" s="159">
        <v>42814</v>
      </c>
      <c r="CJ84" s="159">
        <v>42793</v>
      </c>
      <c r="CK84" s="273">
        <f t="shared" si="255"/>
        <v>-21</v>
      </c>
      <c r="CL84" s="288">
        <v>42844</v>
      </c>
      <c r="CM84" s="286">
        <f ca="1">IF(CL84&lt;TODAY(),TODAY(),CL84)</f>
        <v>43998</v>
      </c>
      <c r="CN84" s="273">
        <f t="shared" ca="1" si="256"/>
        <v>1154</v>
      </c>
      <c r="CO84" s="288">
        <v>42965</v>
      </c>
      <c r="CP84" s="288">
        <f ca="1">IF(CO84&lt;TODAY(),TODAY(),CO84)</f>
        <v>43998</v>
      </c>
      <c r="CQ84" s="273">
        <f t="shared" ca="1" si="268"/>
        <v>1033</v>
      </c>
      <c r="CR84" s="237"/>
      <c r="CS84" s="293">
        <v>43249</v>
      </c>
      <c r="CT84" s="284">
        <v>43083</v>
      </c>
      <c r="CU84" s="282">
        <f ca="1">IF(CT84&lt;TODAY(),TODAY(),CT84)</f>
        <v>43998</v>
      </c>
      <c r="CV84" s="279">
        <f ca="1">IF(AND(CT84&gt;0,CU84&gt;0),CU84-CT84,"0")</f>
        <v>915</v>
      </c>
      <c r="CW84" s="284">
        <v>43090</v>
      </c>
      <c r="CX84" s="182">
        <v>43363</v>
      </c>
      <c r="CY84" s="175">
        <v>2018</v>
      </c>
      <c r="CZ84" s="235">
        <f t="shared" si="243"/>
        <v>11.933333333333334</v>
      </c>
      <c r="DA84" s="279">
        <f t="shared" si="269"/>
        <v>273</v>
      </c>
      <c r="DB84" s="133">
        <v>12</v>
      </c>
      <c r="DC84" s="59">
        <f t="shared" si="270"/>
        <v>21</v>
      </c>
      <c r="DD84" s="277"/>
      <c r="DE84" s="282">
        <f ca="1">IF(DD84&lt;TODAY(),TODAY(),DD84)</f>
        <v>43998</v>
      </c>
      <c r="DF84" s="279" t="str">
        <f t="shared" ca="1" si="271"/>
        <v>0</v>
      </c>
      <c r="DG84" s="277"/>
      <c r="DH84" s="295">
        <f ca="1">IF(DG84&lt;TODAY(),TODAY(),DG84)</f>
        <v>43998</v>
      </c>
      <c r="DI84" s="337" t="str">
        <f t="shared" ca="1" si="272"/>
        <v>0</v>
      </c>
      <c r="DJ84" s="282"/>
      <c r="DK84" s="295">
        <f ca="1">IF(DJ84&lt;TODAY(),TODAY(),DJ84)</f>
        <v>43998</v>
      </c>
      <c r="DL84" s="279" t="str">
        <f t="shared" ca="1" si="273"/>
        <v>0</v>
      </c>
      <c r="DM84" s="282">
        <v>43501</v>
      </c>
      <c r="DN84" s="282">
        <f ca="1">IF(DM84&lt;TODAY(),TODAY(),DM84)</f>
        <v>43998</v>
      </c>
      <c r="DO84" s="279">
        <f t="shared" ca="1" si="274"/>
        <v>497</v>
      </c>
      <c r="DP84" s="283"/>
      <c r="DQ84" s="283"/>
      <c r="DR84" s="279" t="str">
        <f t="shared" si="275"/>
        <v>0</v>
      </c>
      <c r="DS84" s="282"/>
      <c r="DT84" s="282">
        <f ca="1">IF(DS84&lt;TODAY(),TODAY(),DS84)</f>
        <v>43998</v>
      </c>
      <c r="DU84" s="279" t="str">
        <f t="shared" ca="1" si="276"/>
        <v>0</v>
      </c>
      <c r="DV84" s="282">
        <v>43578</v>
      </c>
      <c r="DW84" s="282">
        <f ca="1">IF(DV84&lt;TODAY(),TODAY(),DV84)</f>
        <v>43998</v>
      </c>
      <c r="DX84" s="279">
        <f t="shared" ca="1" si="277"/>
        <v>420</v>
      </c>
      <c r="DY84" s="282"/>
      <c r="DZ84" s="282"/>
      <c r="EA84" s="282"/>
      <c r="EB84" s="410">
        <f t="shared" si="259"/>
        <v>43728</v>
      </c>
      <c r="EC84" s="409">
        <v>44027</v>
      </c>
      <c r="ED84" s="406">
        <f t="shared" si="278"/>
        <v>9.9666666666666668</v>
      </c>
      <c r="EE84" s="505">
        <f t="shared" ca="1" si="257"/>
        <v>0.96666666666666667</v>
      </c>
      <c r="EF84" s="459">
        <f t="shared" ca="1" si="304"/>
        <v>44728</v>
      </c>
      <c r="EG84" s="457"/>
      <c r="EH84" s="448"/>
      <c r="EI84" s="223"/>
      <c r="EJ84" s="242"/>
      <c r="EK84" s="456">
        <f>DATE(YEAR(EB84),MONTH(EB84)+1,DAY(EB84))</f>
        <v>43758</v>
      </c>
      <c r="EL84" s="409">
        <f>DATE(YEAR(EC84),MONTH(EC84)+1,DAY(EC84))</f>
        <v>44058</v>
      </c>
      <c r="EM84" s="314"/>
      <c r="EN84" s="404">
        <f>(EL84-EK84)/30</f>
        <v>10</v>
      </c>
      <c r="EO84" s="394"/>
      <c r="EP84" s="29">
        <f t="shared" si="279"/>
        <v>0</v>
      </c>
      <c r="EQ84" s="60"/>
      <c r="ER84" s="60"/>
      <c r="ES84" s="742"/>
      <c r="ET84" s="300">
        <v>0</v>
      </c>
      <c r="EU84" s="300">
        <v>0</v>
      </c>
      <c r="EV84" s="300"/>
      <c r="EW84" s="300"/>
      <c r="EX84" s="300"/>
      <c r="EY84" s="416">
        <f t="shared" si="258"/>
        <v>0</v>
      </c>
      <c r="EZ84" s="297"/>
      <c r="FA84" s="308"/>
      <c r="FB84" s="546" t="s">
        <v>897</v>
      </c>
      <c r="FC84" s="357" t="s">
        <v>804</v>
      </c>
      <c r="FD84" s="89">
        <f t="shared" ca="1" si="241"/>
        <v>44728</v>
      </c>
      <c r="FE84" s="63"/>
      <c r="FF84" s="63"/>
      <c r="FG84" s="63"/>
      <c r="FH84" s="63"/>
      <c r="FI84" s="63"/>
      <c r="FJ84" s="22"/>
      <c r="FK84" s="146">
        <f t="shared" si="300"/>
        <v>44392</v>
      </c>
      <c r="FL84" s="146"/>
      <c r="FM84" s="146"/>
      <c r="FN84" s="22"/>
      <c r="FO84" s="22"/>
      <c r="FP84" s="22"/>
      <c r="FQ84" s="22"/>
      <c r="FR84" s="22"/>
      <c r="FS84" s="22"/>
      <c r="FT84" s="22"/>
      <c r="FU84" s="22"/>
      <c r="FV84" s="22"/>
      <c r="FW84" s="22"/>
      <c r="FX84" s="22"/>
      <c r="FY84" s="22"/>
      <c r="FZ84" s="22"/>
      <c r="GA84" s="451"/>
      <c r="GB84" s="471">
        <f>GD84+GG84+GJ84+HF84+Tableau6[[#This Row],[PRÊT CREDIT D''IMPOT (PM)]]</f>
        <v>1069766.29</v>
      </c>
      <c r="GC84" s="645"/>
      <c r="GD84" s="507">
        <f t="shared" si="297"/>
        <v>92426.290000000008</v>
      </c>
      <c r="GE84" s="20" t="e">
        <f t="shared" si="280"/>
        <v>#DIV/0!</v>
      </c>
      <c r="GF84" s="20">
        <f t="shared" si="281"/>
        <v>41144.857307692306</v>
      </c>
      <c r="GG84" s="503"/>
      <c r="GH84" s="351"/>
      <c r="GI84" s="20" t="e">
        <f>#REF!/AD84</f>
        <v>#REF!</v>
      </c>
      <c r="GJ84" s="503">
        <f t="shared" si="282"/>
        <v>977340</v>
      </c>
      <c r="GK84" s="5">
        <v>827340</v>
      </c>
      <c r="GL84" s="212"/>
      <c r="GM84" s="212"/>
      <c r="GN84" s="345">
        <f t="shared" si="283"/>
        <v>31820.76923076923</v>
      </c>
      <c r="GO84" s="36">
        <v>150000</v>
      </c>
      <c r="GP84" s="35">
        <v>47320</v>
      </c>
      <c r="GQ84" s="35"/>
      <c r="GR84" s="18">
        <f t="shared" si="284"/>
        <v>4.423396067191461E-2</v>
      </c>
      <c r="GS84" s="35"/>
      <c r="GT84" s="35"/>
      <c r="GU84" s="35">
        <f>1920+12955.89+30230.4</f>
        <v>45106.29</v>
      </c>
      <c r="GV84" s="20">
        <f t="shared" si="248"/>
        <v>1820</v>
      </c>
      <c r="GW84" s="20">
        <f t="shared" si="249"/>
        <v>1820</v>
      </c>
      <c r="GX84" s="569"/>
      <c r="GY84" s="569"/>
      <c r="GZ84" s="567" t="e">
        <f>(#REF!+#REF!+GY84)/AD84</f>
        <v>#REF!</v>
      </c>
      <c r="HA84" s="569"/>
      <c r="HB84" s="569">
        <f t="shared" si="250"/>
        <v>1820</v>
      </c>
      <c r="HC84" s="568" t="e">
        <f>(#REF!+#REF!+GY84+HA84)/(GX84+#REF!-HD84)</f>
        <v>#REF!</v>
      </c>
      <c r="HD84" s="569"/>
      <c r="HE84" s="569"/>
      <c r="HF84" s="503"/>
      <c r="HG84" s="633">
        <v>185676.66064999998</v>
      </c>
      <c r="HH84" s="634">
        <f t="shared" si="285"/>
        <v>0.17356750010322344</v>
      </c>
      <c r="HI84" s="633">
        <f t="shared" si="251"/>
        <v>884089.62935000006</v>
      </c>
      <c r="HJ84" s="633" t="e">
        <f t="shared" ca="1" si="299"/>
        <v>#VALUE!</v>
      </c>
      <c r="HK84" s="634" t="e">
        <f ca="1">(HG84+HJ84)/GB84</f>
        <v>#VALUE!</v>
      </c>
      <c r="HL84" s="633"/>
      <c r="HM84" s="633">
        <f>GD84-HL84</f>
        <v>92426.290000000008</v>
      </c>
      <c r="HN84" s="633">
        <f t="shared" ref="HN84:HN91" si="305">HL84/GD84</f>
        <v>0</v>
      </c>
      <c r="HO84" s="633"/>
      <c r="HP84" s="563"/>
      <c r="HQ84" s="47"/>
      <c r="HR84" s="563"/>
      <c r="HS84" s="563">
        <f>SUM(Tableau6[[#This Row],[GO]:[CARRELAGE]])</f>
        <v>0</v>
      </c>
      <c r="HT84" s="461"/>
      <c r="HU84" s="461"/>
      <c r="HV84" s="461"/>
      <c r="HW84" s="461"/>
      <c r="HX84" s="461"/>
      <c r="HY84" s="461"/>
      <c r="HZ84" s="461"/>
      <c r="IA84" s="461"/>
      <c r="IB84" s="461"/>
      <c r="IC84" s="461"/>
      <c r="ID84" s="461"/>
      <c r="IE84" s="461"/>
      <c r="IF84" s="461"/>
      <c r="IG84" s="563"/>
      <c r="IH84" s="563"/>
      <c r="II84" s="563">
        <f>HP84+HR84+Tableau6[[#This Row],[TRAVAUX BATIS]]+Tableau6[[#This Row],[HONORAIRES]]+IH84</f>
        <v>0</v>
      </c>
      <c r="IJ84" s="654">
        <f>Tableau6[[#This Row],[TOTAL PRP HT]]-Tableau6[[#This Row],[PRP TTC HORS FRAFU]]/1.021</f>
        <v>-1047763.2615083253</v>
      </c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</row>
    <row r="85" spans="1:256" ht="41.25" customHeight="1">
      <c r="A85" s="596" t="s">
        <v>200</v>
      </c>
      <c r="B85" s="23" t="s">
        <v>25</v>
      </c>
      <c r="C85" s="23" t="s">
        <v>88</v>
      </c>
      <c r="D85" s="23">
        <v>2016</v>
      </c>
      <c r="E85" s="23" t="s">
        <v>124</v>
      </c>
      <c r="F85" s="23" t="s">
        <v>686</v>
      </c>
      <c r="G85" s="168" t="s">
        <v>450</v>
      </c>
      <c r="H85" s="23" t="s">
        <v>181</v>
      </c>
      <c r="I85" s="23" t="s">
        <v>94</v>
      </c>
      <c r="J85" s="23"/>
      <c r="K85" s="102"/>
      <c r="L85" s="81" t="s">
        <v>43</v>
      </c>
      <c r="M85" s="82" t="s">
        <v>108</v>
      </c>
      <c r="N85" s="83"/>
      <c r="O85" s="108">
        <v>3126</v>
      </c>
      <c r="P85" s="108">
        <f>Q85</f>
        <v>268450</v>
      </c>
      <c r="Q85" s="108">
        <v>268450</v>
      </c>
      <c r="R85" s="103">
        <f>P85/AD85</f>
        <v>8948.3333333333339</v>
      </c>
      <c r="S85" s="108">
        <f t="shared" ref="S85:S90" si="306">P85/O85</f>
        <v>85.876519513755596</v>
      </c>
      <c r="T85" s="109">
        <f t="shared" ref="T85:T90" si="307">Q85/O85</f>
        <v>85.876519513755596</v>
      </c>
      <c r="U85" s="109">
        <f t="shared" ref="U85:U90" si="308">Q85/AK85</f>
        <v>100.22812211813815</v>
      </c>
      <c r="V85" s="109">
        <f t="shared" ref="V85:V90" si="309">Q85/AD85</f>
        <v>8948.3333333333339</v>
      </c>
      <c r="W85" s="103">
        <f t="shared" ref="W85:W90" si="310">O85/AD85</f>
        <v>104.2</v>
      </c>
      <c r="X85" s="110">
        <v>1264.3499999999999</v>
      </c>
      <c r="Y85" s="446">
        <f t="shared" si="261"/>
        <v>95.969289827255281</v>
      </c>
      <c r="Z85" s="110"/>
      <c r="AA85" s="114">
        <v>100</v>
      </c>
      <c r="AB85" s="111"/>
      <c r="AC85" s="23" t="s">
        <v>9</v>
      </c>
      <c r="AD85" s="426">
        <f t="shared" si="262"/>
        <v>30</v>
      </c>
      <c r="AE85" s="426">
        <f t="shared" si="263"/>
        <v>30</v>
      </c>
      <c r="AF85" s="23">
        <v>30</v>
      </c>
      <c r="AG85" s="135"/>
      <c r="AH85" s="32"/>
      <c r="AI85" s="32"/>
      <c r="AJ85" s="614">
        <v>2366.15</v>
      </c>
      <c r="AK85" s="222">
        <v>2678.39</v>
      </c>
      <c r="AL85" s="492">
        <f t="shared" si="264"/>
        <v>78.87166666666667</v>
      </c>
      <c r="AM85" s="4">
        <f t="shared" si="265"/>
        <v>89.279666666666657</v>
      </c>
      <c r="AN85" s="26">
        <v>7.23</v>
      </c>
      <c r="AO85" s="26">
        <v>6.39</v>
      </c>
      <c r="AP85" s="26">
        <v>570.15</v>
      </c>
      <c r="AQ85" s="29">
        <v>0</v>
      </c>
      <c r="AR85" s="29">
        <v>0</v>
      </c>
      <c r="AS85" s="40">
        <f>16/AD85</f>
        <v>0.53333333333333333</v>
      </c>
      <c r="AT85" s="40">
        <f>12/AD85</f>
        <v>0.4</v>
      </c>
      <c r="AU85" s="40">
        <f>2/AD85</f>
        <v>6.6666666666666666E-2</v>
      </c>
      <c r="AV85" s="27"/>
      <c r="AW85" s="38">
        <v>0</v>
      </c>
      <c r="AX85" s="40">
        <f>AW85/O85</f>
        <v>0</v>
      </c>
      <c r="AY85" s="27">
        <v>3</v>
      </c>
      <c r="AZ85" s="25" t="s">
        <v>386</v>
      </c>
      <c r="BA85" s="23" t="s">
        <v>94</v>
      </c>
      <c r="BB85" s="23"/>
      <c r="BC85" s="23"/>
      <c r="BD85" s="23"/>
      <c r="BE85" s="23"/>
      <c r="BF85" s="125">
        <v>41667</v>
      </c>
      <c r="BG85" s="125"/>
      <c r="BH85" s="125">
        <v>41787</v>
      </c>
      <c r="BI85" s="125"/>
      <c r="BJ85" s="548">
        <v>42459</v>
      </c>
      <c r="BK85" s="548">
        <v>42601</v>
      </c>
      <c r="BL85" s="549">
        <v>42626</v>
      </c>
      <c r="BM85" s="547">
        <f t="shared" si="266"/>
        <v>4.7333333333333334</v>
      </c>
      <c r="BN85" s="490"/>
      <c r="BO85" s="77">
        <v>41932</v>
      </c>
      <c r="BP85" s="526">
        <v>42027</v>
      </c>
      <c r="BQ85" s="536">
        <f t="shared" si="247"/>
        <v>3.1666666666666665</v>
      </c>
      <c r="BR85" s="526"/>
      <c r="BS85" s="79">
        <v>42117</v>
      </c>
      <c r="BT85" s="79">
        <v>42074</v>
      </c>
      <c r="BU85" s="150">
        <v>42125</v>
      </c>
      <c r="BV85" s="150">
        <f t="shared" si="267"/>
        <v>43221</v>
      </c>
      <c r="BW85" s="373">
        <f>18650+94096</f>
        <v>112746</v>
      </c>
      <c r="BX85" s="150" t="str">
        <f>IF(Tableau6[[#This Row],[Montant des loyers perçus avant 1e échéance]]&lt;BW85,"oui","non")</f>
        <v>non</v>
      </c>
      <c r="BY85" s="475">
        <f t="shared" ref="BY85:BY90" si="311">(BV85-EL85)/30</f>
        <v>-4.0333333333333332</v>
      </c>
      <c r="BZ85" s="373" t="str">
        <f t="shared" ref="BZ85:BZ90" si="312">IF((BY85*EO85)&lt;0,"0",BY85*EO85)</f>
        <v>0</v>
      </c>
      <c r="CA85" s="373">
        <f>IF(BW85-BZ85&lt;0,0,Tableau6[[#This Row],[Montant échéance annuelle]]-Tableau6[[#This Row],[Montant des loyers perçus avant 1e échéance]])</f>
        <v>112746</v>
      </c>
      <c r="CB85" s="64">
        <v>41548</v>
      </c>
      <c r="CC85" s="64">
        <v>41549</v>
      </c>
      <c r="CD85" s="64">
        <v>41564</v>
      </c>
      <c r="CE85" s="273">
        <f t="shared" si="253"/>
        <v>15</v>
      </c>
      <c r="CF85" s="64">
        <v>41679</v>
      </c>
      <c r="CG85" s="64">
        <v>41674</v>
      </c>
      <c r="CH85" s="273">
        <f t="shared" si="254"/>
        <v>-5</v>
      </c>
      <c r="CI85" s="64">
        <v>41679</v>
      </c>
      <c r="CJ85" s="64">
        <v>41697</v>
      </c>
      <c r="CK85" s="273">
        <f t="shared" si="255"/>
        <v>18</v>
      </c>
      <c r="CL85" s="64">
        <v>41753</v>
      </c>
      <c r="CM85" s="64">
        <v>41824</v>
      </c>
      <c r="CN85" s="273">
        <f t="shared" si="256"/>
        <v>71</v>
      </c>
      <c r="CO85" s="64">
        <v>41880</v>
      </c>
      <c r="CP85" s="64">
        <v>41920</v>
      </c>
      <c r="CQ85" s="273">
        <f t="shared" si="268"/>
        <v>40</v>
      </c>
      <c r="CR85" s="40"/>
      <c r="CS85" s="64">
        <v>42055</v>
      </c>
      <c r="CT85" s="64">
        <v>42177</v>
      </c>
      <c r="CU85" s="64">
        <v>42780</v>
      </c>
      <c r="CV85" s="294">
        <f>IF(AND(CT85&gt;0,CU85&gt;0),CU85-CT85,"0")</f>
        <v>603</v>
      </c>
      <c r="CW85" s="64">
        <v>42781</v>
      </c>
      <c r="CX85" s="229">
        <v>42780</v>
      </c>
      <c r="CY85" s="177">
        <v>2017</v>
      </c>
      <c r="CZ85" s="233">
        <f t="shared" si="243"/>
        <v>5.9666666666666668</v>
      </c>
      <c r="DA85" s="294">
        <f t="shared" si="269"/>
        <v>-1</v>
      </c>
      <c r="DB85" s="133">
        <v>16</v>
      </c>
      <c r="DC85" s="59">
        <f t="shared" si="270"/>
        <v>17</v>
      </c>
      <c r="DD85" s="64">
        <v>42844</v>
      </c>
      <c r="DE85" s="64">
        <v>42844</v>
      </c>
      <c r="DF85" s="294">
        <f t="shared" si="271"/>
        <v>0</v>
      </c>
      <c r="DG85" s="64">
        <v>42916</v>
      </c>
      <c r="DH85" s="309">
        <v>42936</v>
      </c>
      <c r="DI85" s="310">
        <f t="shared" si="272"/>
        <v>20</v>
      </c>
      <c r="DJ85" s="64">
        <v>43124</v>
      </c>
      <c r="DK85" s="309">
        <v>43084</v>
      </c>
      <c r="DL85" s="273">
        <f t="shared" si="273"/>
        <v>-40</v>
      </c>
      <c r="DM85" s="159">
        <v>43182</v>
      </c>
      <c r="DN85" s="282">
        <f ca="1">IF(DM85&lt;TODAY(),TODAY(),DM85)</f>
        <v>43998</v>
      </c>
      <c r="DO85" s="279">
        <f t="shared" ca="1" si="274"/>
        <v>816</v>
      </c>
      <c r="DP85" s="342">
        <v>43161</v>
      </c>
      <c r="DQ85" s="285"/>
      <c r="DR85" s="381" t="str">
        <f t="shared" si="275"/>
        <v>0</v>
      </c>
      <c r="DS85" s="159">
        <v>43180</v>
      </c>
      <c r="DT85" s="159">
        <v>43262</v>
      </c>
      <c r="DU85" s="381">
        <f t="shared" si="276"/>
        <v>82</v>
      </c>
      <c r="DV85" s="159">
        <v>43196</v>
      </c>
      <c r="DW85" s="159">
        <v>43313</v>
      </c>
      <c r="DX85" s="381">
        <f t="shared" si="277"/>
        <v>117</v>
      </c>
      <c r="DY85" s="159">
        <v>43208</v>
      </c>
      <c r="DZ85" s="159">
        <v>43209</v>
      </c>
      <c r="EA85" s="159">
        <v>43220</v>
      </c>
      <c r="EB85" s="327">
        <f t="shared" si="259"/>
        <v>43265</v>
      </c>
      <c r="EC85" s="183">
        <v>43320</v>
      </c>
      <c r="ED85" s="435">
        <f t="shared" si="278"/>
        <v>1.8333333333333333</v>
      </c>
      <c r="EE85" s="771">
        <f t="shared" ca="1" si="257"/>
        <v>0</v>
      </c>
      <c r="EF85" s="183">
        <f t="shared" si="304"/>
        <v>43666</v>
      </c>
      <c r="EG85" s="763">
        <v>43318</v>
      </c>
      <c r="EH85" s="121">
        <v>42887</v>
      </c>
      <c r="EI85" s="764">
        <v>43328</v>
      </c>
      <c r="EJ85" s="240" t="s">
        <v>577</v>
      </c>
      <c r="EK85" s="183">
        <f>DATE(YEAR(EB85),MONTH(EB85),DAY(EB85)+15)</f>
        <v>43280</v>
      </c>
      <c r="EL85" s="183">
        <v>43342</v>
      </c>
      <c r="EM85" s="230">
        <v>2018</v>
      </c>
      <c r="EN85" s="430">
        <f t="shared" ref="EN85:EN90" si="313">(DATEDIF(EK85,EL85,"d"))/30</f>
        <v>2.0666666666666669</v>
      </c>
      <c r="EO85" s="388">
        <v>19598.869885009859</v>
      </c>
      <c r="EP85" s="440">
        <f t="shared" si="279"/>
        <v>40504.331095687048</v>
      </c>
      <c r="EQ85" s="159">
        <v>43321</v>
      </c>
      <c r="ER85" s="159"/>
      <c r="ES85" s="133"/>
      <c r="ET85" s="300">
        <v>0</v>
      </c>
      <c r="EU85" s="300">
        <v>0</v>
      </c>
      <c r="EV85" s="300">
        <f>310011*1.021</f>
        <v>316521.23099999997</v>
      </c>
      <c r="EW85" s="300"/>
      <c r="EX85" s="300">
        <v>0</v>
      </c>
      <c r="EY85" s="416">
        <f t="shared" si="258"/>
        <v>0</v>
      </c>
      <c r="EZ85" s="297" t="s">
        <v>499</v>
      </c>
      <c r="FA85" s="356" t="s">
        <v>566</v>
      </c>
      <c r="FB85" s="356" t="s">
        <v>920</v>
      </c>
      <c r="FC85" s="356" t="s">
        <v>921</v>
      </c>
      <c r="FD85" s="89">
        <f t="shared" si="241"/>
        <v>43666</v>
      </c>
      <c r="FE85" s="159" t="s">
        <v>101</v>
      </c>
      <c r="FF85" s="159">
        <v>43444</v>
      </c>
      <c r="FG85" s="166" t="s">
        <v>101</v>
      </c>
      <c r="FH85" s="166" t="s">
        <v>101</v>
      </c>
      <c r="FI85" s="159">
        <v>43445</v>
      </c>
      <c r="FJ85" s="160">
        <v>43474</v>
      </c>
      <c r="FK85" s="159">
        <f t="shared" si="300"/>
        <v>43685</v>
      </c>
      <c r="FL85" s="159" t="s">
        <v>101</v>
      </c>
      <c r="FM85" s="146"/>
      <c r="FN85" s="23"/>
      <c r="FO85" s="160">
        <v>43410</v>
      </c>
      <c r="FP85" s="436" t="s">
        <v>720</v>
      </c>
      <c r="FQ85" s="23"/>
      <c r="FR85" s="23"/>
      <c r="FS85" s="23"/>
      <c r="FT85" s="23"/>
      <c r="FU85" s="168" t="s">
        <v>959</v>
      </c>
      <c r="FV85" s="23"/>
      <c r="FW85" s="160">
        <v>43389</v>
      </c>
      <c r="FX85" s="23"/>
      <c r="FY85" s="23" t="s">
        <v>223</v>
      </c>
      <c r="FZ85" s="23" t="s">
        <v>223</v>
      </c>
      <c r="GA85" s="451"/>
      <c r="GB85" s="471">
        <f>GD85+GG85+GJ85+HF85+Tableau6[[#This Row],[PRÊT CREDIT D''IMPOT (PM)]]</f>
        <v>5228392.2</v>
      </c>
      <c r="GC85" s="644">
        <f>GB85</f>
        <v>5228392.2</v>
      </c>
      <c r="GD85" s="507">
        <f t="shared" si="297"/>
        <v>292962</v>
      </c>
      <c r="GE85" s="20">
        <f t="shared" si="280"/>
        <v>1952.065307890188</v>
      </c>
      <c r="GF85" s="20">
        <f t="shared" si="281"/>
        <v>174279.74000000002</v>
      </c>
      <c r="GG85" s="507">
        <v>1638956.14</v>
      </c>
      <c r="GH85" s="351"/>
      <c r="GI85" s="20">
        <f t="shared" ref="GI85:GI90" si="314">GG85/AD85</f>
        <v>54631.871333333329</v>
      </c>
      <c r="GJ85" s="507">
        <f t="shared" si="282"/>
        <v>3296474.06</v>
      </c>
      <c r="GK85" s="5">
        <f t="shared" ref="GK85:GK90" si="315">GL85+GM85</f>
        <v>3296474.06</v>
      </c>
      <c r="GL85" s="149">
        <v>618601</v>
      </c>
      <c r="GM85" s="44">
        <v>2677873.06</v>
      </c>
      <c r="GN85" s="345">
        <f t="shared" si="283"/>
        <v>109882.46866666667</v>
      </c>
      <c r="GO85" s="36">
        <v>0</v>
      </c>
      <c r="GP85" s="35">
        <v>280000</v>
      </c>
      <c r="GQ85" s="36">
        <v>0</v>
      </c>
      <c r="GR85" s="18">
        <f t="shared" si="284"/>
        <v>5.3553748320564011E-2</v>
      </c>
      <c r="GS85" s="45"/>
      <c r="GT85" s="45"/>
      <c r="GU85" s="36">
        <v>12962</v>
      </c>
      <c r="GV85" s="20">
        <f t="shared" si="248"/>
        <v>9333.3333333333339</v>
      </c>
      <c r="GW85" s="20">
        <f t="shared" si="249"/>
        <v>63965.204666666665</v>
      </c>
      <c r="GX85" s="572">
        <v>0</v>
      </c>
      <c r="GY85" s="572">
        <v>0</v>
      </c>
      <c r="GZ85" s="567">
        <f t="shared" ref="GZ85:GZ90" si="316">(GG85+GP85+GY85)/AD85</f>
        <v>63965.204666666665</v>
      </c>
      <c r="HA85" s="572">
        <v>0</v>
      </c>
      <c r="HB85" s="572">
        <f t="shared" si="250"/>
        <v>63965.204666666665</v>
      </c>
      <c r="HC85" s="568">
        <f t="shared" ref="HC85:HC90" si="317">(GG85+GP85+GY85+HA85)/(GX85+GB85-HD85)</f>
        <v>0.37901831105185374</v>
      </c>
      <c r="HD85" s="572">
        <v>165428</v>
      </c>
      <c r="HE85" s="572"/>
      <c r="HF85" s="507">
        <f>EU85</f>
        <v>0</v>
      </c>
      <c r="HG85" s="638">
        <v>4780372.2692322833</v>
      </c>
      <c r="HH85" s="634">
        <f t="shared" si="285"/>
        <v>0.91431019066096131</v>
      </c>
      <c r="HI85" s="635">
        <f t="shared" si="251"/>
        <v>448019.93076771684</v>
      </c>
      <c r="HJ85" s="633" t="e">
        <f t="shared" ca="1" si="299"/>
        <v>#VALUE!</v>
      </c>
      <c r="HK85" s="634" t="e">
        <f ca="1">(HJ85+HG85)/GB85</f>
        <v>#VALUE!</v>
      </c>
      <c r="HL85" s="639">
        <f>'[1]GLOBAL OPERATION'!$AG$32</f>
        <v>893590.37</v>
      </c>
      <c r="HM85" s="639">
        <f>GD85-HL85</f>
        <v>-600628.37</v>
      </c>
      <c r="HN85" s="636">
        <f t="shared" si="305"/>
        <v>3.0501920726920213</v>
      </c>
      <c r="HO85" s="636"/>
      <c r="HP85" s="563"/>
      <c r="HQ85" s="47"/>
      <c r="HR85" s="563"/>
      <c r="HS85" s="563">
        <f>SUM(Tableau6[[#This Row],[GO]:[CARRELAGE]])</f>
        <v>0</v>
      </c>
      <c r="HT85" s="461"/>
      <c r="HU85" s="461"/>
      <c r="HV85" s="461"/>
      <c r="HW85" s="461"/>
      <c r="HX85" s="461"/>
      <c r="HY85" s="461"/>
      <c r="HZ85" s="461"/>
      <c r="IA85" s="461"/>
      <c r="IB85" s="461"/>
      <c r="IC85" s="461"/>
      <c r="ID85" s="461"/>
      <c r="IE85" s="461"/>
      <c r="IF85" s="461"/>
      <c r="IG85" s="563"/>
      <c r="IH85" s="563"/>
      <c r="II85" s="563">
        <f>HP85+HR85+Tableau6[[#This Row],[TRAVAUX BATIS]]+Tableau6[[#This Row],[HONORAIRES]]+IH85</f>
        <v>0</v>
      </c>
      <c r="IJ85" s="654">
        <f>Tableau6[[#This Row],[TOTAL PRP HT]]-Tableau6[[#This Row],[PRP TTC HORS FRAFU]]/1.021</f>
        <v>-5120854.2605288941</v>
      </c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</row>
    <row r="86" spans="1:256" ht="20.149999999999999" customHeight="1">
      <c r="A86" s="534" t="s">
        <v>445</v>
      </c>
      <c r="B86" s="22" t="s">
        <v>31</v>
      </c>
      <c r="C86" s="22" t="s">
        <v>86</v>
      </c>
      <c r="D86" s="22">
        <v>2016</v>
      </c>
      <c r="E86" s="22" t="s">
        <v>219</v>
      </c>
      <c r="F86" s="22" t="s">
        <v>16</v>
      </c>
      <c r="G86" s="22" t="s">
        <v>139</v>
      </c>
      <c r="H86" s="22" t="s">
        <v>133</v>
      </c>
      <c r="I86" s="22"/>
      <c r="J86" s="22" t="s">
        <v>250</v>
      </c>
      <c r="K86" s="134" t="s">
        <v>412</v>
      </c>
      <c r="L86" s="81"/>
      <c r="M86" s="82"/>
      <c r="N86" s="83"/>
      <c r="O86" s="103">
        <v>8111</v>
      </c>
      <c r="P86" s="103">
        <v>405550</v>
      </c>
      <c r="Q86" s="103">
        <v>405550</v>
      </c>
      <c r="R86" s="103">
        <f>P86/AD86</f>
        <v>11587.142857142857</v>
      </c>
      <c r="S86" s="103">
        <f t="shared" si="306"/>
        <v>50</v>
      </c>
      <c r="T86" s="109">
        <f t="shared" si="307"/>
        <v>50</v>
      </c>
      <c r="U86" s="109">
        <f t="shared" si="308"/>
        <v>175.00668870342719</v>
      </c>
      <c r="V86" s="109">
        <f t="shared" si="309"/>
        <v>11587.142857142857</v>
      </c>
      <c r="W86" s="103">
        <f t="shared" si="310"/>
        <v>231.74285714285713</v>
      </c>
      <c r="X86" s="104"/>
      <c r="Y86" s="447">
        <f t="shared" si="261"/>
        <v>43.151276044877328</v>
      </c>
      <c r="Z86" s="104" t="s">
        <v>700</v>
      </c>
      <c r="AA86" s="104">
        <v>450</v>
      </c>
      <c r="AB86" s="105"/>
      <c r="AC86" s="22" t="s">
        <v>10</v>
      </c>
      <c r="AD86" s="426">
        <f t="shared" si="262"/>
        <v>35</v>
      </c>
      <c r="AE86" s="426">
        <f t="shared" si="263"/>
        <v>35</v>
      </c>
      <c r="AF86" s="32"/>
      <c r="AG86" s="22">
        <v>35</v>
      </c>
      <c r="AH86" s="32"/>
      <c r="AI86" s="32"/>
      <c r="AJ86" s="614">
        <v>2317.34</v>
      </c>
      <c r="AK86" s="222">
        <v>2317.34</v>
      </c>
      <c r="AL86" s="492">
        <f t="shared" si="264"/>
        <v>66.209714285714284</v>
      </c>
      <c r="AM86" s="4">
        <f t="shared" si="265"/>
        <v>66.209714285714284</v>
      </c>
      <c r="AN86" s="26">
        <v>5.64</v>
      </c>
      <c r="AO86" s="26">
        <v>5.57</v>
      </c>
      <c r="AP86" s="26">
        <v>368.79</v>
      </c>
      <c r="AQ86" s="39">
        <f>8/AD86</f>
        <v>0.22857142857142856</v>
      </c>
      <c r="AR86" s="39">
        <f>8/AD86</f>
        <v>0.22857142857142856</v>
      </c>
      <c r="AS86" s="39">
        <f>8/AD86</f>
        <v>0.22857142857142856</v>
      </c>
      <c r="AT86" s="39">
        <f>11/AD86</f>
        <v>0.31428571428571428</v>
      </c>
      <c r="AU86" s="39"/>
      <c r="AV86" s="26"/>
      <c r="AW86" s="37"/>
      <c r="AX86" s="39"/>
      <c r="AY86" s="26"/>
      <c r="AZ86" s="25" t="s">
        <v>386</v>
      </c>
      <c r="BA86" s="22" t="s">
        <v>95</v>
      </c>
      <c r="BB86" s="22"/>
      <c r="BC86" s="22"/>
      <c r="BD86" s="22"/>
      <c r="BE86" s="22"/>
      <c r="BF86" s="122">
        <v>42396</v>
      </c>
      <c r="BG86" s="122"/>
      <c r="BH86" s="122">
        <v>42475</v>
      </c>
      <c r="BI86" s="122"/>
      <c r="BJ86" s="548">
        <v>42459</v>
      </c>
      <c r="BK86" s="548">
        <v>42660</v>
      </c>
      <c r="BL86" s="549"/>
      <c r="BM86" s="547">
        <f t="shared" si="266"/>
        <v>6.7</v>
      </c>
      <c r="BN86" s="490" t="s">
        <v>229</v>
      </c>
      <c r="BO86" s="77">
        <v>42886</v>
      </c>
      <c r="BP86" s="100">
        <v>42929</v>
      </c>
      <c r="BQ86" s="537">
        <f t="shared" si="247"/>
        <v>1.4333333333333333</v>
      </c>
      <c r="BR86" s="529">
        <v>66467</v>
      </c>
      <c r="BS86" s="77">
        <v>43013</v>
      </c>
      <c r="BT86" s="77">
        <v>42957</v>
      </c>
      <c r="BU86" s="151">
        <v>43040</v>
      </c>
      <c r="BV86" s="150">
        <f t="shared" si="267"/>
        <v>44136</v>
      </c>
      <c r="BW86" s="373">
        <f>103063+17127</f>
        <v>120190</v>
      </c>
      <c r="BX86" s="150" t="str">
        <f>IF(Tableau6[[#This Row],[Montant des loyers perçus avant 1e échéance]]&lt;BW86,"oui","non")</f>
        <v>non</v>
      </c>
      <c r="BY86" s="475">
        <f t="shared" si="311"/>
        <v>13.466666666666667</v>
      </c>
      <c r="BZ86" s="373">
        <f t="shared" si="312"/>
        <v>179066.26666666666</v>
      </c>
      <c r="CA86" s="373">
        <f>IF(BW86-BZ86&lt;0,0,Tableau6[[#This Row],[Montant échéance annuelle]]-Tableau6[[#This Row],[Montant des loyers perçus avant 1e échéance]])</f>
        <v>0</v>
      </c>
      <c r="CB86" s="64">
        <v>42296</v>
      </c>
      <c r="CC86" s="64">
        <v>42307</v>
      </c>
      <c r="CD86" s="64">
        <v>42296</v>
      </c>
      <c r="CE86" s="273">
        <f t="shared" si="253"/>
        <v>-11</v>
      </c>
      <c r="CF86" s="64">
        <v>42412</v>
      </c>
      <c r="CG86" s="64">
        <v>42412</v>
      </c>
      <c r="CH86" s="273">
        <f t="shared" si="254"/>
        <v>0</v>
      </c>
      <c r="CI86" s="64">
        <v>42458</v>
      </c>
      <c r="CJ86" s="64">
        <v>42593</v>
      </c>
      <c r="CK86" s="273">
        <f t="shared" si="255"/>
        <v>135</v>
      </c>
      <c r="CL86" s="64">
        <v>42655</v>
      </c>
      <c r="CM86" s="64">
        <v>42683</v>
      </c>
      <c r="CN86" s="273">
        <f t="shared" si="256"/>
        <v>28</v>
      </c>
      <c r="CO86" s="64">
        <v>42779</v>
      </c>
      <c r="CP86" s="64">
        <v>42892</v>
      </c>
      <c r="CQ86" s="273">
        <f t="shared" si="268"/>
        <v>113</v>
      </c>
      <c r="CR86" s="237"/>
      <c r="CS86" s="64">
        <v>43123</v>
      </c>
      <c r="CT86" s="159">
        <v>43140</v>
      </c>
      <c r="CU86" s="64">
        <v>43160</v>
      </c>
      <c r="CV86" s="294">
        <f>IF(AND(CT86&gt;0,CU86&gt;0),CU86-CT86,"0")</f>
        <v>20</v>
      </c>
      <c r="CW86" s="121">
        <v>43154</v>
      </c>
      <c r="CX86" s="229">
        <v>43164</v>
      </c>
      <c r="CY86" s="230">
        <v>2018</v>
      </c>
      <c r="CZ86" s="235">
        <f t="shared" si="243"/>
        <v>16.8</v>
      </c>
      <c r="DA86" s="273">
        <f t="shared" si="269"/>
        <v>10</v>
      </c>
      <c r="DB86" s="133">
        <v>14</v>
      </c>
      <c r="DC86" s="59">
        <f t="shared" si="270"/>
        <v>18</v>
      </c>
      <c r="DD86" s="159">
        <v>43263</v>
      </c>
      <c r="DE86" s="159">
        <v>43292</v>
      </c>
      <c r="DF86" s="381">
        <f t="shared" si="271"/>
        <v>29</v>
      </c>
      <c r="DG86" s="159">
        <v>43287</v>
      </c>
      <c r="DH86" s="336">
        <v>43355</v>
      </c>
      <c r="DI86" s="276">
        <f t="shared" si="272"/>
        <v>68</v>
      </c>
      <c r="DJ86" s="95">
        <v>43374</v>
      </c>
      <c r="DK86" s="648">
        <v>43449</v>
      </c>
      <c r="DL86" s="499">
        <f t="shared" si="273"/>
        <v>75</v>
      </c>
      <c r="DM86" s="95">
        <v>43517</v>
      </c>
      <c r="DN86" s="95">
        <v>43622</v>
      </c>
      <c r="DO86" s="499">
        <f t="shared" si="274"/>
        <v>105</v>
      </c>
      <c r="DP86" s="358">
        <v>43517</v>
      </c>
      <c r="DQ86" s="282">
        <f ca="1">IF(DP86&lt;TODAY(),TODAY(),DP86)</f>
        <v>43998</v>
      </c>
      <c r="DR86" s="279">
        <f t="shared" ca="1" si="275"/>
        <v>481</v>
      </c>
      <c r="DS86" s="306">
        <v>43528</v>
      </c>
      <c r="DT86" s="282">
        <f t="shared" ref="DT86:DT129" ca="1" si="318">IF(DS86&lt;TODAY(),TODAY(),DS86)</f>
        <v>43998</v>
      </c>
      <c r="DU86" s="279">
        <f t="shared" ca="1" si="276"/>
        <v>470</v>
      </c>
      <c r="DV86" s="282">
        <v>43593</v>
      </c>
      <c r="DW86" s="282">
        <f ca="1">IF(DV86&lt;TODAY(),TODAY(),DV86)</f>
        <v>43998</v>
      </c>
      <c r="DX86" s="279">
        <f t="shared" ca="1" si="277"/>
        <v>405</v>
      </c>
      <c r="DY86" s="282">
        <v>43542</v>
      </c>
      <c r="DZ86" s="282">
        <v>43542</v>
      </c>
      <c r="EA86" s="282">
        <v>43546</v>
      </c>
      <c r="EB86" s="327">
        <f t="shared" si="259"/>
        <v>43590</v>
      </c>
      <c r="EC86" s="183">
        <v>43732</v>
      </c>
      <c r="ED86" s="401">
        <f t="shared" si="278"/>
        <v>4.7333333333333334</v>
      </c>
      <c r="EE86" s="762">
        <f t="shared" ca="1" si="257"/>
        <v>0</v>
      </c>
      <c r="EF86" s="183">
        <f t="shared" si="304"/>
        <v>44086</v>
      </c>
      <c r="EG86" s="763">
        <v>43749</v>
      </c>
      <c r="EH86" s="160">
        <v>43348</v>
      </c>
      <c r="EI86" s="764">
        <v>43720</v>
      </c>
      <c r="EJ86" s="240"/>
      <c r="EK86" s="455">
        <f t="shared" ref="EK86:EK108" si="319">DATE(YEAR(EB86),MONTH(EB86)+1,DAY(EB86))</f>
        <v>43621</v>
      </c>
      <c r="EL86" s="183">
        <v>43732</v>
      </c>
      <c r="EM86" s="230">
        <v>2019</v>
      </c>
      <c r="EN86" s="430">
        <f t="shared" si="313"/>
        <v>3.7</v>
      </c>
      <c r="EO86" s="395">
        <v>13297</v>
      </c>
      <c r="EP86" s="29">
        <f t="shared" si="279"/>
        <v>49198.9</v>
      </c>
      <c r="EQ86" s="60">
        <v>43713</v>
      </c>
      <c r="ER86" s="60"/>
      <c r="ES86" s="742"/>
      <c r="ET86" s="300">
        <v>0</v>
      </c>
      <c r="EU86" s="300">
        <v>0</v>
      </c>
      <c r="EV86" s="300">
        <f>122000*1.021</f>
        <v>124561.99999999999</v>
      </c>
      <c r="EW86" s="300"/>
      <c r="EX86" s="300">
        <v>0</v>
      </c>
      <c r="EY86" s="416">
        <f t="shared" si="258"/>
        <v>0</v>
      </c>
      <c r="EZ86" s="297"/>
      <c r="FA86" s="308"/>
      <c r="FB86" s="462" t="s">
        <v>661</v>
      </c>
      <c r="FC86" s="308" t="s">
        <v>802</v>
      </c>
      <c r="FD86" s="56">
        <f t="shared" si="241"/>
        <v>44086</v>
      </c>
      <c r="FE86" s="63"/>
      <c r="FF86" s="121" t="s">
        <v>862</v>
      </c>
      <c r="FG86" s="63"/>
      <c r="FH86" s="63"/>
      <c r="FI86" s="64">
        <v>43874</v>
      </c>
      <c r="FJ86" s="597" t="s">
        <v>864</v>
      </c>
      <c r="FK86" s="146">
        <f t="shared" si="300"/>
        <v>44098</v>
      </c>
      <c r="FL86" s="146"/>
      <c r="FM86" s="146"/>
      <c r="FN86" s="22"/>
      <c r="FO86" s="56">
        <v>43816</v>
      </c>
      <c r="FP86" s="56">
        <v>43850</v>
      </c>
      <c r="FQ86" s="57"/>
      <c r="FR86" s="57"/>
      <c r="FS86" s="57"/>
      <c r="FT86" s="57"/>
      <c r="FU86" s="57"/>
      <c r="FV86" s="57"/>
      <c r="FW86" s="57"/>
      <c r="FX86" s="22"/>
      <c r="FY86" s="22"/>
      <c r="FZ86" s="22"/>
      <c r="GA86" s="451"/>
      <c r="GB86" s="471">
        <f>GD86+GG86+GJ86+HF86+Tableau6[[#This Row],[PRÊT CREDIT D''IMPOT (PM)]]</f>
        <v>7003319.1865710132</v>
      </c>
      <c r="GC86" s="644">
        <f>GB86</f>
        <v>7003319.1865710132</v>
      </c>
      <c r="GD86" s="507">
        <f t="shared" si="297"/>
        <v>1043780</v>
      </c>
      <c r="GE86" s="20">
        <f t="shared" si="280"/>
        <v>3022.1370996793794</v>
      </c>
      <c r="GF86" s="20">
        <f t="shared" si="281"/>
        <v>200094.83390202894</v>
      </c>
      <c r="GG86" s="507">
        <v>1569551.1865710132</v>
      </c>
      <c r="GH86" s="351">
        <v>1629529</v>
      </c>
      <c r="GI86" s="20">
        <f t="shared" si="314"/>
        <v>44844.319616314664</v>
      </c>
      <c r="GJ86" s="507">
        <f t="shared" si="282"/>
        <v>2760459</v>
      </c>
      <c r="GK86" s="5">
        <f t="shared" si="315"/>
        <v>2760459</v>
      </c>
      <c r="GL86" s="630">
        <v>738771</v>
      </c>
      <c r="GM86" s="630">
        <v>2021688</v>
      </c>
      <c r="GN86" s="345">
        <f t="shared" si="283"/>
        <v>78870.257142857139</v>
      </c>
      <c r="GO86" s="35"/>
      <c r="GP86" s="35">
        <v>945000</v>
      </c>
      <c r="GQ86" s="35"/>
      <c r="GR86" s="18">
        <f t="shared" si="284"/>
        <v>0.13493601745470263</v>
      </c>
      <c r="GS86" s="45"/>
      <c r="GT86" s="45"/>
      <c r="GU86" s="35">
        <v>98780</v>
      </c>
      <c r="GV86" s="20">
        <f t="shared" si="248"/>
        <v>27000</v>
      </c>
      <c r="GW86" s="20">
        <f t="shared" si="249"/>
        <v>71844.319616314664</v>
      </c>
      <c r="GX86" s="569"/>
      <c r="GY86" s="569"/>
      <c r="GZ86" s="567">
        <f t="shared" si="316"/>
        <v>71844.319616314664</v>
      </c>
      <c r="HA86" s="569"/>
      <c r="HB86" s="569">
        <f t="shared" si="250"/>
        <v>71844.319616314664</v>
      </c>
      <c r="HC86" s="568">
        <f t="shared" si="317"/>
        <v>0.35905134688030627</v>
      </c>
      <c r="HD86" s="569"/>
      <c r="HE86" s="569"/>
      <c r="HF86" s="507">
        <f>EU86</f>
        <v>0</v>
      </c>
      <c r="HG86" s="637">
        <v>3536127.0096999984</v>
      </c>
      <c r="HH86" s="634">
        <f t="shared" si="285"/>
        <v>0.50492158296605749</v>
      </c>
      <c r="HI86" s="635">
        <f t="shared" si="251"/>
        <v>3467192.1768710148</v>
      </c>
      <c r="HJ86" s="633" t="e">
        <f t="shared" ca="1" si="299"/>
        <v>#VALUE!</v>
      </c>
      <c r="HK86" s="634" t="e">
        <f ca="1">(HJ86+HG86)/GB86</f>
        <v>#VALUE!</v>
      </c>
      <c r="HL86" s="633">
        <f>'[1]GLOBAL OPERATION'!$AG$74</f>
        <v>8804812.7300000004</v>
      </c>
      <c r="HM86" s="633">
        <f>GD86-HL86</f>
        <v>-7761032.7300000004</v>
      </c>
      <c r="HN86" s="634">
        <f t="shared" si="305"/>
        <v>8.4355062656881721</v>
      </c>
      <c r="HO86" s="634"/>
      <c r="HP86" s="563"/>
      <c r="HQ86" s="47"/>
      <c r="HR86" s="563"/>
      <c r="HS86" s="563">
        <f>SUM(Tableau6[[#This Row],[GO]:[CARRELAGE]])</f>
        <v>0</v>
      </c>
      <c r="HT86" s="461"/>
      <c r="HU86" s="461"/>
      <c r="HV86" s="461"/>
      <c r="HW86" s="461"/>
      <c r="HX86" s="461"/>
      <c r="HY86" s="461"/>
      <c r="HZ86" s="461"/>
      <c r="IA86" s="461"/>
      <c r="IB86" s="461"/>
      <c r="IC86" s="461"/>
      <c r="ID86" s="461"/>
      <c r="IE86" s="461"/>
      <c r="IF86" s="461"/>
      <c r="IG86" s="563"/>
      <c r="IH86" s="563"/>
      <c r="II86" s="563">
        <f>HP86+HR86+Tableau6[[#This Row],[TRAVAUX BATIS]]+Tableau6[[#This Row],[HONORAIRES]]+IH86</f>
        <v>0</v>
      </c>
      <c r="IJ86" s="654">
        <f>Tableau6[[#This Row],[TOTAL PRP HT]]-Tableau6[[#This Row],[PRP TTC HORS FRAFU]]/1.021</f>
        <v>-6859274.4236738626</v>
      </c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</row>
    <row r="87" spans="1:256" ht="20.149999999999999" customHeight="1">
      <c r="A87" s="534" t="s">
        <v>247</v>
      </c>
      <c r="B87" s="22" t="s">
        <v>58</v>
      </c>
      <c r="C87" s="22" t="s">
        <v>88</v>
      </c>
      <c r="D87" s="22">
        <v>2016</v>
      </c>
      <c r="E87" s="22" t="s">
        <v>202</v>
      </c>
      <c r="F87" s="22" t="s">
        <v>16</v>
      </c>
      <c r="G87" s="22" t="s">
        <v>329</v>
      </c>
      <c r="H87" s="22" t="s">
        <v>133</v>
      </c>
      <c r="I87" s="22"/>
      <c r="J87" s="22" t="s">
        <v>251</v>
      </c>
      <c r="K87" s="134"/>
      <c r="L87" s="81"/>
      <c r="M87" s="82"/>
      <c r="N87" s="83"/>
      <c r="O87" s="103">
        <v>5130</v>
      </c>
      <c r="P87" s="103">
        <v>425624</v>
      </c>
      <c r="Q87" s="103">
        <v>271768</v>
      </c>
      <c r="R87" s="103">
        <f>P87/AD87</f>
        <v>15200.857142857143</v>
      </c>
      <c r="S87" s="103">
        <f t="shared" si="306"/>
        <v>82.967641325536064</v>
      </c>
      <c r="T87" s="109">
        <f t="shared" si="307"/>
        <v>52.976218323586743</v>
      </c>
      <c r="U87" s="109">
        <f t="shared" si="308"/>
        <v>144.10749415389185</v>
      </c>
      <c r="V87" s="109">
        <f t="shared" si="309"/>
        <v>9706</v>
      </c>
      <c r="W87" s="103">
        <f t="shared" si="310"/>
        <v>183.21428571428572</v>
      </c>
      <c r="X87" s="104"/>
      <c r="Y87" s="447">
        <f t="shared" si="261"/>
        <v>54.580896686159846</v>
      </c>
      <c r="Z87" s="104" t="s">
        <v>163</v>
      </c>
      <c r="AA87" s="104">
        <v>675</v>
      </c>
      <c r="AB87" s="105"/>
      <c r="AC87" s="22" t="s">
        <v>10</v>
      </c>
      <c r="AD87" s="426">
        <f t="shared" si="262"/>
        <v>28</v>
      </c>
      <c r="AE87" s="426">
        <f t="shared" si="263"/>
        <v>28</v>
      </c>
      <c r="AF87" s="32"/>
      <c r="AG87" s="22">
        <v>28</v>
      </c>
      <c r="AH87" s="32"/>
      <c r="AI87" s="32"/>
      <c r="AJ87" s="614">
        <v>1885.87</v>
      </c>
      <c r="AK87" s="222">
        <v>1885.87</v>
      </c>
      <c r="AL87" s="492">
        <f t="shared" si="264"/>
        <v>67.352499999999992</v>
      </c>
      <c r="AM87" s="4">
        <f t="shared" si="265"/>
        <v>67.352499999999992</v>
      </c>
      <c r="AN87" s="26">
        <v>5.54</v>
      </c>
      <c r="AO87" s="26">
        <v>5.54</v>
      </c>
      <c r="AP87" s="26">
        <v>372.96841640000031</v>
      </c>
      <c r="AQ87" s="39">
        <f>4/AD87</f>
        <v>0.14285714285714285</v>
      </c>
      <c r="AR87" s="39">
        <f>7/AD87</f>
        <v>0.25</v>
      </c>
      <c r="AS87" s="39">
        <f>10/AD87</f>
        <v>0.35714285714285715</v>
      </c>
      <c r="AT87" s="39">
        <f>7/AD87</f>
        <v>0.25</v>
      </c>
      <c r="AU87" s="39"/>
      <c r="AV87" s="26"/>
      <c r="AW87" s="37"/>
      <c r="AX87" s="39"/>
      <c r="AY87" s="26">
        <v>2.5</v>
      </c>
      <c r="AZ87" s="25" t="s">
        <v>386</v>
      </c>
      <c r="BA87" s="22" t="s">
        <v>95</v>
      </c>
      <c r="BB87" s="22"/>
      <c r="BC87" s="22"/>
      <c r="BD87" s="22"/>
      <c r="BE87" s="22"/>
      <c r="BF87" s="122">
        <v>42488</v>
      </c>
      <c r="BG87" s="122"/>
      <c r="BH87" s="122">
        <v>42475</v>
      </c>
      <c r="BI87" s="122"/>
      <c r="BJ87" s="548">
        <v>42459</v>
      </c>
      <c r="BK87" s="548">
        <v>42604</v>
      </c>
      <c r="BL87" s="549">
        <v>42646</v>
      </c>
      <c r="BM87" s="547">
        <f t="shared" si="266"/>
        <v>4.833333333333333</v>
      </c>
      <c r="BN87" s="490" t="s">
        <v>229</v>
      </c>
      <c r="BO87" s="77">
        <v>42877</v>
      </c>
      <c r="BP87" s="100">
        <v>42929</v>
      </c>
      <c r="BQ87" s="537">
        <f t="shared" si="247"/>
        <v>1.7333333333333334</v>
      </c>
      <c r="BR87" s="529">
        <v>66469</v>
      </c>
      <c r="BS87" s="77">
        <v>43013</v>
      </c>
      <c r="BT87" s="77"/>
      <c r="BU87" s="151">
        <v>42948</v>
      </c>
      <c r="BV87" s="150">
        <f t="shared" si="267"/>
        <v>44044</v>
      </c>
      <c r="BW87" s="373">
        <f>9404+83662</f>
        <v>93066</v>
      </c>
      <c r="BX87" s="150" t="str">
        <f>IF(Tableau6[[#This Row],[Montant des loyers perçus avant 1e échéance]]&lt;BW87,"oui","non")</f>
        <v>oui</v>
      </c>
      <c r="BY87" s="475">
        <f t="shared" si="311"/>
        <v>6.4666666666666668</v>
      </c>
      <c r="BZ87" s="373">
        <f t="shared" si="312"/>
        <v>69573.307100666672</v>
      </c>
      <c r="CA87" s="373">
        <f>IF(BW87-BZ87&lt;0,0,Tableau6[[#This Row],[Montant échéance annuelle]]-Tableau6[[#This Row],[Montant des loyers perçus avant 1e échéance]])</f>
        <v>23492.692899333328</v>
      </c>
      <c r="CB87" s="64"/>
      <c r="CC87" s="64"/>
      <c r="CD87" s="64"/>
      <c r="CE87" s="273" t="str">
        <f t="shared" si="253"/>
        <v>0</v>
      </c>
      <c r="CF87" s="64"/>
      <c r="CG87" s="64"/>
      <c r="CH87" s="273" t="str">
        <f t="shared" si="254"/>
        <v>0</v>
      </c>
      <c r="CI87" s="64"/>
      <c r="CJ87" s="64"/>
      <c r="CK87" s="273" t="str">
        <f t="shared" si="255"/>
        <v>0</v>
      </c>
      <c r="CL87" s="64"/>
      <c r="CM87" s="64"/>
      <c r="CN87" s="273" t="str">
        <f t="shared" si="256"/>
        <v>0</v>
      </c>
      <c r="CO87" s="64"/>
      <c r="CP87" s="64"/>
      <c r="CQ87" s="273" t="str">
        <f t="shared" si="268"/>
        <v>0</v>
      </c>
      <c r="CR87" s="237"/>
      <c r="CS87" s="159"/>
      <c r="CT87" s="121"/>
      <c r="CU87" s="121">
        <v>43251</v>
      </c>
      <c r="CV87" s="499"/>
      <c r="CW87" s="121"/>
      <c r="CX87" s="229">
        <v>43263</v>
      </c>
      <c r="CY87" s="175">
        <v>2018</v>
      </c>
      <c r="CZ87" s="235">
        <f t="shared" si="243"/>
        <v>21.966666666666665</v>
      </c>
      <c r="DA87" s="273" t="str">
        <f t="shared" si="269"/>
        <v>0</v>
      </c>
      <c r="DB87" s="133">
        <v>16</v>
      </c>
      <c r="DC87" s="59">
        <f t="shared" si="270"/>
        <v>19</v>
      </c>
      <c r="DD87" s="159">
        <v>43413</v>
      </c>
      <c r="DE87" s="64">
        <v>43410</v>
      </c>
      <c r="DF87" s="273">
        <f t="shared" si="271"/>
        <v>-3</v>
      </c>
      <c r="DG87" s="159">
        <v>43484</v>
      </c>
      <c r="DH87" s="336">
        <v>43453</v>
      </c>
      <c r="DI87" s="337">
        <f t="shared" si="272"/>
        <v>-31</v>
      </c>
      <c r="DJ87" s="282">
        <v>43660</v>
      </c>
      <c r="DK87" s="629">
        <f t="shared" ref="DK87:DK118" ca="1" si="320">IF(DJ87&lt;TODAY(),TODAY(),DJ87)</f>
        <v>43998</v>
      </c>
      <c r="DL87" s="279">
        <f t="shared" ca="1" si="273"/>
        <v>338</v>
      </c>
      <c r="DM87" s="282">
        <v>43717</v>
      </c>
      <c r="DN87" s="282">
        <f ca="1">IF(DM87&lt;TODAY(),TODAY(),DM87)</f>
        <v>43998</v>
      </c>
      <c r="DO87" s="279">
        <f t="shared" ca="1" si="274"/>
        <v>281</v>
      </c>
      <c r="DP87" s="358">
        <v>43731</v>
      </c>
      <c r="DQ87" s="282">
        <f ca="1">IF(DP87&lt;TODAY(),TODAY(),DP87)</f>
        <v>43998</v>
      </c>
      <c r="DR87" s="279">
        <f t="shared" ca="1" si="275"/>
        <v>267</v>
      </c>
      <c r="DS87" s="282">
        <v>43728</v>
      </c>
      <c r="DT87" s="282">
        <f t="shared" ca="1" si="318"/>
        <v>43998</v>
      </c>
      <c r="DU87" s="279">
        <f t="shared" ca="1" si="276"/>
        <v>270</v>
      </c>
      <c r="DV87" s="282">
        <v>43744</v>
      </c>
      <c r="DW87" s="282">
        <f ca="1">IF(DV87&lt;TODAY(),TODAY(),DV87)</f>
        <v>43998</v>
      </c>
      <c r="DX87" s="279">
        <f t="shared" ca="1" si="277"/>
        <v>254</v>
      </c>
      <c r="DY87" s="282"/>
      <c r="DZ87" s="64"/>
      <c r="EA87" s="64"/>
      <c r="EB87" s="327">
        <f t="shared" si="259"/>
        <v>43750</v>
      </c>
      <c r="EC87" s="183">
        <v>43850</v>
      </c>
      <c r="ED87" s="401">
        <f t="shared" si="278"/>
        <v>3.3333333333333335</v>
      </c>
      <c r="EE87" s="762">
        <f t="shared" ca="1" si="257"/>
        <v>0</v>
      </c>
      <c r="EF87" s="459">
        <f t="shared" si="304"/>
        <v>44184</v>
      </c>
      <c r="EG87" s="768">
        <v>43902</v>
      </c>
      <c r="EH87" s="436" t="s">
        <v>844</v>
      </c>
      <c r="EI87" s="764"/>
      <c r="EJ87" s="240"/>
      <c r="EK87" s="455">
        <f t="shared" si="319"/>
        <v>43781</v>
      </c>
      <c r="EL87" s="183">
        <v>43850</v>
      </c>
      <c r="EM87" s="559">
        <v>2020</v>
      </c>
      <c r="EN87" s="404">
        <f t="shared" si="313"/>
        <v>2.2999999999999998</v>
      </c>
      <c r="EO87" s="395">
        <v>10758.758830000001</v>
      </c>
      <c r="EP87" s="29">
        <f t="shared" si="279"/>
        <v>24745.145309</v>
      </c>
      <c r="EQ87" s="60"/>
      <c r="ER87" s="60"/>
      <c r="ES87" s="742"/>
      <c r="ET87" s="300">
        <v>0</v>
      </c>
      <c r="EU87" s="300">
        <v>0</v>
      </c>
      <c r="EV87" s="300">
        <f>131635.37*1.021</f>
        <v>134399.71276999998</v>
      </c>
      <c r="EW87" s="482">
        <v>131635.37</v>
      </c>
      <c r="EX87" s="300">
        <v>0</v>
      </c>
      <c r="EY87" s="416">
        <f t="shared" si="258"/>
        <v>0</v>
      </c>
      <c r="EZ87" s="297"/>
      <c r="FA87" s="308"/>
      <c r="FB87" s="462" t="s">
        <v>690</v>
      </c>
      <c r="FC87" s="308" t="s">
        <v>803</v>
      </c>
      <c r="FD87" s="89">
        <f t="shared" si="241"/>
        <v>44184</v>
      </c>
      <c r="FE87" s="63"/>
      <c r="FF87" s="64" t="s">
        <v>893</v>
      </c>
      <c r="FG87" s="63"/>
      <c r="FH87" s="63"/>
      <c r="FI87" s="63"/>
      <c r="FJ87" s="22"/>
      <c r="FK87" s="146">
        <f t="shared" si="300"/>
        <v>44216</v>
      </c>
      <c r="FL87" s="146"/>
      <c r="FM87" s="146"/>
      <c r="FN87" s="22"/>
      <c r="FO87" s="22"/>
      <c r="FP87" s="22"/>
      <c r="FQ87" s="22"/>
      <c r="FR87" s="22"/>
      <c r="FS87" s="22"/>
      <c r="FT87" s="22"/>
      <c r="FU87" s="22"/>
      <c r="FV87" s="22"/>
      <c r="FW87" s="22"/>
      <c r="FX87" s="22"/>
      <c r="FY87" s="22"/>
      <c r="FZ87" s="22"/>
      <c r="GA87" s="451"/>
      <c r="GB87" s="471">
        <f>GD87+GG87+GJ87+HF87+Tableau6[[#This Row],[PRÊT CREDIT D''IMPOT (PM)]]</f>
        <v>5270337.0323739871</v>
      </c>
      <c r="GC87" s="644"/>
      <c r="GD87" s="507">
        <f t="shared" si="297"/>
        <v>724840</v>
      </c>
      <c r="GE87" s="20">
        <f t="shared" si="280"/>
        <v>2794.6449290640326</v>
      </c>
      <c r="GF87" s="20">
        <f t="shared" si="281"/>
        <v>188226.32258478526</v>
      </c>
      <c r="GG87" s="507">
        <v>1175968.0323739876</v>
      </c>
      <c r="GH87" s="351">
        <v>1263947</v>
      </c>
      <c r="GI87" s="46">
        <f t="shared" si="314"/>
        <v>41998.858299070984</v>
      </c>
      <c r="GJ87" s="507">
        <f t="shared" si="282"/>
        <v>2105582</v>
      </c>
      <c r="GK87" s="5">
        <f t="shared" si="315"/>
        <v>2105582</v>
      </c>
      <c r="GL87" s="630">
        <v>405627</v>
      </c>
      <c r="GM87" s="630">
        <v>1699955</v>
      </c>
      <c r="GN87" s="345">
        <f t="shared" si="283"/>
        <v>75199.357142857145</v>
      </c>
      <c r="GO87" s="650"/>
      <c r="GP87" s="35">
        <v>656000</v>
      </c>
      <c r="GQ87" s="35"/>
      <c r="GR87" s="18">
        <f t="shared" si="284"/>
        <v>0.12447021812275055</v>
      </c>
      <c r="GS87" s="35"/>
      <c r="GT87" s="35"/>
      <c r="GU87" s="35">
        <v>68840</v>
      </c>
      <c r="GV87" s="20">
        <f t="shared" si="248"/>
        <v>23428.571428571428</v>
      </c>
      <c r="GW87" s="20">
        <f t="shared" si="249"/>
        <v>65427.429727642411</v>
      </c>
      <c r="GX87" s="569">
        <v>878080.00034999999</v>
      </c>
      <c r="GY87" s="569">
        <v>560000</v>
      </c>
      <c r="GZ87" s="569">
        <f t="shared" si="316"/>
        <v>85427.429727642419</v>
      </c>
      <c r="HA87" s="569">
        <v>92043.64</v>
      </c>
      <c r="HB87" s="569">
        <f t="shared" si="250"/>
        <v>88714.702584785278</v>
      </c>
      <c r="HC87" s="568">
        <f t="shared" si="317"/>
        <v>0.41713133189439161</v>
      </c>
      <c r="HD87" s="569">
        <v>193430</v>
      </c>
      <c r="HE87" s="569"/>
      <c r="HF87" s="507">
        <v>0</v>
      </c>
      <c r="HG87" s="637">
        <f>1833805.88884+423682</f>
        <v>2257487.8888400001</v>
      </c>
      <c r="HH87" s="634">
        <f t="shared" si="285"/>
        <v>0.42833842977649766</v>
      </c>
      <c r="HI87" s="635">
        <f t="shared" si="251"/>
        <v>3012849.143533987</v>
      </c>
      <c r="HJ87" s="633" t="e">
        <f t="shared" ca="1" si="299"/>
        <v>#VALUE!</v>
      </c>
      <c r="HK87" s="634" t="e">
        <f ca="1">(HJ87+HG87)/GB87</f>
        <v>#VALUE!</v>
      </c>
      <c r="HL87" s="633">
        <f>'[2]GLOBAL OPERATION'!AH55</f>
        <v>871641.46</v>
      </c>
      <c r="HM87" s="633">
        <f>GD87-HL87</f>
        <v>-146801.45999999996</v>
      </c>
      <c r="HN87" s="634">
        <f t="shared" si="305"/>
        <v>1.2025294685723746</v>
      </c>
      <c r="HO87" s="634"/>
      <c r="HP87" s="563"/>
      <c r="HQ87" s="47"/>
      <c r="HR87" s="563"/>
      <c r="HS87" s="563">
        <f>SUM(Tableau6[[#This Row],[GO]:[CARRELAGE]])</f>
        <v>0</v>
      </c>
      <c r="HT87" s="461"/>
      <c r="HU87" s="461"/>
      <c r="HV87" s="461"/>
      <c r="HW87" s="461"/>
      <c r="HX87" s="461"/>
      <c r="HY87" s="461"/>
      <c r="HZ87" s="461"/>
      <c r="IA87" s="461"/>
      <c r="IB87" s="461"/>
      <c r="IC87" s="461"/>
      <c r="ID87" s="461"/>
      <c r="IE87" s="461"/>
      <c r="IF87" s="461"/>
      <c r="IG87" s="563"/>
      <c r="IH87" s="563"/>
      <c r="II87" s="563">
        <f>HP87+HR87+Tableau6[[#This Row],[TRAVAUX BATIS]]+Tableau6[[#This Row],[HONORAIRES]]+IH87</f>
        <v>0</v>
      </c>
      <c r="IJ87" s="654">
        <f>Tableau6[[#This Row],[TOTAL PRP HT]]-Tableau6[[#This Row],[PRP TTC HORS FRAFU]]/1.021</f>
        <v>-5161936.3686327012</v>
      </c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</row>
    <row r="88" spans="1:256" ht="20.149999999999999" customHeight="1">
      <c r="A88" s="477" t="s">
        <v>252</v>
      </c>
      <c r="B88" s="22" t="s">
        <v>21</v>
      </c>
      <c r="C88" s="22" t="s">
        <v>86</v>
      </c>
      <c r="D88" s="22">
        <v>2016</v>
      </c>
      <c r="E88" s="22" t="s">
        <v>184</v>
      </c>
      <c r="F88" s="22" t="s">
        <v>113</v>
      </c>
      <c r="G88" s="157"/>
      <c r="H88" s="57"/>
      <c r="I88" s="22"/>
      <c r="J88" s="22"/>
      <c r="K88" s="134" t="s">
        <v>419</v>
      </c>
      <c r="L88" s="81" t="s">
        <v>196</v>
      </c>
      <c r="M88" s="82" t="s">
        <v>114</v>
      </c>
      <c r="N88" s="83"/>
      <c r="O88" s="103">
        <v>8838</v>
      </c>
      <c r="P88" s="103">
        <v>652080</v>
      </c>
      <c r="Q88" s="103">
        <f>P88</f>
        <v>652080</v>
      </c>
      <c r="R88" s="103">
        <f>P88/89</f>
        <v>7326.7415730337079</v>
      </c>
      <c r="S88" s="103">
        <f t="shared" si="306"/>
        <v>73.78139850644942</v>
      </c>
      <c r="T88" s="109">
        <f t="shared" si="307"/>
        <v>73.78139850644942</v>
      </c>
      <c r="U88" s="109">
        <f t="shared" si="308"/>
        <v>130.6752597152751</v>
      </c>
      <c r="V88" s="109">
        <f t="shared" si="309"/>
        <v>9450.434782608696</v>
      </c>
      <c r="W88" s="103">
        <f t="shared" si="310"/>
        <v>128.08695652173913</v>
      </c>
      <c r="X88" s="104"/>
      <c r="Y88" s="444">
        <f t="shared" si="261"/>
        <v>78.071961982348952</v>
      </c>
      <c r="Z88" s="104" t="s">
        <v>142</v>
      </c>
      <c r="AA88" s="104">
        <v>630</v>
      </c>
      <c r="AB88" s="105">
        <v>0</v>
      </c>
      <c r="AC88" s="23" t="s">
        <v>10</v>
      </c>
      <c r="AD88" s="426">
        <f t="shared" si="262"/>
        <v>69</v>
      </c>
      <c r="AE88" s="426">
        <f t="shared" si="263"/>
        <v>69</v>
      </c>
      <c r="AF88" s="32"/>
      <c r="AG88" s="22">
        <v>69</v>
      </c>
      <c r="AH88" s="32"/>
      <c r="AI88" s="32"/>
      <c r="AJ88" s="614">
        <v>4096.6099999999997</v>
      </c>
      <c r="AK88" s="222">
        <v>4990.08</v>
      </c>
      <c r="AL88" s="492">
        <f t="shared" si="264"/>
        <v>59.37115942028985</v>
      </c>
      <c r="AM88" s="4">
        <f t="shared" si="265"/>
        <v>72.319999999999993</v>
      </c>
      <c r="AN88" s="26">
        <v>6.59</v>
      </c>
      <c r="AO88" s="26">
        <v>5.41</v>
      </c>
      <c r="AP88" s="26">
        <v>428.50409507760696</v>
      </c>
      <c r="AQ88" s="39">
        <f>12/AD88</f>
        <v>0.17391304347826086</v>
      </c>
      <c r="AR88" s="39">
        <f>29/AD88</f>
        <v>0.42028985507246375</v>
      </c>
      <c r="AS88" s="39">
        <f>28/AD88</f>
        <v>0.40579710144927539</v>
      </c>
      <c r="AT88" s="39">
        <v>0</v>
      </c>
      <c r="AU88" s="39">
        <v>0</v>
      </c>
      <c r="AV88" s="26"/>
      <c r="AW88" s="37" t="s">
        <v>129</v>
      </c>
      <c r="AX88" s="39">
        <v>0</v>
      </c>
      <c r="AY88" s="26">
        <v>4</v>
      </c>
      <c r="AZ88" s="25" t="s">
        <v>386</v>
      </c>
      <c r="BA88" s="22" t="s">
        <v>94</v>
      </c>
      <c r="BB88" s="22"/>
      <c r="BC88" s="22"/>
      <c r="BD88" s="22"/>
      <c r="BE88" s="22"/>
      <c r="BF88" s="122">
        <v>42031</v>
      </c>
      <c r="BG88" s="122"/>
      <c r="BH88" s="122">
        <v>42475</v>
      </c>
      <c r="BI88" s="122"/>
      <c r="BJ88" s="548">
        <v>42459</v>
      </c>
      <c r="BK88" s="548">
        <v>42462</v>
      </c>
      <c r="BL88" s="549">
        <v>42510</v>
      </c>
      <c r="BM88" s="547">
        <f t="shared" si="266"/>
        <v>0.1</v>
      </c>
      <c r="BN88" s="490" t="s">
        <v>229</v>
      </c>
      <c r="BO88" s="77">
        <v>42899</v>
      </c>
      <c r="BP88" s="100">
        <v>42929</v>
      </c>
      <c r="BQ88" s="537">
        <f t="shared" si="247"/>
        <v>1</v>
      </c>
      <c r="BR88" s="529">
        <v>66463</v>
      </c>
      <c r="BS88" s="77">
        <v>43013</v>
      </c>
      <c r="BT88" s="77"/>
      <c r="BU88" s="151">
        <v>42948</v>
      </c>
      <c r="BV88" s="150">
        <f t="shared" si="267"/>
        <v>44044</v>
      </c>
      <c r="BW88" s="373">
        <f>17610.41+217516</f>
        <v>235126.41</v>
      </c>
      <c r="BX88" s="150" t="str">
        <f>IF(Tableau6[[#This Row],[Montant des loyers perçus avant 1e échéance]]&lt;BW88,"oui","non")</f>
        <v>non</v>
      </c>
      <c r="BY88" s="475">
        <f t="shared" si="311"/>
        <v>-1.2333333333333334</v>
      </c>
      <c r="BZ88" s="373" t="str">
        <f t="shared" si="312"/>
        <v>0</v>
      </c>
      <c r="CA88" s="373">
        <f>IF(BW88-BZ88&lt;0,0,Tableau6[[#This Row],[Montant échéance annuelle]]-Tableau6[[#This Row],[Montant des loyers perçus avant 1e échéance]])</f>
        <v>235126.41</v>
      </c>
      <c r="CB88" s="64"/>
      <c r="CC88" s="57"/>
      <c r="CD88" s="57"/>
      <c r="CE88" s="273" t="str">
        <f t="shared" si="253"/>
        <v>0</v>
      </c>
      <c r="CF88" s="64"/>
      <c r="CG88" s="64"/>
      <c r="CH88" s="273" t="str">
        <f t="shared" si="254"/>
        <v>0</v>
      </c>
      <c r="CI88" s="66"/>
      <c r="CJ88" s="64"/>
      <c r="CK88" s="273" t="str">
        <f t="shared" si="255"/>
        <v>0</v>
      </c>
      <c r="CL88" s="66"/>
      <c r="CM88" s="64"/>
      <c r="CN88" s="273" t="str">
        <f t="shared" si="256"/>
        <v>0</v>
      </c>
      <c r="CO88" s="66"/>
      <c r="CP88" s="311"/>
      <c r="CQ88" s="273" t="str">
        <f t="shared" si="268"/>
        <v>0</v>
      </c>
      <c r="CR88" s="237"/>
      <c r="CS88" s="117"/>
      <c r="CT88" s="64"/>
      <c r="CU88" s="117"/>
      <c r="CV88" s="273"/>
      <c r="CW88" s="95"/>
      <c r="CX88" s="229">
        <v>43129</v>
      </c>
      <c r="CY88" s="230">
        <v>2018</v>
      </c>
      <c r="CZ88" s="235">
        <f t="shared" si="243"/>
        <v>22.233333333333334</v>
      </c>
      <c r="DA88" s="273" t="str">
        <f t="shared" si="269"/>
        <v>0</v>
      </c>
      <c r="DB88" s="133">
        <v>21</v>
      </c>
      <c r="DC88" s="59">
        <f t="shared" si="270"/>
        <v>29</v>
      </c>
      <c r="DD88" s="159">
        <v>43250</v>
      </c>
      <c r="DE88" s="159">
        <v>43294</v>
      </c>
      <c r="DF88" s="381">
        <f t="shared" si="271"/>
        <v>44</v>
      </c>
      <c r="DG88" s="159">
        <v>43315</v>
      </c>
      <c r="DH88" s="336">
        <v>43446</v>
      </c>
      <c r="DI88" s="337">
        <f t="shared" si="272"/>
        <v>131</v>
      </c>
      <c r="DJ88" s="64">
        <v>43529</v>
      </c>
      <c r="DK88" s="309">
        <f t="shared" ca="1" si="320"/>
        <v>43998</v>
      </c>
      <c r="DL88" s="294">
        <f t="shared" ca="1" si="273"/>
        <v>469</v>
      </c>
      <c r="DM88" s="64">
        <v>43615</v>
      </c>
      <c r="DN88" s="64">
        <v>43818</v>
      </c>
      <c r="DO88" s="294">
        <f t="shared" si="274"/>
        <v>203</v>
      </c>
      <c r="DP88" s="56">
        <v>43623</v>
      </c>
      <c r="DQ88" s="64">
        <v>43703</v>
      </c>
      <c r="DR88" s="273">
        <f t="shared" si="275"/>
        <v>80</v>
      </c>
      <c r="DS88" s="282">
        <v>43602</v>
      </c>
      <c r="DT88" s="282">
        <f t="shared" ca="1" si="318"/>
        <v>43998</v>
      </c>
      <c r="DU88" s="279">
        <f t="shared" ca="1" si="276"/>
        <v>396</v>
      </c>
      <c r="DV88" s="282">
        <v>43647</v>
      </c>
      <c r="DW88" s="282">
        <v>43739</v>
      </c>
      <c r="DX88" s="279">
        <f t="shared" si="277"/>
        <v>92</v>
      </c>
      <c r="DY88" s="283"/>
      <c r="DZ88" s="283"/>
      <c r="EA88" s="283"/>
      <c r="EB88" s="410">
        <f t="shared" si="259"/>
        <v>43767</v>
      </c>
      <c r="EC88" s="409">
        <v>44020</v>
      </c>
      <c r="ED88" s="406">
        <f t="shared" si="278"/>
        <v>8.4333333333333336</v>
      </c>
      <c r="EE88" s="758">
        <f t="shared" ca="1" si="257"/>
        <v>0.73333333333333328</v>
      </c>
      <c r="EF88" s="409">
        <f t="shared" si="304"/>
        <v>44177</v>
      </c>
      <c r="EG88" s="457"/>
      <c r="EH88" s="160">
        <v>43788</v>
      </c>
      <c r="EI88" s="223"/>
      <c r="EJ88" s="242"/>
      <c r="EK88" s="456">
        <f t="shared" si="319"/>
        <v>43798</v>
      </c>
      <c r="EL88" s="409">
        <v>44081</v>
      </c>
      <c r="EM88" s="314"/>
      <c r="EN88" s="404">
        <f t="shared" si="313"/>
        <v>9.4333333333333336</v>
      </c>
      <c r="EO88" s="395">
        <v>25392.626856423114</v>
      </c>
      <c r="EP88" s="29">
        <f t="shared" si="279"/>
        <v>239537.11334559138</v>
      </c>
      <c r="EQ88" s="625">
        <f>EO88*3</f>
        <v>76177.880569269342</v>
      </c>
      <c r="ER88" s="625"/>
      <c r="ES88" s="740"/>
      <c r="ET88" s="300">
        <v>0</v>
      </c>
      <c r="EU88" s="300">
        <v>0</v>
      </c>
      <c r="EV88" s="300"/>
      <c r="EW88" s="300"/>
      <c r="EX88" s="300">
        <v>0</v>
      </c>
      <c r="EY88" s="416">
        <f t="shared" si="258"/>
        <v>0</v>
      </c>
      <c r="EZ88" s="297"/>
      <c r="FA88" s="308"/>
      <c r="FB88" s="462"/>
      <c r="FC88" s="297"/>
      <c r="FD88" s="89">
        <f t="shared" si="241"/>
        <v>44177</v>
      </c>
      <c r="FE88" s="63"/>
      <c r="FF88" s="63"/>
      <c r="FG88" s="63"/>
      <c r="FH88" s="63"/>
      <c r="FI88" s="63"/>
      <c r="FJ88" s="22"/>
      <c r="FK88" s="146">
        <f t="shared" si="300"/>
        <v>44385</v>
      </c>
      <c r="FL88" s="146"/>
      <c r="FM88" s="146"/>
      <c r="FN88" s="22"/>
      <c r="FO88" s="22"/>
      <c r="FP88" s="22"/>
      <c r="FQ88" s="22"/>
      <c r="FR88" s="22"/>
      <c r="FS88" s="22"/>
      <c r="FT88" s="22"/>
      <c r="FU88" s="22"/>
      <c r="FV88" s="22"/>
      <c r="FW88" s="22"/>
      <c r="FX88" s="22"/>
      <c r="FY88" s="22"/>
      <c r="FZ88" s="22"/>
      <c r="GA88" s="451"/>
      <c r="GB88" s="471">
        <f>GD88+GG88+GJ88+HF88+Tableau6[[#This Row],[PRÊT CREDIT D''IMPOT (PM)]]</f>
        <v>12205865.052752845</v>
      </c>
      <c r="GC88" s="644">
        <f>GB88</f>
        <v>12205865.052752845</v>
      </c>
      <c r="GD88" s="507">
        <f t="shared" si="297"/>
        <v>846823</v>
      </c>
      <c r="GE88" s="20">
        <f t="shared" si="280"/>
        <v>2446.0259259877289</v>
      </c>
      <c r="GF88" s="20">
        <f t="shared" si="281"/>
        <v>176896.59496743252</v>
      </c>
      <c r="GG88" s="507">
        <v>3079515.0527528455</v>
      </c>
      <c r="GH88" s="351">
        <v>2943082</v>
      </c>
      <c r="GI88" s="20">
        <f t="shared" si="314"/>
        <v>44630.652938447034</v>
      </c>
      <c r="GJ88" s="507">
        <f t="shared" si="282"/>
        <v>5336445</v>
      </c>
      <c r="GK88" s="5">
        <f t="shared" si="315"/>
        <v>5336445</v>
      </c>
      <c r="GL88" s="630">
        <v>746372</v>
      </c>
      <c r="GM88" s="630">
        <v>4590073</v>
      </c>
      <c r="GN88" s="345">
        <f t="shared" si="283"/>
        <v>77339.782608695648</v>
      </c>
      <c r="GO88" s="35"/>
      <c r="GP88" s="35">
        <v>700000</v>
      </c>
      <c r="GQ88" s="35"/>
      <c r="GR88" s="18">
        <f t="shared" si="284"/>
        <v>5.7349478875495657E-2</v>
      </c>
      <c r="GS88" s="45"/>
      <c r="GT88" s="45"/>
      <c r="GU88" s="35">
        <v>146823</v>
      </c>
      <c r="GV88" s="20">
        <f t="shared" si="248"/>
        <v>10144.927536231884</v>
      </c>
      <c r="GW88" s="20">
        <f t="shared" si="249"/>
        <v>54775.580474678922</v>
      </c>
      <c r="GX88" s="569">
        <v>0</v>
      </c>
      <c r="GY88" s="569">
        <v>0</v>
      </c>
      <c r="GZ88" s="569">
        <f t="shared" si="316"/>
        <v>54775.580474678922</v>
      </c>
      <c r="HA88" s="569">
        <v>0</v>
      </c>
      <c r="HB88" s="569">
        <f t="shared" si="250"/>
        <v>54775.580474678922</v>
      </c>
      <c r="HC88" s="568">
        <f t="shared" si="317"/>
        <v>0.30964745525352455</v>
      </c>
      <c r="HD88" s="569">
        <v>0</v>
      </c>
      <c r="HE88" s="569"/>
      <c r="HF88" s="507">
        <f>EU88</f>
        <v>0</v>
      </c>
      <c r="HG88" s="637">
        <v>5343428.7862384301</v>
      </c>
      <c r="HH88" s="634">
        <f t="shared" si="285"/>
        <v>0.43777550899870893</v>
      </c>
      <c r="HI88" s="635">
        <f t="shared" si="251"/>
        <v>6862436.2665144149</v>
      </c>
      <c r="HJ88" s="633" t="e">
        <f t="shared" ca="1" si="299"/>
        <v>#VALUE!</v>
      </c>
      <c r="HK88" s="634" t="e">
        <f ca="1">(HJ88+HG88)/GB88</f>
        <v>#VALUE!</v>
      </c>
      <c r="HL88" s="633"/>
      <c r="HM88" s="633"/>
      <c r="HN88" s="634">
        <f t="shared" si="305"/>
        <v>0</v>
      </c>
      <c r="HO88" s="634"/>
      <c r="HP88" s="563"/>
      <c r="HQ88" s="47"/>
      <c r="HR88" s="563"/>
      <c r="HS88" s="563">
        <f>SUM(Tableau6[[#This Row],[GO]:[CARRELAGE]])</f>
        <v>0</v>
      </c>
      <c r="HT88" s="461"/>
      <c r="HU88" s="461"/>
      <c r="HV88" s="461"/>
      <c r="HW88" s="461"/>
      <c r="HX88" s="461"/>
      <c r="HY88" s="461"/>
      <c r="HZ88" s="461"/>
      <c r="IA88" s="461"/>
      <c r="IB88" s="461"/>
      <c r="IC88" s="461"/>
      <c r="ID88" s="461"/>
      <c r="IE88" s="461"/>
      <c r="IF88" s="461"/>
      <c r="IG88" s="563"/>
      <c r="IH88" s="563"/>
      <c r="II88" s="563">
        <f>HP88+HR88+Tableau6[[#This Row],[TRAVAUX BATIS]]+Tableau6[[#This Row],[HONORAIRES]]+IH88</f>
        <v>0</v>
      </c>
      <c r="IJ88" s="654">
        <f>Tableau6[[#This Row],[TOTAL PRP HT]]-Tableau6[[#This Row],[PRP TTC HORS FRAFU]]/1.021</f>
        <v>-11954813.95960122</v>
      </c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</row>
    <row r="89" spans="1:256" ht="27" customHeight="1">
      <c r="A89" s="477" t="s">
        <v>731</v>
      </c>
      <c r="B89" s="22" t="s">
        <v>14</v>
      </c>
      <c r="C89" s="22" t="s">
        <v>86</v>
      </c>
      <c r="D89" s="22">
        <v>2016</v>
      </c>
      <c r="E89" s="22" t="s">
        <v>195</v>
      </c>
      <c r="F89" s="22" t="s">
        <v>16</v>
      </c>
      <c r="G89" s="22" t="s">
        <v>137</v>
      </c>
      <c r="H89" s="22" t="s">
        <v>134</v>
      </c>
      <c r="I89" s="22"/>
      <c r="J89" s="22" t="s">
        <v>249</v>
      </c>
      <c r="K89" s="134" t="s">
        <v>581</v>
      </c>
      <c r="L89" s="81"/>
      <c r="M89" s="82"/>
      <c r="N89" s="83"/>
      <c r="O89" s="103">
        <v>2872</v>
      </c>
      <c r="P89" s="103">
        <v>516960</v>
      </c>
      <c r="Q89" s="103">
        <f>P89</f>
        <v>516960</v>
      </c>
      <c r="R89" s="103">
        <f>P89/AD89</f>
        <v>12924</v>
      </c>
      <c r="S89" s="103">
        <f t="shared" si="306"/>
        <v>180</v>
      </c>
      <c r="T89" s="109">
        <f t="shared" si="307"/>
        <v>180</v>
      </c>
      <c r="U89" s="109">
        <f t="shared" si="308"/>
        <v>220.70237454852838</v>
      </c>
      <c r="V89" s="109">
        <f t="shared" si="309"/>
        <v>12924</v>
      </c>
      <c r="W89" s="103">
        <f t="shared" si="310"/>
        <v>71.8</v>
      </c>
      <c r="X89" s="104"/>
      <c r="Y89" s="447">
        <f t="shared" si="261"/>
        <v>139.27576601671308</v>
      </c>
      <c r="Z89" s="104"/>
      <c r="AA89" s="104"/>
      <c r="AB89" s="105"/>
      <c r="AC89" s="22" t="s">
        <v>10</v>
      </c>
      <c r="AD89" s="426">
        <f t="shared" si="262"/>
        <v>40</v>
      </c>
      <c r="AE89" s="426">
        <f t="shared" si="263"/>
        <v>40</v>
      </c>
      <c r="AF89" s="32"/>
      <c r="AG89" s="22">
        <v>40</v>
      </c>
      <c r="AH89" s="32"/>
      <c r="AI89" s="32"/>
      <c r="AJ89" s="614">
        <v>2318.6500000000005</v>
      </c>
      <c r="AK89" s="222">
        <v>2342.34</v>
      </c>
      <c r="AL89" s="492">
        <f t="shared" si="264"/>
        <v>57.966250000000016</v>
      </c>
      <c r="AM89" s="4">
        <f t="shared" si="265"/>
        <v>58.558500000000002</v>
      </c>
      <c r="AN89" s="26">
        <v>5.85</v>
      </c>
      <c r="AO89" s="26">
        <v>5.79</v>
      </c>
      <c r="AP89" s="26">
        <v>339.25</v>
      </c>
      <c r="AQ89" s="39"/>
      <c r="AR89" s="39">
        <f>37/AD89</f>
        <v>0.92500000000000004</v>
      </c>
      <c r="AS89" s="39">
        <f>2/AD89</f>
        <v>0.05</v>
      </c>
      <c r="AT89" s="39">
        <f>1/AD89</f>
        <v>2.5000000000000001E-2</v>
      </c>
      <c r="AU89" s="39"/>
      <c r="AV89" s="26"/>
      <c r="AW89" s="37"/>
      <c r="AX89" s="39"/>
      <c r="AY89" s="26">
        <v>3</v>
      </c>
      <c r="AZ89" s="25" t="s">
        <v>386</v>
      </c>
      <c r="BA89" s="22" t="s">
        <v>95</v>
      </c>
      <c r="BB89" s="22"/>
      <c r="BC89" s="22"/>
      <c r="BD89" s="22"/>
      <c r="BE89" s="22"/>
      <c r="BF89" s="122">
        <v>42314</v>
      </c>
      <c r="BG89" s="122"/>
      <c r="BH89" s="122">
        <v>42475</v>
      </c>
      <c r="BI89" s="122"/>
      <c r="BJ89" s="548">
        <v>42459</v>
      </c>
      <c r="BK89" s="548">
        <v>42629</v>
      </c>
      <c r="BL89" s="549">
        <v>42657</v>
      </c>
      <c r="BM89" s="547">
        <f t="shared" si="266"/>
        <v>5.666666666666667</v>
      </c>
      <c r="BN89" s="490" t="s">
        <v>229</v>
      </c>
      <c r="BO89" s="77">
        <v>43241</v>
      </c>
      <c r="BP89" s="100">
        <v>43368</v>
      </c>
      <c r="BQ89" s="536">
        <f t="shared" si="247"/>
        <v>4.2333333333333334</v>
      </c>
      <c r="BR89" s="529">
        <v>87781</v>
      </c>
      <c r="BS89" s="77">
        <v>43440</v>
      </c>
      <c r="BT89" s="77"/>
      <c r="BU89" s="151">
        <v>43466</v>
      </c>
      <c r="BV89" s="150">
        <f t="shared" si="267"/>
        <v>44562</v>
      </c>
      <c r="BW89" s="373">
        <f>14168+62195</f>
        <v>76363</v>
      </c>
      <c r="BX89" s="150" t="str">
        <f>IF(Tableau6[[#This Row],[Montant des loyers perçus avant 1e échéance]]&lt;BW89,"oui","non")</f>
        <v>non</v>
      </c>
      <c r="BY89" s="475">
        <f t="shared" si="311"/>
        <v>6.166666666666667</v>
      </c>
      <c r="BZ89" s="373">
        <f t="shared" si="312"/>
        <v>83780.333333333343</v>
      </c>
      <c r="CA89" s="373">
        <f>IF(BW89-BZ89&lt;0,0,Tableau6[[#This Row],[Montant échéance annuelle]]-Tableau6[[#This Row],[Montant des loyers perçus avant 1e échéance]])</f>
        <v>0</v>
      </c>
      <c r="CB89" s="64"/>
      <c r="CC89" s="64"/>
      <c r="CD89" s="64"/>
      <c r="CE89" s="273" t="str">
        <f t="shared" si="253"/>
        <v>0</v>
      </c>
      <c r="CF89" s="64"/>
      <c r="CG89" s="64"/>
      <c r="CH89" s="273" t="str">
        <f t="shared" si="254"/>
        <v>0</v>
      </c>
      <c r="CI89" s="64"/>
      <c r="CJ89" s="64">
        <v>42667</v>
      </c>
      <c r="CK89" s="273" t="str">
        <f t="shared" si="255"/>
        <v>0</v>
      </c>
      <c r="CL89" s="64"/>
      <c r="CM89" s="64">
        <v>42927</v>
      </c>
      <c r="CN89" s="273" t="str">
        <f t="shared" si="256"/>
        <v>0</v>
      </c>
      <c r="CO89" s="64"/>
      <c r="CP89" s="64">
        <v>43222</v>
      </c>
      <c r="CQ89" s="273" t="str">
        <f t="shared" si="268"/>
        <v>0</v>
      </c>
      <c r="CR89" s="237"/>
      <c r="CS89" s="159">
        <v>43619</v>
      </c>
      <c r="CT89" s="159">
        <v>43680</v>
      </c>
      <c r="CU89" s="159">
        <v>43719</v>
      </c>
      <c r="CV89" s="273">
        <f t="shared" ref="CV89:CV98" si="321">IF(AND(CT89&gt;0,CU89&gt;0),CU89-CT89,"0")</f>
        <v>39</v>
      </c>
      <c r="CW89" s="159">
        <v>43693</v>
      </c>
      <c r="CX89" s="229">
        <v>43738</v>
      </c>
      <c r="CY89" s="230">
        <v>2019</v>
      </c>
      <c r="CZ89" s="235">
        <f t="shared" si="243"/>
        <v>36.966666666666669</v>
      </c>
      <c r="DA89" s="381">
        <f t="shared" si="269"/>
        <v>45</v>
      </c>
      <c r="DB89" s="133">
        <v>16</v>
      </c>
      <c r="DC89" s="59">
        <f t="shared" si="270"/>
        <v>20</v>
      </c>
      <c r="DD89" s="159">
        <v>43801</v>
      </c>
      <c r="DE89" s="159">
        <f t="shared" ref="DE89:DE108" ca="1" si="322">IF(DD89&lt;TODAY(),TODAY(),DD89)</f>
        <v>43998</v>
      </c>
      <c r="DF89" s="381">
        <f t="shared" ca="1" si="271"/>
        <v>197</v>
      </c>
      <c r="DG89" s="159">
        <v>43896</v>
      </c>
      <c r="DH89" s="336">
        <v>43902</v>
      </c>
      <c r="DI89" s="337">
        <f t="shared" si="272"/>
        <v>6</v>
      </c>
      <c r="DJ89" s="282">
        <v>44022</v>
      </c>
      <c r="DK89" s="295">
        <f t="shared" ca="1" si="320"/>
        <v>44022</v>
      </c>
      <c r="DL89" s="279">
        <f t="shared" ca="1" si="273"/>
        <v>0</v>
      </c>
      <c r="DM89" s="282">
        <v>44071</v>
      </c>
      <c r="DN89" s="282">
        <f t="shared" ref="DN89:DN120" ca="1" si="323">IF(DM89&lt;TODAY(),TODAY(),DM89)</f>
        <v>44071</v>
      </c>
      <c r="DO89" s="279">
        <f t="shared" ca="1" si="274"/>
        <v>0</v>
      </c>
      <c r="DP89" s="358">
        <v>44064</v>
      </c>
      <c r="DQ89" s="283"/>
      <c r="DR89" s="279" t="str">
        <f t="shared" si="275"/>
        <v>0</v>
      </c>
      <c r="DS89" s="282">
        <v>44113</v>
      </c>
      <c r="DT89" s="282">
        <f t="shared" ca="1" si="318"/>
        <v>44113</v>
      </c>
      <c r="DU89" s="279">
        <f t="shared" ca="1" si="276"/>
        <v>0</v>
      </c>
      <c r="DV89" s="282">
        <v>44099</v>
      </c>
      <c r="DW89" s="282">
        <f t="shared" ref="DW89:DW129" ca="1" si="324">IF(DV89&lt;TODAY(),TODAY(),DV89)</f>
        <v>44099</v>
      </c>
      <c r="DX89" s="279">
        <f t="shared" ca="1" si="277"/>
        <v>0</v>
      </c>
      <c r="DY89" s="282">
        <v>44113</v>
      </c>
      <c r="DZ89" s="282">
        <v>44113</v>
      </c>
      <c r="EA89" s="282">
        <v>44169</v>
      </c>
      <c r="EB89" s="410">
        <f t="shared" si="259"/>
        <v>44226</v>
      </c>
      <c r="EC89" s="409">
        <f>DATE(YEAR(EB89),MONTH(EB89)+4,DAY(EB89))</f>
        <v>44346</v>
      </c>
      <c r="ED89" s="406">
        <f t="shared" si="278"/>
        <v>4</v>
      </c>
      <c r="EE89" s="505">
        <f t="shared" ca="1" si="257"/>
        <v>11.6</v>
      </c>
      <c r="EF89" s="409">
        <f t="shared" si="304"/>
        <v>44632</v>
      </c>
      <c r="EG89" s="457"/>
      <c r="EH89" s="448"/>
      <c r="EI89" s="458"/>
      <c r="EJ89" s="242"/>
      <c r="EK89" s="456">
        <f t="shared" si="319"/>
        <v>44257</v>
      </c>
      <c r="EL89" s="409">
        <f>DATE(YEAR(EC89),MONTH(EC89)+1,DAY(EC89))</f>
        <v>44377</v>
      </c>
      <c r="EM89" s="314"/>
      <c r="EN89" s="404">
        <f t="shared" si="313"/>
        <v>4</v>
      </c>
      <c r="EO89" s="394">
        <v>13586</v>
      </c>
      <c r="EP89" s="131">
        <f t="shared" si="279"/>
        <v>54344</v>
      </c>
      <c r="EQ89" s="625">
        <f>EO89*3</f>
        <v>40758</v>
      </c>
      <c r="ER89" s="625"/>
      <c r="ES89" s="740"/>
      <c r="ET89" s="300">
        <v>0</v>
      </c>
      <c r="EU89" s="300">
        <v>0</v>
      </c>
      <c r="EV89" s="300"/>
      <c r="EW89" s="300"/>
      <c r="EX89" s="300"/>
      <c r="EY89" s="416">
        <f t="shared" si="258"/>
        <v>0</v>
      </c>
      <c r="EZ89" s="297"/>
      <c r="FA89" s="308"/>
      <c r="FB89" s="308" t="s">
        <v>896</v>
      </c>
      <c r="FC89" s="297" t="s">
        <v>784</v>
      </c>
      <c r="FD89" s="89">
        <f t="shared" ref="FD89:FD108" si="325">DATE(YEAR(DH89),MONTH(DH89)+24,DAY(DH89))</f>
        <v>44632</v>
      </c>
      <c r="FE89" s="63"/>
      <c r="FF89" s="63"/>
      <c r="FG89" s="63"/>
      <c r="FH89" s="63"/>
      <c r="FI89" s="63"/>
      <c r="FJ89" s="22"/>
      <c r="FK89" s="146">
        <f t="shared" si="300"/>
        <v>44711</v>
      </c>
      <c r="FL89" s="146"/>
      <c r="FM89" s="146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2"/>
      <c r="GA89" s="451"/>
      <c r="GB89" s="471">
        <f>GD89+GG89+GJ89+HF89+Tableau6[[#This Row],[PRÊT CREDIT D''IMPOT (PM)]]</f>
        <v>6829675.4231634298</v>
      </c>
      <c r="GC89" s="644">
        <f>GB89</f>
        <v>6829675.4231634298</v>
      </c>
      <c r="GD89" s="507">
        <f t="shared" si="297"/>
        <v>823733</v>
      </c>
      <c r="GE89" s="20">
        <f t="shared" si="280"/>
        <v>2915.7489617918104</v>
      </c>
      <c r="GF89" s="20">
        <f t="shared" si="281"/>
        <v>170741.88557908573</v>
      </c>
      <c r="GG89" s="507">
        <v>1623885.5631634293</v>
      </c>
      <c r="GH89" s="351">
        <v>1627589.86</v>
      </c>
      <c r="GI89" s="20">
        <f t="shared" si="314"/>
        <v>40597.139079085733</v>
      </c>
      <c r="GJ89" s="507">
        <f t="shared" si="282"/>
        <v>2754467</v>
      </c>
      <c r="GK89" s="5">
        <f t="shared" si="315"/>
        <v>2754467</v>
      </c>
      <c r="GL89" s="44">
        <v>600494</v>
      </c>
      <c r="GM89" s="44">
        <v>2153973</v>
      </c>
      <c r="GN89" s="345">
        <f t="shared" si="283"/>
        <v>68861.675000000003</v>
      </c>
      <c r="GO89" s="35"/>
      <c r="GP89" s="35">
        <v>800000</v>
      </c>
      <c r="GQ89" s="35"/>
      <c r="GR89" s="18">
        <f t="shared" si="284"/>
        <v>0.11713587402510102</v>
      </c>
      <c r="GS89" s="45"/>
      <c r="GT89" s="45"/>
      <c r="GU89" s="35">
        <v>23733</v>
      </c>
      <c r="GV89" s="20">
        <f t="shared" si="248"/>
        <v>20000</v>
      </c>
      <c r="GW89" s="20">
        <f t="shared" si="249"/>
        <v>60597.13907908574</v>
      </c>
      <c r="GX89" s="569"/>
      <c r="GY89" s="569"/>
      <c r="GZ89" s="567">
        <f t="shared" si="316"/>
        <v>60597.13907908574</v>
      </c>
      <c r="HA89" s="569"/>
      <c r="HB89" s="569">
        <f t="shared" si="250"/>
        <v>60597.13907908574</v>
      </c>
      <c r="HC89" s="568">
        <f t="shared" si="317"/>
        <v>0.35490494247246562</v>
      </c>
      <c r="HD89" s="569"/>
      <c r="HE89" s="569"/>
      <c r="HF89" s="507">
        <f>EU89</f>
        <v>0</v>
      </c>
      <c r="HG89" s="637">
        <v>311951</v>
      </c>
      <c r="HH89" s="634">
        <f t="shared" si="285"/>
        <v>4.5675816297505362E-2</v>
      </c>
      <c r="HI89" s="633">
        <f t="shared" si="251"/>
        <v>6517724.4231634298</v>
      </c>
      <c r="HJ89" s="633" t="e">
        <f t="shared" ca="1" si="299"/>
        <v>#VALUE!</v>
      </c>
      <c r="HK89" s="634" t="e">
        <f ca="1">(HJ89+HG89)/GB89</f>
        <v>#VALUE!</v>
      </c>
      <c r="HL89" s="633">
        <f>'[1]GLOBAL OPERATION'!$AG$85</f>
        <v>493780</v>
      </c>
      <c r="HM89" s="633">
        <f>GD89-HL89</f>
        <v>329953</v>
      </c>
      <c r="HN89" s="634">
        <f t="shared" si="305"/>
        <v>0.59944180942125669</v>
      </c>
      <c r="HO89" s="634" t="s">
        <v>749</v>
      </c>
      <c r="HP89" s="563"/>
      <c r="HQ89" s="47"/>
      <c r="HR89" s="563"/>
      <c r="HS89" s="563">
        <f>SUM(Tableau6[[#This Row],[GO]:[CARRELAGE]])</f>
        <v>0</v>
      </c>
      <c r="HT89" s="461"/>
      <c r="HU89" s="461"/>
      <c r="HV89" s="461"/>
      <c r="HW89" s="461"/>
      <c r="HX89" s="461"/>
      <c r="HY89" s="461"/>
      <c r="HZ89" s="461"/>
      <c r="IA89" s="461"/>
      <c r="IB89" s="461"/>
      <c r="IC89" s="461"/>
      <c r="ID89" s="461"/>
      <c r="IE89" s="461"/>
      <c r="IF89" s="461"/>
      <c r="IG89" s="563"/>
      <c r="IH89" s="563"/>
      <c r="II89" s="563">
        <f>HP89+HR89+Tableau6[[#This Row],[TRAVAUX BATIS]]+Tableau6[[#This Row],[HONORAIRES]]+IH89</f>
        <v>0</v>
      </c>
      <c r="IJ89" s="654">
        <f>Tableau6[[#This Row],[TOTAL PRP HT]]-Tableau6[[#This Row],[PRP TTC HORS FRAFU]]/1.021</f>
        <v>-6689202.1774372486</v>
      </c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</row>
    <row r="90" spans="1:256" ht="28.5" customHeight="1">
      <c r="A90" s="43" t="s">
        <v>866</v>
      </c>
      <c r="B90" s="22" t="s">
        <v>21</v>
      </c>
      <c r="C90" s="22" t="s">
        <v>86</v>
      </c>
      <c r="D90" s="22">
        <v>2019</v>
      </c>
      <c r="E90" s="22" t="s">
        <v>669</v>
      </c>
      <c r="F90" s="22" t="s">
        <v>16</v>
      </c>
      <c r="G90" s="22" t="s">
        <v>860</v>
      </c>
      <c r="H90" s="22" t="s">
        <v>136</v>
      </c>
      <c r="I90" s="22"/>
      <c r="J90" s="22" t="s">
        <v>591</v>
      </c>
      <c r="K90" s="134"/>
      <c r="L90" s="81"/>
      <c r="M90" s="82"/>
      <c r="N90" s="83"/>
      <c r="O90" s="103">
        <v>1048</v>
      </c>
      <c r="P90" s="103"/>
      <c r="Q90" s="103"/>
      <c r="R90" s="103">
        <f>P90/AD90</f>
        <v>0</v>
      </c>
      <c r="S90" s="103">
        <f t="shared" si="306"/>
        <v>0</v>
      </c>
      <c r="T90" s="109">
        <f t="shared" si="307"/>
        <v>0</v>
      </c>
      <c r="U90" s="109">
        <f t="shared" si="308"/>
        <v>0</v>
      </c>
      <c r="V90" s="109">
        <f t="shared" si="309"/>
        <v>0</v>
      </c>
      <c r="W90" s="103">
        <f t="shared" si="310"/>
        <v>47.636363636363633</v>
      </c>
      <c r="X90" s="104"/>
      <c r="Y90" s="447">
        <f t="shared" si="261"/>
        <v>209.92366412213741</v>
      </c>
      <c r="Z90" s="104" t="s">
        <v>159</v>
      </c>
      <c r="AA90" s="104">
        <v>520</v>
      </c>
      <c r="AB90" s="105"/>
      <c r="AC90" s="23" t="s">
        <v>9</v>
      </c>
      <c r="AD90" s="426">
        <f t="shared" si="262"/>
        <v>22</v>
      </c>
      <c r="AE90" s="426">
        <f t="shared" si="263"/>
        <v>22</v>
      </c>
      <c r="AF90" s="22">
        <v>22</v>
      </c>
      <c r="AG90" s="32"/>
      <c r="AH90" s="32"/>
      <c r="AI90" s="32"/>
      <c r="AJ90" s="615">
        <v>1604.27</v>
      </c>
      <c r="AK90" s="222">
        <v>1879.27</v>
      </c>
      <c r="AL90" s="492">
        <f t="shared" si="264"/>
        <v>72.921363636363637</v>
      </c>
      <c r="AM90" s="4">
        <f t="shared" si="265"/>
        <v>85.421363636363637</v>
      </c>
      <c r="AN90" s="26"/>
      <c r="AO90" s="26"/>
      <c r="AP90" s="26"/>
      <c r="AQ90" s="39"/>
      <c r="AR90" s="39"/>
      <c r="AS90" s="39">
        <f>14/AD90</f>
        <v>0.63636363636363635</v>
      </c>
      <c r="AT90" s="39">
        <f>8/AD90</f>
        <v>0.36363636363636365</v>
      </c>
      <c r="AU90" s="39"/>
      <c r="AV90" s="26"/>
      <c r="AW90" s="37" t="s">
        <v>129</v>
      </c>
      <c r="AX90" s="37" t="s">
        <v>129</v>
      </c>
      <c r="AY90" s="26">
        <v>5</v>
      </c>
      <c r="AZ90" s="22" t="s">
        <v>386</v>
      </c>
      <c r="BA90" s="22" t="s">
        <v>94</v>
      </c>
      <c r="BB90" s="118">
        <v>3818851.9754001913</v>
      </c>
      <c r="BC90" s="437">
        <f>BB90/AJ90</f>
        <v>2380.4297128290073</v>
      </c>
      <c r="BD90" s="332">
        <f>BB90/AK90</f>
        <v>2032.0932997388302</v>
      </c>
      <c r="BE90" s="334">
        <f>BB90/AD90</f>
        <v>173584.1807000087</v>
      </c>
      <c r="BF90" s="123">
        <v>43426</v>
      </c>
      <c r="BG90" s="123"/>
      <c r="BH90" s="56">
        <v>43522</v>
      </c>
      <c r="BI90" s="56">
        <v>43713</v>
      </c>
      <c r="BJ90" s="548">
        <v>43543</v>
      </c>
      <c r="BK90" s="548">
        <v>43788</v>
      </c>
      <c r="BL90" s="549"/>
      <c r="BM90" s="547">
        <f t="shared" si="266"/>
        <v>8.1666666666666661</v>
      </c>
      <c r="BN90" s="490" t="s">
        <v>229</v>
      </c>
      <c r="BO90" s="77">
        <v>43803</v>
      </c>
      <c r="BP90" s="100">
        <v>43864</v>
      </c>
      <c r="BQ90" s="536">
        <f t="shared" si="247"/>
        <v>2.0333333333333332</v>
      </c>
      <c r="BR90" s="529">
        <v>106176</v>
      </c>
      <c r="BS90" s="77"/>
      <c r="BT90" s="77">
        <v>43868</v>
      </c>
      <c r="BU90" s="151">
        <v>43891</v>
      </c>
      <c r="BV90" s="150">
        <f t="shared" si="267"/>
        <v>44986</v>
      </c>
      <c r="BW90" s="373">
        <f>106302+9535</f>
        <v>115837</v>
      </c>
      <c r="BX90" s="150" t="str">
        <f>IF(Tableau6[[#This Row],[Montant des loyers perçus avant 1e échéance]]&lt;BW90,"oui","non")</f>
        <v>oui</v>
      </c>
      <c r="BY90" s="475">
        <f t="shared" si="311"/>
        <v>7.4666666666666668</v>
      </c>
      <c r="BZ90" s="373">
        <f t="shared" si="312"/>
        <v>94722.133333333331</v>
      </c>
      <c r="CA90" s="373">
        <f>IF(BW90-BZ90&lt;0,0,Tableau6[[#This Row],[Montant échéance annuelle]]-Tableau6[[#This Row],[Montant des loyers perçus avant 1e échéance]])</f>
        <v>21114.866666666669</v>
      </c>
      <c r="CB90" s="64"/>
      <c r="CC90" s="64"/>
      <c r="CD90" s="64"/>
      <c r="CE90" s="273" t="str">
        <f t="shared" si="253"/>
        <v>0</v>
      </c>
      <c r="CF90" s="64">
        <v>43504</v>
      </c>
      <c r="CG90" s="64">
        <v>43504</v>
      </c>
      <c r="CH90" s="273">
        <f t="shared" si="254"/>
        <v>0</v>
      </c>
      <c r="CI90" s="64"/>
      <c r="CJ90" s="64"/>
      <c r="CK90" s="273" t="str">
        <f t="shared" si="255"/>
        <v>0</v>
      </c>
      <c r="CL90" s="64"/>
      <c r="CM90" s="64"/>
      <c r="CN90" s="273" t="str">
        <f t="shared" si="256"/>
        <v>0</v>
      </c>
      <c r="CO90" s="66"/>
      <c r="CP90" s="64"/>
      <c r="CQ90" s="273" t="str">
        <f t="shared" si="268"/>
        <v>0</v>
      </c>
      <c r="CR90" s="560"/>
      <c r="CS90" s="117"/>
      <c r="CT90" s="277"/>
      <c r="CU90" s="278"/>
      <c r="CV90" s="279" t="str">
        <f t="shared" si="321"/>
        <v>0</v>
      </c>
      <c r="CW90" s="277"/>
      <c r="CX90" s="382">
        <v>44094</v>
      </c>
      <c r="CY90" s="178"/>
      <c r="CZ90" s="231">
        <f t="shared" si="243"/>
        <v>10.199999999999999</v>
      </c>
      <c r="DA90" s="279" t="str">
        <f t="shared" si="269"/>
        <v>0</v>
      </c>
      <c r="DB90" s="383">
        <v>21</v>
      </c>
      <c r="DC90" s="127">
        <f t="shared" si="270"/>
        <v>22</v>
      </c>
      <c r="DD90" s="277"/>
      <c r="DE90" s="282">
        <f t="shared" ca="1" si="322"/>
        <v>43998</v>
      </c>
      <c r="DF90" s="279" t="str">
        <f t="shared" ca="1" si="271"/>
        <v>0</v>
      </c>
      <c r="DG90" s="277"/>
      <c r="DH90" s="295">
        <f t="shared" ref="DH90:DH121" ca="1" si="326">IF(DG90&lt;TODAY(),TODAY(),DG90)</f>
        <v>43998</v>
      </c>
      <c r="DI90" s="280" t="str">
        <f t="shared" ca="1" si="272"/>
        <v>0</v>
      </c>
      <c r="DJ90" s="281"/>
      <c r="DK90" s="295">
        <f t="shared" ca="1" si="320"/>
        <v>43998</v>
      </c>
      <c r="DL90" s="279" t="str">
        <f t="shared" ca="1" si="273"/>
        <v>0</v>
      </c>
      <c r="DM90" s="282"/>
      <c r="DN90" s="282">
        <f t="shared" ca="1" si="323"/>
        <v>43998</v>
      </c>
      <c r="DO90" s="279" t="str">
        <f t="shared" ca="1" si="274"/>
        <v>0</v>
      </c>
      <c r="DP90" s="283"/>
      <c r="DQ90" s="283"/>
      <c r="DR90" s="279" t="str">
        <f t="shared" si="275"/>
        <v>0</v>
      </c>
      <c r="DS90" s="282"/>
      <c r="DT90" s="282">
        <f t="shared" ca="1" si="318"/>
        <v>43998</v>
      </c>
      <c r="DU90" s="279" t="str">
        <f t="shared" ca="1" si="276"/>
        <v>0</v>
      </c>
      <c r="DV90" s="282"/>
      <c r="DW90" s="282">
        <f t="shared" ca="1" si="324"/>
        <v>43998</v>
      </c>
      <c r="DX90" s="279" t="str">
        <f t="shared" ca="1" si="277"/>
        <v>0</v>
      </c>
      <c r="DY90" s="282"/>
      <c r="DZ90" s="282"/>
      <c r="EA90" s="282"/>
      <c r="EB90" s="410">
        <f t="shared" si="259"/>
        <v>44732</v>
      </c>
      <c r="EC90" s="409">
        <f>DATE(YEAR(EB90),MONTH(EB90)+1,DAY(EB90))</f>
        <v>44762</v>
      </c>
      <c r="ED90" s="406">
        <f t="shared" si="278"/>
        <v>1</v>
      </c>
      <c r="EE90" s="505">
        <f t="shared" ca="1" si="257"/>
        <v>25.466666666666665</v>
      </c>
      <c r="EF90" s="409">
        <f t="shared" ca="1" si="304"/>
        <v>44728</v>
      </c>
      <c r="EG90" s="457"/>
      <c r="EH90" s="448"/>
      <c r="EI90" s="458"/>
      <c r="EJ90" s="242"/>
      <c r="EK90" s="456">
        <f t="shared" si="319"/>
        <v>44762</v>
      </c>
      <c r="EL90" s="409">
        <f>DATE(YEAR(EC90),MONTH(EC90),DAY(EC90))</f>
        <v>44762</v>
      </c>
      <c r="EM90" s="314"/>
      <c r="EN90" s="404">
        <f t="shared" si="313"/>
        <v>0</v>
      </c>
      <c r="EO90" s="394">
        <v>12686</v>
      </c>
      <c r="EP90" s="131">
        <f t="shared" si="279"/>
        <v>0</v>
      </c>
      <c r="EQ90" s="60"/>
      <c r="ER90" s="60"/>
      <c r="ES90" s="742">
        <f>(Tableau6[[#This Row],[Date inauguration recalée]]-ER90)/30</f>
        <v>1492.0666666666666</v>
      </c>
      <c r="ET90" s="300"/>
      <c r="EU90" s="300"/>
      <c r="EV90" s="300"/>
      <c r="EW90" s="300"/>
      <c r="EX90" s="300"/>
      <c r="EY90" s="416">
        <f t="shared" si="258"/>
        <v>0</v>
      </c>
      <c r="EZ90" s="297"/>
      <c r="FA90" s="308"/>
      <c r="FB90" s="297"/>
      <c r="FC90" s="24" t="s">
        <v>806</v>
      </c>
      <c r="FD90" s="89">
        <f t="shared" ca="1" si="325"/>
        <v>44728</v>
      </c>
      <c r="FE90" s="63"/>
      <c r="FF90" s="63"/>
      <c r="FG90" s="63"/>
      <c r="FH90" s="63"/>
      <c r="FI90" s="63"/>
      <c r="FJ90" s="22"/>
      <c r="FK90" s="146">
        <f t="shared" si="300"/>
        <v>45127</v>
      </c>
      <c r="FL90" s="146"/>
      <c r="FM90" s="146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2"/>
      <c r="GA90" s="451"/>
      <c r="GB90" s="471">
        <f>GD90+GG90+GJ90+HF90+Tableau6[[#This Row],[PRÊT CREDIT D''IMPOT (PM)]]</f>
        <v>5276447.6455190163</v>
      </c>
      <c r="GC90" s="646">
        <f>GB90</f>
        <v>5276447.6455190163</v>
      </c>
      <c r="GD90" s="507">
        <f t="shared" si="297"/>
        <v>440000</v>
      </c>
      <c r="GE90" s="20">
        <f t="shared" si="280"/>
        <v>2807.7113163723234</v>
      </c>
      <c r="GF90" s="20">
        <f t="shared" si="281"/>
        <v>239838.52934177348</v>
      </c>
      <c r="GG90" s="503">
        <v>1274049</v>
      </c>
      <c r="GH90" s="351">
        <v>1274049.6455190163</v>
      </c>
      <c r="GI90" s="20">
        <f t="shared" si="314"/>
        <v>57911.318181818184</v>
      </c>
      <c r="GJ90" s="503">
        <f t="shared" si="282"/>
        <v>2288349</v>
      </c>
      <c r="GK90" s="5">
        <f t="shared" si="315"/>
        <v>2288349</v>
      </c>
      <c r="GL90" s="827">
        <v>380067</v>
      </c>
      <c r="GM90" s="827">
        <v>1908282</v>
      </c>
      <c r="GN90" s="345">
        <f t="shared" si="283"/>
        <v>104015.86363636363</v>
      </c>
      <c r="GO90" s="514"/>
      <c r="GP90" s="578">
        <v>440000</v>
      </c>
      <c r="GQ90" s="35"/>
      <c r="GR90" s="18">
        <f t="shared" si="284"/>
        <v>8.3389437280528445E-2</v>
      </c>
      <c r="GS90" s="45"/>
      <c r="GT90" s="45"/>
      <c r="GU90" s="35"/>
      <c r="GV90" s="20">
        <f t="shared" si="248"/>
        <v>20000</v>
      </c>
      <c r="GW90" s="20">
        <f t="shared" si="249"/>
        <v>77911.318181818177</v>
      </c>
      <c r="GX90" s="569"/>
      <c r="GY90" s="569"/>
      <c r="GZ90" s="567">
        <f t="shared" si="316"/>
        <v>77911.318181818177</v>
      </c>
      <c r="HA90" s="569"/>
      <c r="HB90" s="569">
        <f t="shared" si="250"/>
        <v>77911.318181818177</v>
      </c>
      <c r="HC90" s="568">
        <f t="shared" si="317"/>
        <v>0.32484904904830114</v>
      </c>
      <c r="HD90" s="569"/>
      <c r="HE90" s="569"/>
      <c r="HF90" s="503"/>
      <c r="HG90" s="633">
        <v>48605</v>
      </c>
      <c r="HH90" s="634">
        <f t="shared" si="285"/>
        <v>9.2116899977729202E-3</v>
      </c>
      <c r="HI90" s="633">
        <f t="shared" si="251"/>
        <v>5227842.6455190163</v>
      </c>
      <c r="HJ90" s="633" t="e">
        <f ca="1">IF(EE90&lt;DATEDIF(TODAY(),$HJ$1,"M"),HI90,(HI90/EE90*DATEDIF(TODAY(),$HJ$1,"M")))*0</f>
        <v>#VALUE!</v>
      </c>
      <c r="HK90" s="634" t="e">
        <f ca="1">(HG90+HJ90)/GB90</f>
        <v>#VALUE!</v>
      </c>
      <c r="HL90" s="633"/>
      <c r="HM90" s="633">
        <f>GD90-HL90</f>
        <v>440000</v>
      </c>
      <c r="HN90" s="633">
        <f t="shared" si="305"/>
        <v>0</v>
      </c>
      <c r="HO90" s="633"/>
      <c r="HP90" s="563">
        <v>332663.94614013011</v>
      </c>
      <c r="HQ90" s="47">
        <v>326767.39170337742</v>
      </c>
      <c r="HR90" s="563">
        <v>318414</v>
      </c>
      <c r="HS90" s="563">
        <f>SUM(Tableau6[[#This Row],[GO]:[CARRELAGE]])</f>
        <v>0</v>
      </c>
      <c r="HT90" s="461"/>
      <c r="HU90" s="461"/>
      <c r="HV90" s="461"/>
      <c r="HW90" s="461"/>
      <c r="HX90" s="461"/>
      <c r="HY90" s="461"/>
      <c r="HZ90" s="461"/>
      <c r="IA90" s="461"/>
      <c r="IB90" s="461"/>
      <c r="IC90" s="461"/>
      <c r="ID90" s="461"/>
      <c r="IE90" s="461"/>
      <c r="IF90" s="461"/>
      <c r="IG90" s="563">
        <v>1033100</v>
      </c>
      <c r="IH90" s="563">
        <v>53493</v>
      </c>
      <c r="II90" s="563">
        <f>HP90+HR90+Tableau6[[#This Row],[TRAVAUX BATIS]]+Tableau6[[#This Row],[HONORAIRES]]+IH90</f>
        <v>1737670.9461401301</v>
      </c>
      <c r="IJ90" s="654">
        <f>Tableau6[[#This Row],[TOTAL PRP HT]]-Tableau6[[#This Row],[PRP TTC HORS FRAFU]]/1.021</f>
        <v>-3430250.3521155184</v>
      </c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</row>
    <row r="91" spans="1:256" ht="28.5" customHeight="1">
      <c r="A91" s="441" t="s">
        <v>310</v>
      </c>
      <c r="B91" s="22" t="s">
        <v>311</v>
      </c>
      <c r="C91" s="22" t="s">
        <v>88</v>
      </c>
      <c r="D91" s="22">
        <v>2017</v>
      </c>
      <c r="E91" s="22"/>
      <c r="F91" s="22" t="s">
        <v>301</v>
      </c>
      <c r="G91" s="22" t="s">
        <v>138</v>
      </c>
      <c r="H91" s="22" t="s">
        <v>134</v>
      </c>
      <c r="I91" s="22"/>
      <c r="J91" s="22" t="s">
        <v>312</v>
      </c>
      <c r="K91" s="134" t="s">
        <v>363</v>
      </c>
      <c r="L91" s="81" t="s">
        <v>43</v>
      </c>
      <c r="M91" s="82" t="s">
        <v>335</v>
      </c>
      <c r="N91" s="83">
        <v>35569</v>
      </c>
      <c r="O91" s="117"/>
      <c r="P91" s="117"/>
      <c r="Q91" s="117"/>
      <c r="R91" s="117"/>
      <c r="S91" s="117"/>
      <c r="T91" s="330"/>
      <c r="U91" s="330"/>
      <c r="V91" s="330"/>
      <c r="W91" s="117"/>
      <c r="X91" s="104"/>
      <c r="Y91" s="447" t="e">
        <f t="shared" si="261"/>
        <v>#DIV/0!</v>
      </c>
      <c r="Z91" s="104"/>
      <c r="AA91" s="104"/>
      <c r="AB91" s="105"/>
      <c r="AC91" s="22" t="s">
        <v>300</v>
      </c>
      <c r="AD91" s="426">
        <f t="shared" si="262"/>
        <v>31</v>
      </c>
      <c r="AE91" s="426">
        <f t="shared" si="263"/>
        <v>0</v>
      </c>
      <c r="AF91" s="32"/>
      <c r="AG91" s="32"/>
      <c r="AH91" s="32"/>
      <c r="AI91" s="94">
        <v>31</v>
      </c>
      <c r="AJ91" s="614"/>
      <c r="AK91" s="222"/>
      <c r="AL91" s="492">
        <f t="shared" si="264"/>
        <v>0</v>
      </c>
      <c r="AM91" s="4">
        <f t="shared" si="265"/>
        <v>0</v>
      </c>
      <c r="AN91" s="26"/>
      <c r="AO91" s="26"/>
      <c r="AP91" s="26"/>
      <c r="AQ91" s="39"/>
      <c r="AR91" s="39"/>
      <c r="AS91" s="39"/>
      <c r="AT91" s="39"/>
      <c r="AU91" s="39"/>
      <c r="AV91" s="26"/>
      <c r="AW91" s="37"/>
      <c r="AX91" s="39"/>
      <c r="AY91" s="26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548">
        <v>42824</v>
      </c>
      <c r="BK91" s="548">
        <v>43039</v>
      </c>
      <c r="BL91" s="549"/>
      <c r="BM91" s="547">
        <f t="shared" si="266"/>
        <v>7.166666666666667</v>
      </c>
      <c r="BN91" s="490"/>
      <c r="BO91" s="77">
        <v>43081</v>
      </c>
      <c r="BP91" s="100">
        <v>43234</v>
      </c>
      <c r="BQ91" s="537">
        <f t="shared" si="247"/>
        <v>5.0999999999999996</v>
      </c>
      <c r="BR91" s="529">
        <v>78084</v>
      </c>
      <c r="BS91" s="77">
        <f>DATE(YEAR(BP91),MONTH(BP91)+3,DAY(BP91))</f>
        <v>43326</v>
      </c>
      <c r="BT91" s="77"/>
      <c r="BU91" s="151">
        <v>43344</v>
      </c>
      <c r="BV91" s="150">
        <f t="shared" si="267"/>
        <v>44440</v>
      </c>
      <c r="BW91" s="373"/>
      <c r="BX91" s="150" t="str">
        <f>IF(Tableau6[[#This Row],[Montant des loyers perçus avant 1e échéance]]&lt;BW91,"oui","non")</f>
        <v>non</v>
      </c>
      <c r="BY91" s="474"/>
      <c r="BZ91" s="474"/>
      <c r="CA91" s="474"/>
      <c r="CB91" s="159">
        <v>42632</v>
      </c>
      <c r="CC91" s="64"/>
      <c r="CD91" s="64"/>
      <c r="CE91" s="273" t="str">
        <f t="shared" si="253"/>
        <v>0</v>
      </c>
      <c r="CF91" s="64">
        <v>42914</v>
      </c>
      <c r="CG91" s="64">
        <v>42884</v>
      </c>
      <c r="CH91" s="273">
        <f t="shared" si="254"/>
        <v>-30</v>
      </c>
      <c r="CI91" s="159">
        <v>42809</v>
      </c>
      <c r="CJ91" s="159">
        <v>42893</v>
      </c>
      <c r="CK91" s="273">
        <f t="shared" si="255"/>
        <v>84</v>
      </c>
      <c r="CL91" s="64">
        <v>42972</v>
      </c>
      <c r="CM91" s="159">
        <v>42976</v>
      </c>
      <c r="CN91" s="273">
        <f t="shared" si="256"/>
        <v>4</v>
      </c>
      <c r="CO91" s="64">
        <v>42977</v>
      </c>
      <c r="CP91" s="64">
        <v>42976</v>
      </c>
      <c r="CQ91" s="273">
        <f t="shared" si="268"/>
        <v>-1</v>
      </c>
      <c r="CR91" s="237"/>
      <c r="CS91" s="293">
        <v>43249</v>
      </c>
      <c r="CT91" s="284">
        <v>43077</v>
      </c>
      <c r="CU91" s="282">
        <f ca="1">IF(CT91&lt;TODAY(),TODAY(),CT91)</f>
        <v>43998</v>
      </c>
      <c r="CV91" s="279">
        <f t="shared" ca="1" si="321"/>
        <v>921</v>
      </c>
      <c r="CW91" s="284">
        <v>43090</v>
      </c>
      <c r="CX91" s="229">
        <v>43441</v>
      </c>
      <c r="CY91" s="230">
        <v>2018</v>
      </c>
      <c r="CZ91" s="235">
        <f t="shared" si="243"/>
        <v>13.4</v>
      </c>
      <c r="DA91" s="279">
        <f t="shared" si="269"/>
        <v>351</v>
      </c>
      <c r="DB91" s="133">
        <v>12</v>
      </c>
      <c r="DC91" s="59">
        <f t="shared" si="270"/>
        <v>20</v>
      </c>
      <c r="DD91" s="277"/>
      <c r="DE91" s="282">
        <f t="shared" ca="1" si="322"/>
        <v>43998</v>
      </c>
      <c r="DF91" s="279" t="str">
        <f t="shared" ca="1" si="271"/>
        <v>0</v>
      </c>
      <c r="DG91" s="277"/>
      <c r="DH91" s="295">
        <f t="shared" ca="1" si="326"/>
        <v>43998</v>
      </c>
      <c r="DI91" s="337" t="str">
        <f t="shared" ca="1" si="272"/>
        <v>0</v>
      </c>
      <c r="DJ91" s="282"/>
      <c r="DK91" s="295">
        <f t="shared" ca="1" si="320"/>
        <v>43998</v>
      </c>
      <c r="DL91" s="279" t="str">
        <f t="shared" ca="1" si="273"/>
        <v>0</v>
      </c>
      <c r="DM91" s="282">
        <v>43498</v>
      </c>
      <c r="DN91" s="282">
        <f t="shared" ca="1" si="323"/>
        <v>43998</v>
      </c>
      <c r="DO91" s="279">
        <f t="shared" ca="1" si="274"/>
        <v>500</v>
      </c>
      <c r="DP91" s="283"/>
      <c r="DQ91" s="283"/>
      <c r="DR91" s="279" t="str">
        <f t="shared" si="275"/>
        <v>0</v>
      </c>
      <c r="DS91" s="282"/>
      <c r="DT91" s="282">
        <f t="shared" ca="1" si="318"/>
        <v>43998</v>
      </c>
      <c r="DU91" s="279" t="str">
        <f t="shared" ca="1" si="276"/>
        <v>0</v>
      </c>
      <c r="DV91" s="282">
        <v>43575</v>
      </c>
      <c r="DW91" s="282">
        <f t="shared" ca="1" si="324"/>
        <v>43998</v>
      </c>
      <c r="DX91" s="279">
        <f t="shared" ca="1" si="277"/>
        <v>423</v>
      </c>
      <c r="DY91" s="282"/>
      <c r="DZ91" s="282"/>
      <c r="EA91" s="282"/>
      <c r="EB91" s="410">
        <f t="shared" si="259"/>
        <v>43806</v>
      </c>
      <c r="EC91" s="409">
        <v>44058</v>
      </c>
      <c r="ED91" s="406">
        <f t="shared" si="278"/>
        <v>8.4</v>
      </c>
      <c r="EE91" s="505">
        <f t="shared" ca="1" si="257"/>
        <v>2</v>
      </c>
      <c r="EF91" s="459">
        <f t="shared" ca="1" si="304"/>
        <v>44728</v>
      </c>
      <c r="EG91" s="457"/>
      <c r="EH91" s="448"/>
      <c r="EI91" s="223"/>
      <c r="EJ91" s="242"/>
      <c r="EK91" s="456">
        <f t="shared" si="319"/>
        <v>43837</v>
      </c>
      <c r="EL91" s="409">
        <f>DATE(YEAR(EC91),MONTH(EC91)+1,DAY(EC91))</f>
        <v>44089</v>
      </c>
      <c r="EM91" s="314"/>
      <c r="EN91" s="404">
        <f>(EL91-EK91)/30</f>
        <v>8.4</v>
      </c>
      <c r="EO91" s="395"/>
      <c r="EP91" s="29">
        <f t="shared" si="279"/>
        <v>0</v>
      </c>
      <c r="EQ91" s="60"/>
      <c r="ER91" s="60"/>
      <c r="ES91" s="742"/>
      <c r="ET91" s="300">
        <v>0</v>
      </c>
      <c r="EU91" s="300">
        <v>0</v>
      </c>
      <c r="EV91" s="300"/>
      <c r="EW91" s="300"/>
      <c r="EX91" s="300"/>
      <c r="EY91" s="416">
        <f t="shared" si="258"/>
        <v>0</v>
      </c>
      <c r="EZ91" s="297"/>
      <c r="FA91" s="308"/>
      <c r="FB91" s="356" t="s">
        <v>898</v>
      </c>
      <c r="FC91" s="357" t="s">
        <v>804</v>
      </c>
      <c r="FD91" s="89">
        <f t="shared" ca="1" si="325"/>
        <v>44728</v>
      </c>
      <c r="FE91" s="63"/>
      <c r="FF91" s="63"/>
      <c r="FG91" s="63"/>
      <c r="FH91" s="63"/>
      <c r="FI91" s="63"/>
      <c r="FJ91" s="22"/>
      <c r="FK91" s="146">
        <f t="shared" si="300"/>
        <v>44423</v>
      </c>
      <c r="FL91" s="146"/>
      <c r="FM91" s="146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2"/>
      <c r="GA91" s="451"/>
      <c r="GB91" s="471">
        <f>GD91+GG91+GJ91+HF91+Tableau6[[#This Row],[PRÊT CREDIT D''IMPOT (PM)]]</f>
        <v>2102936</v>
      </c>
      <c r="GC91" s="645"/>
      <c r="GD91" s="507">
        <f t="shared" si="297"/>
        <v>466366</v>
      </c>
      <c r="GE91" s="20" t="e">
        <f t="shared" si="280"/>
        <v>#DIV/0!</v>
      </c>
      <c r="GF91" s="20">
        <f t="shared" si="281"/>
        <v>67836.645161290318</v>
      </c>
      <c r="GG91" s="503"/>
      <c r="GH91" s="351"/>
      <c r="GI91" s="20" t="e">
        <f>#REF!/AD91</f>
        <v>#REF!</v>
      </c>
      <c r="GJ91" s="503">
        <f t="shared" si="282"/>
        <v>1636570</v>
      </c>
      <c r="GK91" s="5">
        <v>989127</v>
      </c>
      <c r="GL91" s="212"/>
      <c r="GM91" s="212"/>
      <c r="GN91" s="345">
        <f t="shared" si="283"/>
        <v>31907.322580645163</v>
      </c>
      <c r="GO91" s="36">
        <v>347443</v>
      </c>
      <c r="GP91" s="35">
        <v>401760</v>
      </c>
      <c r="GQ91" s="35"/>
      <c r="GR91" s="18">
        <f t="shared" si="284"/>
        <v>0.19104718355670358</v>
      </c>
      <c r="GS91" s="35">
        <v>300000</v>
      </c>
      <c r="GT91" s="35"/>
      <c r="GU91" s="35">
        <v>64606</v>
      </c>
      <c r="GV91" s="20">
        <f t="shared" si="248"/>
        <v>12960</v>
      </c>
      <c r="GW91" s="20">
        <f t="shared" si="249"/>
        <v>12960</v>
      </c>
      <c r="GX91" s="569"/>
      <c r="GY91" s="569"/>
      <c r="GZ91" s="567" t="e">
        <f>(#REF!+#REF!+GY91)/AD91</f>
        <v>#REF!</v>
      </c>
      <c r="HA91" s="569"/>
      <c r="HB91" s="569">
        <f t="shared" si="250"/>
        <v>12960</v>
      </c>
      <c r="HC91" s="568" t="e">
        <f>(#REF!+#REF!+GY91+HA91)/(GX91+#REF!-HD91)</f>
        <v>#REF!</v>
      </c>
      <c r="HD91" s="569"/>
      <c r="HE91" s="569"/>
      <c r="HF91" s="503"/>
      <c r="HG91" s="633">
        <v>241383.86025999996</v>
      </c>
      <c r="HH91" s="634">
        <f t="shared" si="285"/>
        <v>0.11478421609597247</v>
      </c>
      <c r="HI91" s="633">
        <f t="shared" si="251"/>
        <v>1861552.13974</v>
      </c>
      <c r="HJ91" s="633" t="e">
        <f ca="1">IF(EE91&lt;DATEDIF(TODAY(),$HJ$1,"M"),HI91,(HI91/EE91*DATEDIF(TODAY(),$HJ$1,"M")))</f>
        <v>#VALUE!</v>
      </c>
      <c r="HK91" s="634" t="e">
        <f ca="1">(HG91+HJ91)/GB91</f>
        <v>#VALUE!</v>
      </c>
      <c r="HL91" s="633"/>
      <c r="HM91" s="633">
        <f>GD91-HL91</f>
        <v>466366</v>
      </c>
      <c r="HN91" s="633">
        <f t="shared" si="305"/>
        <v>0</v>
      </c>
      <c r="HO91" s="633"/>
      <c r="HP91" s="563"/>
      <c r="HQ91" s="47"/>
      <c r="HR91" s="563"/>
      <c r="HS91" s="563">
        <f>SUM(Tableau6[[#This Row],[GO]:[CARRELAGE]])</f>
        <v>0</v>
      </c>
      <c r="HT91" s="461"/>
      <c r="HU91" s="461"/>
      <c r="HV91" s="461"/>
      <c r="HW91" s="461"/>
      <c r="HX91" s="461"/>
      <c r="HY91" s="461"/>
      <c r="HZ91" s="461"/>
      <c r="IA91" s="461"/>
      <c r="IB91" s="461"/>
      <c r="IC91" s="461"/>
      <c r="ID91" s="461"/>
      <c r="IE91" s="461"/>
      <c r="IF91" s="461"/>
      <c r="IG91" s="563"/>
      <c r="IH91" s="563"/>
      <c r="II91" s="563">
        <f>HP91+HR91+Tableau6[[#This Row],[TRAVAUX BATIS]]+Tableau6[[#This Row],[HONORAIRES]]+IH91</f>
        <v>0</v>
      </c>
      <c r="IJ91" s="654">
        <f>Tableau6[[#This Row],[TOTAL PRP HT]]-Tableau6[[#This Row],[PRP TTC HORS FRAFU]]/1.021</f>
        <v>-2059682.6640548485</v>
      </c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</row>
    <row r="92" spans="1:256" ht="20.149999999999999" customHeight="1">
      <c r="A92" s="43" t="s">
        <v>448</v>
      </c>
      <c r="B92" s="22" t="s">
        <v>25</v>
      </c>
      <c r="C92" s="22" t="s">
        <v>88</v>
      </c>
      <c r="D92" s="22">
        <v>2018</v>
      </c>
      <c r="E92" s="22" t="s">
        <v>407</v>
      </c>
      <c r="F92" s="22"/>
      <c r="G92" s="22" t="s">
        <v>586</v>
      </c>
      <c r="H92" s="25" t="s">
        <v>691</v>
      </c>
      <c r="I92" s="22" t="s">
        <v>691</v>
      </c>
      <c r="J92" s="22" t="s">
        <v>410</v>
      </c>
      <c r="K92" s="134" t="s">
        <v>417</v>
      </c>
      <c r="L92" s="81"/>
      <c r="M92" s="82"/>
      <c r="N92" s="83"/>
      <c r="O92" s="103">
        <v>3040</v>
      </c>
      <c r="P92" s="103">
        <v>205275</v>
      </c>
      <c r="Q92" s="103">
        <v>205275</v>
      </c>
      <c r="R92" s="103">
        <f>P92/AD92</f>
        <v>6842.5</v>
      </c>
      <c r="S92" s="103">
        <f>P92/O92</f>
        <v>67.524671052631575</v>
      </c>
      <c r="T92" s="109">
        <f>Q92/O92</f>
        <v>67.524671052631575</v>
      </c>
      <c r="U92" s="109">
        <f>Q92/AK92</f>
        <v>91.631011925088217</v>
      </c>
      <c r="V92" s="109">
        <f>Q92/AD92</f>
        <v>6842.5</v>
      </c>
      <c r="W92" s="103">
        <f>O92/AD92</f>
        <v>101.33333333333333</v>
      </c>
      <c r="X92" s="104"/>
      <c r="Y92" s="447">
        <f t="shared" si="261"/>
        <v>98.684210526315795</v>
      </c>
      <c r="Z92" s="104" t="s">
        <v>142</v>
      </c>
      <c r="AA92" s="104"/>
      <c r="AB92" s="105"/>
      <c r="AC92" s="22" t="s">
        <v>10</v>
      </c>
      <c r="AD92" s="426">
        <f t="shared" si="262"/>
        <v>30</v>
      </c>
      <c r="AE92" s="426">
        <f t="shared" si="263"/>
        <v>30</v>
      </c>
      <c r="AF92" s="32"/>
      <c r="AG92" s="22">
        <v>30</v>
      </c>
      <c r="AH92" s="32"/>
      <c r="AI92" s="32"/>
      <c r="AJ92" s="614">
        <v>1932.4899999999998</v>
      </c>
      <c r="AK92" s="222">
        <v>2240.2350000000001</v>
      </c>
      <c r="AL92" s="492">
        <f t="shared" si="264"/>
        <v>64.416333333333327</v>
      </c>
      <c r="AM92" s="4">
        <f t="shared" si="265"/>
        <v>74.674500000000009</v>
      </c>
      <c r="AN92" s="26">
        <v>6.27</v>
      </c>
      <c r="AO92" s="26">
        <v>5.41</v>
      </c>
      <c r="AP92" s="26">
        <v>403.92</v>
      </c>
      <c r="AQ92" s="39">
        <f>5/AD92</f>
        <v>0.16666666666666666</v>
      </c>
      <c r="AR92" s="39">
        <f>8/AD92</f>
        <v>0.26666666666666666</v>
      </c>
      <c r="AS92" s="39">
        <f>11/AD92</f>
        <v>0.36666666666666664</v>
      </c>
      <c r="AT92" s="39">
        <f>5/AD92</f>
        <v>0.16666666666666666</v>
      </c>
      <c r="AU92" s="39">
        <f>1/AD92</f>
        <v>3.3333333333333333E-2</v>
      </c>
      <c r="AV92" s="26"/>
      <c r="AW92" s="37"/>
      <c r="AX92" s="39"/>
      <c r="AY92" s="26"/>
      <c r="AZ92" s="22" t="s">
        <v>386</v>
      </c>
      <c r="BA92" s="22" t="s">
        <v>94</v>
      </c>
      <c r="BB92" s="22"/>
      <c r="BC92" s="22"/>
      <c r="BD92" s="22"/>
      <c r="BE92" s="22"/>
      <c r="BF92" s="123"/>
      <c r="BG92" s="123"/>
      <c r="BH92" s="56">
        <v>43308</v>
      </c>
      <c r="BI92" s="325" t="s">
        <v>776</v>
      </c>
      <c r="BJ92" s="548">
        <v>43189</v>
      </c>
      <c r="BK92" s="548">
        <v>43287</v>
      </c>
      <c r="BL92" s="549"/>
      <c r="BM92" s="547">
        <f t="shared" si="266"/>
        <v>3.2666666666666666</v>
      </c>
      <c r="BN92" s="490" t="s">
        <v>229</v>
      </c>
      <c r="BO92" s="385"/>
      <c r="BP92" s="473"/>
      <c r="BQ92" s="536">
        <f t="shared" si="247"/>
        <v>0</v>
      </c>
      <c r="BR92" s="530"/>
      <c r="BS92" s="77">
        <f>DATE(YEAR(BP92),MONTH(BP92)+3,DAY(BP92))</f>
        <v>91</v>
      </c>
      <c r="BT92" s="77"/>
      <c r="BU92" s="151"/>
      <c r="BV92" s="150">
        <f t="shared" si="267"/>
        <v>1096</v>
      </c>
      <c r="BW92" s="373"/>
      <c r="BX92" s="150" t="str">
        <f>IF(Tableau6[[#This Row],[Montant des loyers perçus avant 1e échéance]]&lt;BW92,"oui","non")</f>
        <v>non</v>
      </c>
      <c r="BY92" s="475">
        <f>(BV92-EL92)/30</f>
        <v>-1477.9333333333334</v>
      </c>
      <c r="BZ92" s="373" t="str">
        <f>IF((BY92*EO92)&lt;0,"0",BY92*EO92)</f>
        <v>0</v>
      </c>
      <c r="CA92" s="373">
        <f>IF(BW92-BZ92&lt;0,0,Tableau6[[#This Row],[Montant échéance annuelle]]-Tableau6[[#This Row],[Montant des loyers perçus avant 1e échéance]])</f>
        <v>0</v>
      </c>
      <c r="CB92" s="159"/>
      <c r="CC92" s="64"/>
      <c r="CD92" s="64"/>
      <c r="CE92" s="273" t="str">
        <f t="shared" si="253"/>
        <v>0</v>
      </c>
      <c r="CF92" s="64"/>
      <c r="CG92" s="64"/>
      <c r="CH92" s="273" t="str">
        <f t="shared" si="254"/>
        <v>0</v>
      </c>
      <c r="CI92" s="64"/>
      <c r="CJ92" s="159"/>
      <c r="CK92" s="273" t="str">
        <f t="shared" si="255"/>
        <v>0</v>
      </c>
      <c r="CL92" s="288"/>
      <c r="CM92" s="286"/>
      <c r="CN92" s="290" t="str">
        <f t="shared" si="256"/>
        <v>0</v>
      </c>
      <c r="CO92" s="288"/>
      <c r="CP92" s="288"/>
      <c r="CQ92" s="290" t="str">
        <f t="shared" si="268"/>
        <v>0</v>
      </c>
      <c r="CR92" s="237"/>
      <c r="CS92" s="292"/>
      <c r="CT92" s="277"/>
      <c r="CU92" s="282"/>
      <c r="CV92" s="279" t="str">
        <f t="shared" si="321"/>
        <v>0</v>
      </c>
      <c r="CW92" s="277"/>
      <c r="CX92" s="382">
        <v>44701</v>
      </c>
      <c r="CY92" s="178"/>
      <c r="CZ92" s="231"/>
      <c r="DA92" s="279" t="str">
        <f t="shared" si="269"/>
        <v>0</v>
      </c>
      <c r="DB92" s="383">
        <v>16</v>
      </c>
      <c r="DC92" s="127">
        <f t="shared" si="270"/>
        <v>19</v>
      </c>
      <c r="DD92" s="277"/>
      <c r="DE92" s="282">
        <f t="shared" ca="1" si="322"/>
        <v>43998</v>
      </c>
      <c r="DF92" s="279" t="str">
        <f t="shared" ca="1" si="271"/>
        <v>0</v>
      </c>
      <c r="DG92" s="277"/>
      <c r="DH92" s="295">
        <f t="shared" ca="1" si="326"/>
        <v>43998</v>
      </c>
      <c r="DI92" s="280" t="str">
        <f t="shared" ca="1" si="272"/>
        <v>0</v>
      </c>
      <c r="DJ92" s="281"/>
      <c r="DK92" s="295">
        <f t="shared" ca="1" si="320"/>
        <v>43998</v>
      </c>
      <c r="DL92" s="279" t="str">
        <f t="shared" ca="1" si="273"/>
        <v>0</v>
      </c>
      <c r="DM92" s="282">
        <v>43515</v>
      </c>
      <c r="DN92" s="282">
        <f t="shared" ca="1" si="323"/>
        <v>43998</v>
      </c>
      <c r="DO92" s="279">
        <f t="shared" ca="1" si="274"/>
        <v>483</v>
      </c>
      <c r="DP92" s="283"/>
      <c r="DQ92" s="283"/>
      <c r="DR92" s="279" t="str">
        <f t="shared" si="275"/>
        <v>0</v>
      </c>
      <c r="DS92" s="282"/>
      <c r="DT92" s="282">
        <f t="shared" ca="1" si="318"/>
        <v>43998</v>
      </c>
      <c r="DU92" s="279" t="str">
        <f t="shared" ca="1" si="276"/>
        <v>0</v>
      </c>
      <c r="DV92" s="282">
        <v>43592</v>
      </c>
      <c r="DW92" s="282">
        <f t="shared" ca="1" si="324"/>
        <v>43998</v>
      </c>
      <c r="DX92" s="279">
        <f t="shared" ca="1" si="277"/>
        <v>406</v>
      </c>
      <c r="DY92" s="283"/>
      <c r="DZ92" s="283"/>
      <c r="EA92" s="283"/>
      <c r="EB92" s="410">
        <f t="shared" si="259"/>
        <v>45189</v>
      </c>
      <c r="EC92" s="409">
        <f>DATE(YEAR(EB92),MONTH(EB92)+3,DAY(EB92))</f>
        <v>45280</v>
      </c>
      <c r="ED92" s="406">
        <f t="shared" si="278"/>
        <v>3.0333333333333332</v>
      </c>
      <c r="EE92" s="505">
        <f t="shared" ca="1" si="257"/>
        <v>42.733333333333334</v>
      </c>
      <c r="EF92" s="409">
        <f t="shared" ca="1" si="304"/>
        <v>44728</v>
      </c>
      <c r="EG92" s="457"/>
      <c r="EH92" s="448"/>
      <c r="EI92" s="458">
        <f>DATE(YEAR(EC92),MONTH(EC92)+4,DAY(EC92)+2)</f>
        <v>45404</v>
      </c>
      <c r="EJ92" s="242"/>
      <c r="EK92" s="456">
        <f t="shared" si="319"/>
        <v>45219</v>
      </c>
      <c r="EL92" s="409">
        <f>DATE(YEAR(EI92),MONTH(EI92)+1,DAY(EI92))</f>
        <v>45434</v>
      </c>
      <c r="EM92" s="314"/>
      <c r="EN92" s="404">
        <f>(DATEDIF(EK92,EL92,"d"))/30</f>
        <v>7.166666666666667</v>
      </c>
      <c r="EO92" s="394">
        <v>12283</v>
      </c>
      <c r="EP92" s="131">
        <f t="shared" si="279"/>
        <v>88028.166666666672</v>
      </c>
      <c r="EQ92" s="60"/>
      <c r="ER92" s="60"/>
      <c r="ES92" s="742"/>
      <c r="ET92" s="300">
        <v>0</v>
      </c>
      <c r="EU92" s="300">
        <v>0</v>
      </c>
      <c r="EV92" s="300"/>
      <c r="EW92" s="300"/>
      <c r="EX92" s="300"/>
      <c r="EY92" s="416">
        <f t="shared" si="258"/>
        <v>0</v>
      </c>
      <c r="EZ92" s="297"/>
      <c r="FA92" s="308"/>
      <c r="FB92" s="297" t="s">
        <v>503</v>
      </c>
      <c r="FC92" s="297" t="s">
        <v>789</v>
      </c>
      <c r="FD92" s="89">
        <f t="shared" ca="1" si="325"/>
        <v>44728</v>
      </c>
      <c r="FE92" s="63"/>
      <c r="FF92" s="63"/>
      <c r="FG92" s="63"/>
      <c r="FH92" s="63"/>
      <c r="FI92" s="63"/>
      <c r="FJ92" s="22"/>
      <c r="FK92" s="146">
        <f t="shared" si="300"/>
        <v>45646</v>
      </c>
      <c r="FL92" s="146"/>
      <c r="FM92" s="146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2"/>
      <c r="GA92" s="451"/>
      <c r="GB92" s="471">
        <f>GD92+GG92+GJ92+HF92+Tableau6[[#This Row],[PRÊT CREDIT D''IMPOT (PM)]]</f>
        <v>4970505</v>
      </c>
      <c r="GC92" s="645">
        <f>GB92</f>
        <v>4970505</v>
      </c>
      <c r="GD92" s="507">
        <f t="shared" si="297"/>
        <v>783150</v>
      </c>
      <c r="GE92" s="20">
        <f t="shared" si="280"/>
        <v>2218.7426765495584</v>
      </c>
      <c r="GF92" s="20">
        <f t="shared" si="281"/>
        <v>165683.5</v>
      </c>
      <c r="GG92" s="503">
        <v>1494928</v>
      </c>
      <c r="GH92" s="351"/>
      <c r="GI92" s="20">
        <f>GG92/AD92</f>
        <v>49830.933333333334</v>
      </c>
      <c r="GJ92" s="503">
        <f t="shared" si="282"/>
        <v>2692427</v>
      </c>
      <c r="GK92" s="5">
        <f>GL92+GM92</f>
        <v>2692427</v>
      </c>
      <c r="GL92" s="44">
        <v>427747</v>
      </c>
      <c r="GM92" s="44">
        <v>2264680</v>
      </c>
      <c r="GN92" s="345">
        <f t="shared" si="283"/>
        <v>89747.566666666666</v>
      </c>
      <c r="GO92" s="35"/>
      <c r="GP92" s="35">
        <v>780000</v>
      </c>
      <c r="GQ92" s="35"/>
      <c r="GR92" s="18">
        <f t="shared" si="284"/>
        <v>0.15692570473221534</v>
      </c>
      <c r="GS92" s="35"/>
      <c r="GT92" s="35"/>
      <c r="GU92" s="35">
        <v>3150</v>
      </c>
      <c r="GV92" s="20">
        <f t="shared" si="248"/>
        <v>26000</v>
      </c>
      <c r="GW92" s="20">
        <f t="shared" si="249"/>
        <v>75830.933333333334</v>
      </c>
      <c r="GX92" s="569"/>
      <c r="GY92" s="569"/>
      <c r="GZ92" s="567" t="e">
        <f>(#REF!+#REF!+GY92)/AD92</f>
        <v>#REF!</v>
      </c>
      <c r="HA92" s="569"/>
      <c r="HB92" s="569">
        <f t="shared" si="250"/>
        <v>75830.933333333334</v>
      </c>
      <c r="HC92" s="568" t="e">
        <f>(#REF!+#REF!+GY92+HA92)/(GX92+#REF!-HD92)</f>
        <v>#REF!</v>
      </c>
      <c r="HD92" s="569"/>
      <c r="HE92" s="569"/>
      <c r="HF92" s="503">
        <f>EU92</f>
        <v>0</v>
      </c>
      <c r="HG92" s="633"/>
      <c r="HH92" s="634">
        <f t="shared" si="285"/>
        <v>0</v>
      </c>
      <c r="HI92" s="633">
        <f t="shared" si="251"/>
        <v>4970505</v>
      </c>
      <c r="HJ92" s="633" t="e">
        <f ca="1">IF(EE92&lt;DATEDIF(TODAY(),$HJ$1,"M"),HI92,(HI92/EE92*DATEDIF(TODAY(),$HJ$1,"M")))</f>
        <v>#VALUE!</v>
      </c>
      <c r="HK92" s="633"/>
      <c r="HL92" s="633">
        <f>'[1]GLOBAL OPERATION'!$AG$55</f>
        <v>677762.17999999993</v>
      </c>
      <c r="HM92" s="633"/>
      <c r="HN92" s="633"/>
      <c r="HO92" s="633"/>
      <c r="HP92" s="563"/>
      <c r="HQ92" s="47"/>
      <c r="HR92" s="563"/>
      <c r="HS92" s="563">
        <f>SUM(Tableau6[[#This Row],[GO]:[CARRELAGE]])</f>
        <v>0</v>
      </c>
      <c r="HT92" s="461"/>
      <c r="HU92" s="461"/>
      <c r="HV92" s="461"/>
      <c r="HW92" s="461"/>
      <c r="HX92" s="461"/>
      <c r="HY92" s="461"/>
      <c r="HZ92" s="461"/>
      <c r="IA92" s="461"/>
      <c r="IB92" s="461"/>
      <c r="IC92" s="461"/>
      <c r="ID92" s="461"/>
      <c r="IE92" s="461"/>
      <c r="IF92" s="461"/>
      <c r="IG92" s="563"/>
      <c r="IH92" s="563"/>
      <c r="II92" s="563">
        <f>HP92+HR92+Tableau6[[#This Row],[TRAVAUX BATIS]]+Tableau6[[#This Row],[HONORAIRES]]+IH92</f>
        <v>0</v>
      </c>
      <c r="IJ92" s="654">
        <f>Tableau6[[#This Row],[TOTAL PRP HT]]-Tableau6[[#This Row],[PRP TTC HORS FRAFU]]/1.021</f>
        <v>-4868271.302644467</v>
      </c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</row>
    <row r="93" spans="1:256" ht="20.149999999999999" customHeight="1">
      <c r="A93" s="441" t="s">
        <v>304</v>
      </c>
      <c r="B93" s="22" t="s">
        <v>31</v>
      </c>
      <c r="C93" s="22" t="s">
        <v>86</v>
      </c>
      <c r="D93" s="22">
        <v>2017</v>
      </c>
      <c r="E93" s="22"/>
      <c r="F93" s="22" t="s">
        <v>301</v>
      </c>
      <c r="G93" s="23" t="s">
        <v>329</v>
      </c>
      <c r="H93" s="22" t="s">
        <v>134</v>
      </c>
      <c r="I93" s="22"/>
      <c r="J93" s="22" t="s">
        <v>305</v>
      </c>
      <c r="K93" s="134" t="s">
        <v>361</v>
      </c>
      <c r="L93" s="81" t="s">
        <v>43</v>
      </c>
      <c r="M93" s="82" t="s">
        <v>338</v>
      </c>
      <c r="N93" s="83">
        <v>35049</v>
      </c>
      <c r="O93" s="117"/>
      <c r="P93" s="117"/>
      <c r="Q93" s="117"/>
      <c r="R93" s="117"/>
      <c r="S93" s="117"/>
      <c r="T93" s="330"/>
      <c r="U93" s="330"/>
      <c r="V93" s="330"/>
      <c r="W93" s="117"/>
      <c r="X93" s="104"/>
      <c r="Y93" s="447" t="e">
        <f t="shared" si="261"/>
        <v>#DIV/0!</v>
      </c>
      <c r="Z93" s="104"/>
      <c r="AA93" s="104"/>
      <c r="AB93" s="105"/>
      <c r="AC93" s="22" t="s">
        <v>300</v>
      </c>
      <c r="AD93" s="426">
        <f t="shared" si="262"/>
        <v>6</v>
      </c>
      <c r="AE93" s="426">
        <f t="shared" si="263"/>
        <v>0</v>
      </c>
      <c r="AF93" s="32"/>
      <c r="AG93" s="32"/>
      <c r="AH93" s="32"/>
      <c r="AI93" s="94">
        <v>6</v>
      </c>
      <c r="AJ93" s="614"/>
      <c r="AK93" s="222"/>
      <c r="AL93" s="492">
        <f t="shared" si="264"/>
        <v>0</v>
      </c>
      <c r="AM93" s="4">
        <f t="shared" si="265"/>
        <v>0</v>
      </c>
      <c r="AN93" s="26"/>
      <c r="AO93" s="26"/>
      <c r="AP93" s="26"/>
      <c r="AQ93" s="39"/>
      <c r="AR93" s="39"/>
      <c r="AS93" s="39"/>
      <c r="AT93" s="39"/>
      <c r="AU93" s="39"/>
      <c r="AV93" s="26"/>
      <c r="AW93" s="37"/>
      <c r="AX93" s="39"/>
      <c r="AY93" s="26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548">
        <v>42824</v>
      </c>
      <c r="BK93" s="548">
        <v>43005</v>
      </c>
      <c r="BL93" s="549"/>
      <c r="BM93" s="547">
        <f t="shared" si="266"/>
        <v>6.0333333333333332</v>
      </c>
      <c r="BN93" s="490"/>
      <c r="BO93" s="77">
        <v>43081</v>
      </c>
      <c r="BP93" s="100">
        <v>43234</v>
      </c>
      <c r="BQ93" s="537">
        <f t="shared" si="247"/>
        <v>5.0999999999999996</v>
      </c>
      <c r="BR93" s="529">
        <v>78083</v>
      </c>
      <c r="BS93" s="77">
        <f>DATE(YEAR(BP93),MONTH(BP93)+3,DAY(BP93))</f>
        <v>43326</v>
      </c>
      <c r="BT93" s="77"/>
      <c r="BU93" s="151">
        <v>43344</v>
      </c>
      <c r="BV93" s="150">
        <f t="shared" si="267"/>
        <v>44440</v>
      </c>
      <c r="BW93" s="373"/>
      <c r="BX93" s="150" t="str">
        <f>IF(Tableau6[[#This Row],[Montant des loyers perçus avant 1e échéance]]&lt;BW93,"oui","non")</f>
        <v>non</v>
      </c>
      <c r="BY93" s="474"/>
      <c r="BZ93" s="474"/>
      <c r="CA93" s="474"/>
      <c r="CB93" s="159">
        <v>42649</v>
      </c>
      <c r="CC93" s="64"/>
      <c r="CD93" s="64"/>
      <c r="CE93" s="273" t="str">
        <f t="shared" si="253"/>
        <v>0</v>
      </c>
      <c r="CF93" s="64">
        <v>42901</v>
      </c>
      <c r="CG93" s="64">
        <v>42884</v>
      </c>
      <c r="CH93" s="273">
        <f t="shared" si="254"/>
        <v>-17</v>
      </c>
      <c r="CI93" s="159">
        <v>42814</v>
      </c>
      <c r="CJ93" s="159">
        <v>42881</v>
      </c>
      <c r="CK93" s="273">
        <f t="shared" si="255"/>
        <v>67</v>
      </c>
      <c r="CL93" s="288">
        <v>42972</v>
      </c>
      <c r="CM93" s="286">
        <f ca="1">IF(CL93&lt;TODAY(),TODAY(),CL93)</f>
        <v>43998</v>
      </c>
      <c r="CN93" s="273">
        <f t="shared" ca="1" si="256"/>
        <v>1026</v>
      </c>
      <c r="CO93" s="288">
        <v>42972</v>
      </c>
      <c r="CP93" s="288">
        <f ca="1">IF(CO93&lt;TODAY(),TODAY(),CO93)</f>
        <v>43998</v>
      </c>
      <c r="CQ93" s="273">
        <f t="shared" ca="1" si="268"/>
        <v>1026</v>
      </c>
      <c r="CR93" s="237"/>
      <c r="CS93" s="286">
        <v>43296</v>
      </c>
      <c r="CT93" s="284">
        <v>43074</v>
      </c>
      <c r="CU93" s="282">
        <f ca="1">IF(CT93&lt;TODAY(),TODAY(),CT93)</f>
        <v>43998</v>
      </c>
      <c r="CV93" s="279">
        <f t="shared" ca="1" si="321"/>
        <v>924</v>
      </c>
      <c r="CW93" s="284">
        <v>43081</v>
      </c>
      <c r="CX93" s="229">
        <v>43452</v>
      </c>
      <c r="CY93" s="230">
        <v>2018</v>
      </c>
      <c r="CZ93" s="235">
        <f t="shared" ref="CZ93:CZ107" si="327">(DATEDIF(BK93,CX93,"d"))/30</f>
        <v>14.9</v>
      </c>
      <c r="DA93" s="279">
        <f t="shared" si="269"/>
        <v>371</v>
      </c>
      <c r="DB93" s="133">
        <v>7</v>
      </c>
      <c r="DC93" s="59">
        <f t="shared" si="270"/>
        <v>18</v>
      </c>
      <c r="DD93" s="277"/>
      <c r="DE93" s="282">
        <f t="shared" ca="1" si="322"/>
        <v>43998</v>
      </c>
      <c r="DF93" s="279" t="str">
        <f t="shared" ca="1" si="271"/>
        <v>0</v>
      </c>
      <c r="DG93" s="277"/>
      <c r="DH93" s="295">
        <f t="shared" ca="1" si="326"/>
        <v>43998</v>
      </c>
      <c r="DI93" s="337" t="str">
        <f t="shared" ca="1" si="272"/>
        <v>0</v>
      </c>
      <c r="DJ93" s="282"/>
      <c r="DK93" s="295">
        <f t="shared" ca="1" si="320"/>
        <v>43998</v>
      </c>
      <c r="DL93" s="279" t="str">
        <f t="shared" ca="1" si="273"/>
        <v>0</v>
      </c>
      <c r="DM93" s="282">
        <v>43500</v>
      </c>
      <c r="DN93" s="282">
        <f t="shared" ca="1" si="323"/>
        <v>43998</v>
      </c>
      <c r="DO93" s="279">
        <f t="shared" ca="1" si="274"/>
        <v>498</v>
      </c>
      <c r="DP93" s="283"/>
      <c r="DQ93" s="283"/>
      <c r="DR93" s="279" t="str">
        <f t="shared" si="275"/>
        <v>0</v>
      </c>
      <c r="DS93" s="282"/>
      <c r="DT93" s="282">
        <f t="shared" ca="1" si="318"/>
        <v>43998</v>
      </c>
      <c r="DU93" s="279" t="str">
        <f t="shared" ca="1" si="276"/>
        <v>0</v>
      </c>
      <c r="DV93" s="282">
        <v>43577</v>
      </c>
      <c r="DW93" s="282">
        <f t="shared" ca="1" si="324"/>
        <v>43998</v>
      </c>
      <c r="DX93" s="279">
        <f t="shared" ca="1" si="277"/>
        <v>421</v>
      </c>
      <c r="DY93" s="282"/>
      <c r="DZ93" s="282"/>
      <c r="EA93" s="282"/>
      <c r="EB93" s="410">
        <f t="shared" si="259"/>
        <v>43664</v>
      </c>
      <c r="EC93" s="409">
        <v>44027</v>
      </c>
      <c r="ED93" s="406">
        <f t="shared" si="278"/>
        <v>12.1</v>
      </c>
      <c r="EE93" s="505">
        <f t="shared" ca="1" si="257"/>
        <v>0.96666666666666667</v>
      </c>
      <c r="EF93" s="459">
        <f t="shared" ca="1" si="304"/>
        <v>44728</v>
      </c>
      <c r="EG93" s="457"/>
      <c r="EH93" s="448"/>
      <c r="EI93" s="223"/>
      <c r="EJ93" s="242"/>
      <c r="EK93" s="456">
        <f t="shared" si="319"/>
        <v>43695</v>
      </c>
      <c r="EL93" s="409">
        <f>DATE(YEAR(EC93),MONTH(EC93)+1,DAY(EC93))</f>
        <v>44058</v>
      </c>
      <c r="EM93" s="314"/>
      <c r="EN93" s="404">
        <f>(EL93-EK93)/30</f>
        <v>12.1</v>
      </c>
      <c r="EO93" s="395"/>
      <c r="EP93" s="29">
        <f t="shared" si="279"/>
        <v>0</v>
      </c>
      <c r="EQ93" s="60"/>
      <c r="ER93" s="60"/>
      <c r="ES93" s="742"/>
      <c r="ET93" s="300">
        <v>0</v>
      </c>
      <c r="EU93" s="300">
        <v>31250</v>
      </c>
      <c r="EV93" s="300">
        <v>0</v>
      </c>
      <c r="EW93" s="300">
        <v>39215.919999999998</v>
      </c>
      <c r="EX93" s="300"/>
      <c r="EY93" s="416">
        <f t="shared" si="258"/>
        <v>0</v>
      </c>
      <c r="EZ93" s="297"/>
      <c r="FA93" s="308"/>
      <c r="FB93" s="308" t="s">
        <v>898</v>
      </c>
      <c r="FC93" s="357" t="s">
        <v>804</v>
      </c>
      <c r="FD93" s="89">
        <f t="shared" ca="1" si="325"/>
        <v>44728</v>
      </c>
      <c r="FE93" s="63"/>
      <c r="FF93" s="63"/>
      <c r="FG93" s="63"/>
      <c r="FH93" s="63"/>
      <c r="FI93" s="63"/>
      <c r="FJ93" s="22"/>
      <c r="FK93" s="146">
        <f t="shared" si="300"/>
        <v>44392</v>
      </c>
      <c r="FL93" s="146"/>
      <c r="FM93" s="146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451"/>
      <c r="GB93" s="471">
        <f>GD93+GG93+GJ93+HF93+Tableau6[[#This Row],[PRÊT CREDIT D''IMPOT (PM)]]</f>
        <v>263550</v>
      </c>
      <c r="GC93" s="645"/>
      <c r="GD93" s="507">
        <f t="shared" si="297"/>
        <v>20940</v>
      </c>
      <c r="GE93" s="20" t="e">
        <f t="shared" si="280"/>
        <v>#DIV/0!</v>
      </c>
      <c r="GF93" s="20">
        <f t="shared" si="281"/>
        <v>43925</v>
      </c>
      <c r="GG93" s="503"/>
      <c r="GH93" s="351"/>
      <c r="GI93" s="20" t="e">
        <f>#REF!/AD93</f>
        <v>#REF!</v>
      </c>
      <c r="GJ93" s="503">
        <f t="shared" si="282"/>
        <v>242610</v>
      </c>
      <c r="GK93" s="5">
        <v>82610</v>
      </c>
      <c r="GL93" s="212"/>
      <c r="GM93" s="212"/>
      <c r="GN93" s="345">
        <f t="shared" si="283"/>
        <v>13768.333333333334</v>
      </c>
      <c r="GO93" s="36">
        <v>100000</v>
      </c>
      <c r="GP93" s="35">
        <v>10920</v>
      </c>
      <c r="GQ93" s="35"/>
      <c r="GR93" s="18">
        <f t="shared" si="284"/>
        <v>4.1434262948207172E-2</v>
      </c>
      <c r="GS93" s="35">
        <v>60000</v>
      </c>
      <c r="GT93" s="35"/>
      <c r="GU93" s="35">
        <f>1680+8340</f>
        <v>10020</v>
      </c>
      <c r="GV93" s="20">
        <f t="shared" si="248"/>
        <v>1820</v>
      </c>
      <c r="GW93" s="20">
        <f t="shared" si="249"/>
        <v>1820</v>
      </c>
      <c r="GX93" s="569"/>
      <c r="GY93" s="569"/>
      <c r="GZ93" s="567" t="e">
        <f>(#REF!+#REF!+GY93)/AD93</f>
        <v>#REF!</v>
      </c>
      <c r="HA93" s="569"/>
      <c r="HB93" s="569">
        <f t="shared" si="250"/>
        <v>1820</v>
      </c>
      <c r="HC93" s="568" t="e">
        <f>(#REF!+#REF!+GY93+HA93)/(GX93+#REF!-HD93)</f>
        <v>#REF!</v>
      </c>
      <c r="HD93" s="569"/>
      <c r="HE93" s="569"/>
      <c r="HF93" s="503"/>
      <c r="HG93" s="633">
        <v>74757.429999999993</v>
      </c>
      <c r="HH93" s="634">
        <f t="shared" si="285"/>
        <v>0.28365558717510908</v>
      </c>
      <c r="HI93" s="633">
        <f t="shared" si="251"/>
        <v>188792.57</v>
      </c>
      <c r="HJ93" s="633" t="e">
        <f ca="1">IF(EE93&lt;DATEDIF(TODAY(),$HJ$1,"M"),HI93,(HI93/EE93*DATEDIF(TODAY(),$HJ$1,"M")))</f>
        <v>#VALUE!</v>
      </c>
      <c r="HK93" s="634" t="e">
        <f t="shared" ref="HK93:HK98" ca="1" si="328">(HG93+HJ93)/GB93</f>
        <v>#VALUE!</v>
      </c>
      <c r="HL93" s="633"/>
      <c r="HM93" s="633">
        <f t="shared" ref="HM93:HM111" si="329">GD93-HL93</f>
        <v>20940</v>
      </c>
      <c r="HN93" s="633">
        <f t="shared" ref="HN93:HN111" si="330">HL93/GD93</f>
        <v>0</v>
      </c>
      <c r="HO93" s="633"/>
      <c r="HP93" s="563"/>
      <c r="HQ93" s="47"/>
      <c r="HR93" s="563"/>
      <c r="HS93" s="563">
        <f>SUM(Tableau6[[#This Row],[GO]:[CARRELAGE]])</f>
        <v>0</v>
      </c>
      <c r="HT93" s="461"/>
      <c r="HU93" s="461"/>
      <c r="HV93" s="461"/>
      <c r="HW93" s="461"/>
      <c r="HX93" s="461"/>
      <c r="HY93" s="461"/>
      <c r="HZ93" s="461"/>
      <c r="IA93" s="461"/>
      <c r="IB93" s="461"/>
      <c r="IC93" s="461"/>
      <c r="ID93" s="461"/>
      <c r="IE93" s="461"/>
      <c r="IF93" s="461"/>
      <c r="IG93" s="563"/>
      <c r="IH93" s="563"/>
      <c r="II93" s="563">
        <f>HP93+HR93+Tableau6[[#This Row],[TRAVAUX BATIS]]+Tableau6[[#This Row],[HONORAIRES]]+IH93</f>
        <v>0</v>
      </c>
      <c r="IJ93" s="654">
        <f>Tableau6[[#This Row],[TOTAL PRP HT]]-Tableau6[[#This Row],[PRP TTC HORS FRAFU]]/1.021</f>
        <v>-258129.2850146915</v>
      </c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</row>
    <row r="94" spans="1:256" ht="28.5" customHeight="1">
      <c r="A94" s="441" t="s">
        <v>308</v>
      </c>
      <c r="B94" s="22" t="s">
        <v>21</v>
      </c>
      <c r="C94" s="22" t="s">
        <v>86</v>
      </c>
      <c r="D94" s="22">
        <v>2017</v>
      </c>
      <c r="E94" s="22"/>
      <c r="F94" s="22" t="s">
        <v>301</v>
      </c>
      <c r="G94" s="22" t="s">
        <v>138</v>
      </c>
      <c r="H94" s="22" t="s">
        <v>136</v>
      </c>
      <c r="I94" s="22"/>
      <c r="J94" s="22" t="s">
        <v>309</v>
      </c>
      <c r="K94" s="134" t="s">
        <v>330</v>
      </c>
      <c r="L94" s="81" t="s">
        <v>43</v>
      </c>
      <c r="M94" s="82" t="s">
        <v>334</v>
      </c>
      <c r="N94" s="83">
        <v>34008</v>
      </c>
      <c r="O94" s="117"/>
      <c r="P94" s="117"/>
      <c r="Q94" s="117"/>
      <c r="R94" s="117"/>
      <c r="S94" s="117"/>
      <c r="T94" s="330"/>
      <c r="U94" s="330"/>
      <c r="V94" s="330"/>
      <c r="W94" s="117"/>
      <c r="X94" s="104"/>
      <c r="Y94" s="447" t="e">
        <f t="shared" si="261"/>
        <v>#DIV/0!</v>
      </c>
      <c r="Z94" s="104"/>
      <c r="AA94" s="104"/>
      <c r="AB94" s="105"/>
      <c r="AC94" s="22" t="s">
        <v>300</v>
      </c>
      <c r="AD94" s="426">
        <f t="shared" si="262"/>
        <v>45</v>
      </c>
      <c r="AE94" s="426">
        <f t="shared" si="263"/>
        <v>0</v>
      </c>
      <c r="AF94" s="32"/>
      <c r="AG94" s="32"/>
      <c r="AH94" s="32"/>
      <c r="AI94" s="94">
        <v>45</v>
      </c>
      <c r="AJ94" s="614"/>
      <c r="AK94" s="222"/>
      <c r="AL94" s="492">
        <f t="shared" si="264"/>
        <v>0</v>
      </c>
      <c r="AM94" s="4">
        <f t="shared" si="265"/>
        <v>0</v>
      </c>
      <c r="AN94" s="26"/>
      <c r="AO94" s="26"/>
      <c r="AP94" s="26"/>
      <c r="AQ94" s="39"/>
      <c r="AR94" s="39"/>
      <c r="AS94" s="39"/>
      <c r="AT94" s="39"/>
      <c r="AU94" s="39"/>
      <c r="AV94" s="26"/>
      <c r="AW94" s="37"/>
      <c r="AX94" s="39"/>
      <c r="AY94" s="26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548">
        <v>42824</v>
      </c>
      <c r="BK94" s="548">
        <v>43032</v>
      </c>
      <c r="BL94" s="549"/>
      <c r="BM94" s="547">
        <f t="shared" si="266"/>
        <v>6.9333333333333336</v>
      </c>
      <c r="BN94" s="490"/>
      <c r="BO94" s="77">
        <v>43081</v>
      </c>
      <c r="BP94" s="100">
        <v>43235</v>
      </c>
      <c r="BQ94" s="537">
        <f t="shared" si="247"/>
        <v>5.1333333333333337</v>
      </c>
      <c r="BR94" s="529">
        <v>78079</v>
      </c>
      <c r="BS94" s="77">
        <f>DATE(YEAR(BP94),MONTH(BP94)+3,DAY(BP94))</f>
        <v>43327</v>
      </c>
      <c r="BT94" s="77"/>
      <c r="BU94" s="151">
        <v>43344</v>
      </c>
      <c r="BV94" s="150">
        <f t="shared" si="267"/>
        <v>44440</v>
      </c>
      <c r="BW94" s="373"/>
      <c r="BX94" s="150" t="str">
        <f>IF(Tableau6[[#This Row],[Montant des loyers perçus avant 1e échéance]]&lt;BW94,"oui","non")</f>
        <v>non</v>
      </c>
      <c r="BY94" s="474"/>
      <c r="BZ94" s="474"/>
      <c r="CA94" s="474"/>
      <c r="CB94" s="159">
        <v>42649</v>
      </c>
      <c r="CC94" s="64"/>
      <c r="CD94" s="64"/>
      <c r="CE94" s="273" t="str">
        <f t="shared" si="253"/>
        <v>0</v>
      </c>
      <c r="CF94" s="64">
        <v>42872</v>
      </c>
      <c r="CG94" s="64">
        <v>42880</v>
      </c>
      <c r="CH94" s="273">
        <f t="shared" si="254"/>
        <v>8</v>
      </c>
      <c r="CI94" s="159">
        <v>42814</v>
      </c>
      <c r="CJ94" s="159">
        <v>42853</v>
      </c>
      <c r="CK94" s="273">
        <f t="shared" si="255"/>
        <v>39</v>
      </c>
      <c r="CL94" s="288">
        <v>42877</v>
      </c>
      <c r="CM94" s="286">
        <f ca="1">IF(CL94&lt;TODAY(),TODAY(),CL94)</f>
        <v>43998</v>
      </c>
      <c r="CN94" s="273">
        <f t="shared" ca="1" si="256"/>
        <v>1121</v>
      </c>
      <c r="CO94" s="288">
        <v>42962</v>
      </c>
      <c r="CP94" s="288">
        <f ca="1">IF(CO94&lt;TODAY(),TODAY(),CO94)</f>
        <v>43998</v>
      </c>
      <c r="CQ94" s="273">
        <f t="shared" ca="1" si="268"/>
        <v>1036</v>
      </c>
      <c r="CR94" s="237"/>
      <c r="CS94" s="293">
        <v>43270</v>
      </c>
      <c r="CT94" s="284">
        <v>43074</v>
      </c>
      <c r="CU94" s="282">
        <f ca="1">IF(CT94&lt;TODAY(),TODAY(),CT94)</f>
        <v>43998</v>
      </c>
      <c r="CV94" s="381">
        <f t="shared" ca="1" si="321"/>
        <v>924</v>
      </c>
      <c r="CW94" s="159">
        <v>43081</v>
      </c>
      <c r="CX94" s="229">
        <v>43362</v>
      </c>
      <c r="CY94" s="230">
        <v>2018</v>
      </c>
      <c r="CZ94" s="235">
        <f t="shared" si="327"/>
        <v>11</v>
      </c>
      <c r="DA94" s="381">
        <f t="shared" si="269"/>
        <v>281</v>
      </c>
      <c r="DB94" s="133">
        <v>12</v>
      </c>
      <c r="DC94" s="59">
        <f t="shared" si="270"/>
        <v>21</v>
      </c>
      <c r="DD94" s="277"/>
      <c r="DE94" s="282">
        <f t="shared" ca="1" si="322"/>
        <v>43998</v>
      </c>
      <c r="DF94" s="279" t="str">
        <f t="shared" ca="1" si="271"/>
        <v>0</v>
      </c>
      <c r="DG94" s="277"/>
      <c r="DH94" s="295">
        <f t="shared" ca="1" si="326"/>
        <v>43998</v>
      </c>
      <c r="DI94" s="337" t="str">
        <f t="shared" ca="1" si="272"/>
        <v>0</v>
      </c>
      <c r="DJ94" s="282"/>
      <c r="DK94" s="295">
        <f t="shared" ca="1" si="320"/>
        <v>43998</v>
      </c>
      <c r="DL94" s="279" t="str">
        <f t="shared" ca="1" si="273"/>
        <v>0</v>
      </c>
      <c r="DM94" s="282">
        <v>43497</v>
      </c>
      <c r="DN94" s="282">
        <f t="shared" ca="1" si="323"/>
        <v>43998</v>
      </c>
      <c r="DO94" s="279">
        <f t="shared" ca="1" si="274"/>
        <v>501</v>
      </c>
      <c r="DP94" s="283"/>
      <c r="DQ94" s="282"/>
      <c r="DR94" s="279" t="str">
        <f t="shared" si="275"/>
        <v>0</v>
      </c>
      <c r="DS94" s="282"/>
      <c r="DT94" s="282">
        <f t="shared" ca="1" si="318"/>
        <v>43998</v>
      </c>
      <c r="DU94" s="279" t="str">
        <f t="shared" ca="1" si="276"/>
        <v>0</v>
      </c>
      <c r="DV94" s="282">
        <v>43574</v>
      </c>
      <c r="DW94" s="282">
        <f t="shared" ca="1" si="324"/>
        <v>43998</v>
      </c>
      <c r="DX94" s="279">
        <f t="shared" ca="1" si="277"/>
        <v>424</v>
      </c>
      <c r="DY94" s="282"/>
      <c r="DZ94" s="282"/>
      <c r="EA94" s="282"/>
      <c r="EB94" s="410">
        <f t="shared" si="259"/>
        <v>43727</v>
      </c>
      <c r="EC94" s="409">
        <v>44027</v>
      </c>
      <c r="ED94" s="406">
        <f t="shared" si="278"/>
        <v>10</v>
      </c>
      <c r="EE94" s="505">
        <f t="shared" ca="1" si="257"/>
        <v>0.96666666666666667</v>
      </c>
      <c r="EF94" s="459">
        <f t="shared" ca="1" si="304"/>
        <v>44728</v>
      </c>
      <c r="EG94" s="613"/>
      <c r="EH94" s="448"/>
      <c r="EI94" s="223"/>
      <c r="EJ94" s="242"/>
      <c r="EK94" s="456">
        <f t="shared" si="319"/>
        <v>43757</v>
      </c>
      <c r="EL94" s="409">
        <f>DATE(YEAR(EC94),MONTH(EC94)+1,DAY(EC94))</f>
        <v>44058</v>
      </c>
      <c r="EM94" s="314"/>
      <c r="EN94" s="404">
        <f>(EL94-EK94)/30</f>
        <v>10.033333333333333</v>
      </c>
      <c r="EO94" s="395"/>
      <c r="EP94" s="29">
        <f t="shared" si="279"/>
        <v>0</v>
      </c>
      <c r="EQ94" s="60"/>
      <c r="ER94" s="60"/>
      <c r="ES94" s="742"/>
      <c r="ET94" s="300">
        <v>0</v>
      </c>
      <c r="EU94" s="300">
        <v>0</v>
      </c>
      <c r="EV94" s="300"/>
      <c r="EW94" s="300"/>
      <c r="EX94" s="300"/>
      <c r="EY94" s="416">
        <f t="shared" si="258"/>
        <v>0</v>
      </c>
      <c r="EZ94" s="297"/>
      <c r="FA94" s="308"/>
      <c r="FB94" s="546" t="s">
        <v>897</v>
      </c>
      <c r="FC94" s="357" t="s">
        <v>804</v>
      </c>
      <c r="FD94" s="89">
        <f t="shared" ca="1" si="325"/>
        <v>44728</v>
      </c>
      <c r="FE94" s="63"/>
      <c r="FF94" s="63"/>
      <c r="FG94" s="63"/>
      <c r="FH94" s="63"/>
      <c r="FI94" s="63"/>
      <c r="FJ94" s="22"/>
      <c r="FK94" s="146">
        <f t="shared" si="300"/>
        <v>44392</v>
      </c>
      <c r="FL94" s="146"/>
      <c r="FM94" s="146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451"/>
      <c r="GB94" s="471">
        <f>GD94+GG94+GJ94+HF94+Tableau6[[#This Row],[PRÊT CREDIT D''IMPOT (PM)]]</f>
        <v>2090128</v>
      </c>
      <c r="GC94" s="645"/>
      <c r="GD94" s="507">
        <f t="shared" si="297"/>
        <v>291620</v>
      </c>
      <c r="GE94" s="20" t="e">
        <f t="shared" si="280"/>
        <v>#DIV/0!</v>
      </c>
      <c r="GF94" s="20">
        <f t="shared" si="281"/>
        <v>46447.288888888892</v>
      </c>
      <c r="GG94" s="503"/>
      <c r="GH94" s="353"/>
      <c r="GI94" s="20" t="e">
        <f>#REF!/AD94</f>
        <v>#REF!</v>
      </c>
      <c r="GJ94" s="503">
        <f t="shared" si="282"/>
        <v>1798508</v>
      </c>
      <c r="GK94" s="5">
        <v>1348508</v>
      </c>
      <c r="GL94" s="212"/>
      <c r="GM94" s="212"/>
      <c r="GN94" s="345">
        <f t="shared" si="283"/>
        <v>29966.844444444443</v>
      </c>
      <c r="GO94" s="36"/>
      <c r="GP94" s="35">
        <v>281250</v>
      </c>
      <c r="GQ94" s="35"/>
      <c r="GR94" s="18">
        <f t="shared" si="284"/>
        <v>0.13456113692558541</v>
      </c>
      <c r="GS94" s="35">
        <v>450000</v>
      </c>
      <c r="GT94" s="35"/>
      <c r="GU94" s="35">
        <v>10370</v>
      </c>
      <c r="GV94" s="20">
        <f t="shared" ref="GV94:GV111" si="331">GP94/AD94</f>
        <v>6250</v>
      </c>
      <c r="GW94" s="20">
        <f t="shared" ref="GW94:GW111" si="332">(GG94+GP94)/AD94</f>
        <v>6250</v>
      </c>
      <c r="GX94" s="569"/>
      <c r="GY94" s="569"/>
      <c r="GZ94" s="567" t="e">
        <f>(#REF!+#REF!+GY94)/AD94</f>
        <v>#REF!</v>
      </c>
      <c r="HA94" s="569"/>
      <c r="HB94" s="569">
        <f t="shared" ref="HB94:HB111" si="333">(GG94+GP94+GY94+HA94)/AD94</f>
        <v>6250</v>
      </c>
      <c r="HC94" s="568" t="e">
        <f>(#REF!+#REF!+GY94+HA94)/(GX94+#REF!-HD94)</f>
        <v>#REF!</v>
      </c>
      <c r="HD94" s="569"/>
      <c r="HE94" s="569"/>
      <c r="HF94" s="503"/>
      <c r="HG94" s="633">
        <v>435509.55661999999</v>
      </c>
      <c r="HH94" s="634">
        <f t="shared" si="285"/>
        <v>0.20836501717598155</v>
      </c>
      <c r="HI94" s="633">
        <f t="shared" si="251"/>
        <v>1654618.4433800001</v>
      </c>
      <c r="HJ94" s="633" t="e">
        <f ca="1">IF(EE94&lt;DATEDIF(TODAY(),$HJ$1,"M"),HI94,(HI94/EE94*DATEDIF(TODAY(),$HJ$1,"M")))</f>
        <v>#VALUE!</v>
      </c>
      <c r="HK94" s="634" t="e">
        <f t="shared" ca="1" si="328"/>
        <v>#VALUE!</v>
      </c>
      <c r="HL94" s="633"/>
      <c r="HM94" s="633">
        <f t="shared" si="329"/>
        <v>291620</v>
      </c>
      <c r="HN94" s="633">
        <f t="shared" si="330"/>
        <v>0</v>
      </c>
      <c r="HO94" s="633"/>
      <c r="HP94" s="563"/>
      <c r="HQ94" s="47"/>
      <c r="HR94" s="563"/>
      <c r="HS94" s="563">
        <f>SUM(Tableau6[[#This Row],[GO]:[CARRELAGE]])</f>
        <v>0</v>
      </c>
      <c r="HT94" s="461"/>
      <c r="HU94" s="461"/>
      <c r="HV94" s="461"/>
      <c r="HW94" s="461"/>
      <c r="HX94" s="461"/>
      <c r="HY94" s="461"/>
      <c r="HZ94" s="461"/>
      <c r="IA94" s="461"/>
      <c r="IB94" s="461"/>
      <c r="IC94" s="461"/>
      <c r="ID94" s="461"/>
      <c r="IE94" s="461"/>
      <c r="IF94" s="461"/>
      <c r="IG94" s="563"/>
      <c r="IH94" s="563"/>
      <c r="II94" s="563">
        <f>HP94+HR94+Tableau6[[#This Row],[TRAVAUX BATIS]]+Tableau6[[#This Row],[HONORAIRES]]+IH94</f>
        <v>0</v>
      </c>
      <c r="IJ94" s="654">
        <f>Tableau6[[#This Row],[TOTAL PRP HT]]-Tableau6[[#This Row],[PRP TTC HORS FRAFU]]/1.021</f>
        <v>-2047138.0999020571</v>
      </c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</row>
    <row r="95" spans="1:256" ht="20.149999999999999" customHeight="1">
      <c r="A95" s="43" t="s">
        <v>865</v>
      </c>
      <c r="B95" s="22" t="s">
        <v>21</v>
      </c>
      <c r="C95" s="22" t="s">
        <v>86</v>
      </c>
      <c r="D95" s="22">
        <v>2019</v>
      </c>
      <c r="E95" s="22" t="s">
        <v>669</v>
      </c>
      <c r="F95" s="57"/>
      <c r="G95" s="57"/>
      <c r="H95" s="57"/>
      <c r="I95" s="22"/>
      <c r="J95" s="22"/>
      <c r="K95" s="134"/>
      <c r="L95" s="81"/>
      <c r="M95" s="82"/>
      <c r="N95" s="83"/>
      <c r="O95" s="103">
        <v>1048</v>
      </c>
      <c r="P95" s="103"/>
      <c r="Q95" s="103"/>
      <c r="R95" s="103">
        <f>P95/AD95</f>
        <v>0</v>
      </c>
      <c r="S95" s="103">
        <f>P95/O95</f>
        <v>0</v>
      </c>
      <c r="T95" s="109">
        <f>Q95/O95</f>
        <v>0</v>
      </c>
      <c r="U95" s="109">
        <f>Q95/AK95</f>
        <v>0</v>
      </c>
      <c r="V95" s="109">
        <f>Q95/AD95</f>
        <v>0</v>
      </c>
      <c r="W95" s="103">
        <f>O95/AD95</f>
        <v>80.615384615384613</v>
      </c>
      <c r="X95" s="104"/>
      <c r="Y95" s="447">
        <f t="shared" si="261"/>
        <v>124.04580152671755</v>
      </c>
      <c r="Z95" s="104" t="s">
        <v>159</v>
      </c>
      <c r="AA95" s="104">
        <v>520</v>
      </c>
      <c r="AB95" s="105"/>
      <c r="AC95" s="23" t="s">
        <v>10</v>
      </c>
      <c r="AD95" s="426">
        <f t="shared" si="262"/>
        <v>13</v>
      </c>
      <c r="AE95" s="426">
        <f t="shared" si="263"/>
        <v>13</v>
      </c>
      <c r="AF95" s="32"/>
      <c r="AG95" s="22">
        <v>13</v>
      </c>
      <c r="AH95" s="32"/>
      <c r="AI95" s="32"/>
      <c r="AJ95" s="615">
        <v>612.77</v>
      </c>
      <c r="AK95" s="225">
        <v>815.16</v>
      </c>
      <c r="AL95" s="492">
        <f t="shared" si="264"/>
        <v>47.136153846153846</v>
      </c>
      <c r="AM95" s="4">
        <f t="shared" si="265"/>
        <v>62.70461538461538</v>
      </c>
      <c r="AN95" s="26"/>
      <c r="AO95" s="26"/>
      <c r="AP95" s="26"/>
      <c r="AQ95" s="39"/>
      <c r="AR95" s="39">
        <f>13/AD95</f>
        <v>1</v>
      </c>
      <c r="AS95" s="39"/>
      <c r="AT95" s="39"/>
      <c r="AU95" s="39"/>
      <c r="AV95" s="26"/>
      <c r="AW95" s="37" t="s">
        <v>129</v>
      </c>
      <c r="AX95" s="37" t="s">
        <v>129</v>
      </c>
      <c r="AY95" s="26">
        <v>5</v>
      </c>
      <c r="AZ95" s="22" t="s">
        <v>386</v>
      </c>
      <c r="BA95" s="22" t="s">
        <v>94</v>
      </c>
      <c r="BB95" s="118">
        <v>1552984.0245998099</v>
      </c>
      <c r="BC95" s="437">
        <f>BB95/AJ95</f>
        <v>2534.3669314747949</v>
      </c>
      <c r="BD95" s="332">
        <f>BB95/AK95</f>
        <v>1905.1278578436256</v>
      </c>
      <c r="BE95" s="334">
        <f>BB95/AD95</f>
        <v>119460.30958460076</v>
      </c>
      <c r="BF95" s="123"/>
      <c r="BG95" s="123"/>
      <c r="BH95" s="56">
        <v>43522</v>
      </c>
      <c r="BI95" s="56">
        <v>43713</v>
      </c>
      <c r="BJ95" s="548">
        <v>43543</v>
      </c>
      <c r="BK95" s="548">
        <v>43788</v>
      </c>
      <c r="BL95" s="549"/>
      <c r="BM95" s="547">
        <f t="shared" si="266"/>
        <v>8.1666666666666661</v>
      </c>
      <c r="BN95" s="490" t="s">
        <v>229</v>
      </c>
      <c r="BO95" s="77">
        <v>43803</v>
      </c>
      <c r="BP95" s="100">
        <v>43864</v>
      </c>
      <c r="BQ95" s="536">
        <f t="shared" si="247"/>
        <v>2.0333333333333332</v>
      </c>
      <c r="BR95" s="529">
        <v>106174</v>
      </c>
      <c r="BS95" s="77"/>
      <c r="BT95" s="77">
        <v>43868</v>
      </c>
      <c r="BU95" s="151">
        <v>43891</v>
      </c>
      <c r="BV95" s="150">
        <f t="shared" si="267"/>
        <v>44986</v>
      </c>
      <c r="BW95" s="373">
        <f>33142+2784</f>
        <v>35926</v>
      </c>
      <c r="BX95" s="150" t="str">
        <f>IF(Tableau6[[#This Row],[Montant des loyers perçus avant 1e échéance]]&lt;BW95,"oui","non")</f>
        <v>non</v>
      </c>
      <c r="BY95" s="475">
        <f>(BV95-EL95)/30</f>
        <v>7.4666666666666668</v>
      </c>
      <c r="BZ95" s="373">
        <f>IF((BY95*EO95)&lt;0,"0",BY95*EO95)</f>
        <v>36049.066666666666</v>
      </c>
      <c r="CA95" s="373">
        <f>IF(BW95-BZ95&lt;0,0,Tableau6[[#This Row],[Montant échéance annuelle]]-Tableau6[[#This Row],[Montant des loyers perçus avant 1e échéance]])</f>
        <v>0</v>
      </c>
      <c r="CB95" s="288"/>
      <c r="CC95" s="288"/>
      <c r="CD95" s="288"/>
      <c r="CE95" s="290" t="str">
        <f t="shared" si="253"/>
        <v>0</v>
      </c>
      <c r="CF95" s="288"/>
      <c r="CG95" s="288"/>
      <c r="CH95" s="290" t="str">
        <f t="shared" si="254"/>
        <v>0</v>
      </c>
      <c r="CI95" s="288"/>
      <c r="CJ95" s="288"/>
      <c r="CK95" s="290" t="str">
        <f t="shared" si="255"/>
        <v>0</v>
      </c>
      <c r="CL95" s="288"/>
      <c r="CM95" s="288"/>
      <c r="CN95" s="290" t="str">
        <f t="shared" si="256"/>
        <v>0</v>
      </c>
      <c r="CO95" s="288"/>
      <c r="CP95" s="288"/>
      <c r="CQ95" s="290" t="str">
        <f t="shared" si="268"/>
        <v>0</v>
      </c>
      <c r="CR95" s="237"/>
      <c r="CS95" s="289"/>
      <c r="CT95" s="277"/>
      <c r="CU95" s="278"/>
      <c r="CV95" s="279" t="str">
        <f t="shared" si="321"/>
        <v>0</v>
      </c>
      <c r="CW95" s="277"/>
      <c r="CX95" s="382">
        <v>44094</v>
      </c>
      <c r="CY95" s="178"/>
      <c r="CZ95" s="231">
        <f t="shared" si="327"/>
        <v>10.199999999999999</v>
      </c>
      <c r="DA95" s="279" t="str">
        <f t="shared" si="269"/>
        <v>0</v>
      </c>
      <c r="DB95" s="383">
        <v>21</v>
      </c>
      <c r="DC95" s="127">
        <f t="shared" si="270"/>
        <v>22</v>
      </c>
      <c r="DD95" s="277"/>
      <c r="DE95" s="282">
        <f t="shared" ca="1" si="322"/>
        <v>43998</v>
      </c>
      <c r="DF95" s="279" t="str">
        <f t="shared" ca="1" si="271"/>
        <v>0</v>
      </c>
      <c r="DG95" s="277"/>
      <c r="DH95" s="295">
        <f t="shared" ca="1" si="326"/>
        <v>43998</v>
      </c>
      <c r="DI95" s="280" t="str">
        <f t="shared" ca="1" si="272"/>
        <v>0</v>
      </c>
      <c r="DJ95" s="281"/>
      <c r="DK95" s="295">
        <f t="shared" ca="1" si="320"/>
        <v>43998</v>
      </c>
      <c r="DL95" s="279"/>
      <c r="DM95" s="282"/>
      <c r="DN95" s="282">
        <f t="shared" ca="1" si="323"/>
        <v>43998</v>
      </c>
      <c r="DO95" s="279" t="str">
        <f t="shared" ca="1" si="274"/>
        <v>0</v>
      </c>
      <c r="DP95" s="283"/>
      <c r="DQ95" s="283"/>
      <c r="DR95" s="279" t="str">
        <f t="shared" si="275"/>
        <v>0</v>
      </c>
      <c r="DS95" s="282"/>
      <c r="DT95" s="282">
        <f t="shared" ca="1" si="318"/>
        <v>43998</v>
      </c>
      <c r="DU95" s="279" t="str">
        <f t="shared" ca="1" si="276"/>
        <v>0</v>
      </c>
      <c r="DV95" s="282"/>
      <c r="DW95" s="282">
        <f t="shared" ca="1" si="324"/>
        <v>43998</v>
      </c>
      <c r="DX95" s="279" t="str">
        <f t="shared" ca="1" si="277"/>
        <v>0</v>
      </c>
      <c r="DY95" s="282"/>
      <c r="DZ95" s="282"/>
      <c r="EA95" s="282"/>
      <c r="EB95" s="410">
        <f t="shared" si="259"/>
        <v>44732</v>
      </c>
      <c r="EC95" s="409">
        <f>DATE(YEAR(EB95),MONTH(EB95)+1,DAY(EB95))</f>
        <v>44762</v>
      </c>
      <c r="ED95" s="406">
        <f t="shared" si="278"/>
        <v>1</v>
      </c>
      <c r="EE95" s="505">
        <f t="shared" ca="1" si="257"/>
        <v>25.466666666666665</v>
      </c>
      <c r="EF95" s="409">
        <f t="shared" ca="1" si="304"/>
        <v>44728</v>
      </c>
      <c r="EG95" s="457"/>
      <c r="EH95" s="448"/>
      <c r="EI95" s="458"/>
      <c r="EJ95" s="242"/>
      <c r="EK95" s="456">
        <f t="shared" si="319"/>
        <v>44762</v>
      </c>
      <c r="EL95" s="409">
        <f>DATE(YEAR(EC95),MONTH(EC95),DAY(EC95))</f>
        <v>44762</v>
      </c>
      <c r="EM95" s="314"/>
      <c r="EN95" s="404">
        <f>(DATEDIF(EK95,EL95,"d"))/30</f>
        <v>0</v>
      </c>
      <c r="EO95" s="394">
        <v>4828</v>
      </c>
      <c r="EP95" s="131">
        <f t="shared" si="279"/>
        <v>0</v>
      </c>
      <c r="EQ95" s="60"/>
      <c r="ER95" s="60"/>
      <c r="ES95" s="742">
        <f>(Tableau6[[#This Row],[Date inauguration recalée]]-ER95)/30</f>
        <v>1492.0666666666666</v>
      </c>
      <c r="ET95" s="300"/>
      <c r="EU95" s="300"/>
      <c r="EV95" s="300"/>
      <c r="EW95" s="300"/>
      <c r="EX95" s="300"/>
      <c r="EY95" s="416">
        <f t="shared" si="258"/>
        <v>0</v>
      </c>
      <c r="EZ95" s="297"/>
      <c r="FA95" s="308"/>
      <c r="FB95" s="297"/>
      <c r="FC95" s="24" t="s">
        <v>806</v>
      </c>
      <c r="FD95" s="89">
        <f t="shared" ca="1" si="325"/>
        <v>44728</v>
      </c>
      <c r="FE95" s="63"/>
      <c r="FF95" s="63"/>
      <c r="FG95" s="63"/>
      <c r="FH95" s="63"/>
      <c r="FI95" s="63"/>
      <c r="FJ95" s="22"/>
      <c r="FK95" s="146">
        <f t="shared" si="300"/>
        <v>45127</v>
      </c>
      <c r="FL95" s="146"/>
      <c r="FM95" s="146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451"/>
      <c r="GB95" s="471">
        <f>GD95+GG95+GJ95+HF95+Tableau6[[#This Row],[PRÊT CREDIT D''IMPOT (PM)]]</f>
        <v>2107369.3180946549</v>
      </c>
      <c r="GC95" s="646">
        <f>GB95</f>
        <v>2107369.3180946549</v>
      </c>
      <c r="GD95" s="507">
        <f t="shared" si="297"/>
        <v>325000</v>
      </c>
      <c r="GE95" s="20">
        <f t="shared" si="280"/>
        <v>2585.2216964702084</v>
      </c>
      <c r="GF95" s="20">
        <f t="shared" si="281"/>
        <v>162105.3321611273</v>
      </c>
      <c r="GG95" s="503">
        <v>467856</v>
      </c>
      <c r="GH95" s="351">
        <v>467856.31809465517</v>
      </c>
      <c r="GI95" s="20">
        <f>GG95/AD95</f>
        <v>35988.923076923078</v>
      </c>
      <c r="GJ95" s="503">
        <f t="shared" si="282"/>
        <v>846657</v>
      </c>
      <c r="GK95" s="5">
        <f>GL95+GM95</f>
        <v>846657</v>
      </c>
      <c r="GL95" s="827">
        <v>140403</v>
      </c>
      <c r="GM95" s="827">
        <v>706254</v>
      </c>
      <c r="GN95" s="345">
        <f t="shared" si="283"/>
        <v>65127.461538461539</v>
      </c>
      <c r="GO95" s="514"/>
      <c r="GP95" s="578">
        <v>325000</v>
      </c>
      <c r="GQ95" s="35"/>
      <c r="GR95" s="18">
        <f t="shared" si="284"/>
        <v>0.1542207135737573</v>
      </c>
      <c r="GS95" s="45"/>
      <c r="GT95" s="45"/>
      <c r="GU95" s="35"/>
      <c r="GV95" s="20">
        <f t="shared" si="331"/>
        <v>25000</v>
      </c>
      <c r="GW95" s="20">
        <f t="shared" si="332"/>
        <v>60988.923076923078</v>
      </c>
      <c r="GX95" s="569"/>
      <c r="GY95" s="569"/>
      <c r="GZ95" s="567">
        <f>(GG95+GP95+GY95)/AD95</f>
        <v>60988.923076923078</v>
      </c>
      <c r="HA95" s="569"/>
      <c r="HB95" s="569">
        <f t="shared" si="333"/>
        <v>60988.923076923078</v>
      </c>
      <c r="HC95" s="568">
        <f>(GG95+GP95+GY95+HA95)/(GX95+GB95-HD95)</f>
        <v>0.37623020948072283</v>
      </c>
      <c r="HD95" s="569"/>
      <c r="HE95" s="569"/>
      <c r="HF95" s="503"/>
      <c r="HG95" s="633"/>
      <c r="HH95" s="634">
        <f t="shared" si="285"/>
        <v>0</v>
      </c>
      <c r="HI95" s="633">
        <f t="shared" ref="HI95:HI111" si="334">GB95-HG95</f>
        <v>2107369.3180946549</v>
      </c>
      <c r="HJ95" s="633" t="e">
        <f ca="1">IF(EE95&lt;DATEDIF(TODAY(),$HJ$1,"M"),HI95,(HI95/EE95*DATEDIF(TODAY(),$HJ$1,"M")))*0</f>
        <v>#VALUE!</v>
      </c>
      <c r="HK95" s="634" t="e">
        <f t="shared" ca="1" si="328"/>
        <v>#VALUE!</v>
      </c>
      <c r="HL95" s="633"/>
      <c r="HM95" s="633">
        <f t="shared" si="329"/>
        <v>325000</v>
      </c>
      <c r="HN95" s="633">
        <f t="shared" si="330"/>
        <v>0</v>
      </c>
      <c r="HO95" s="633"/>
      <c r="HP95" s="563">
        <v>136059.94008286134</v>
      </c>
      <c r="HQ95" s="47">
        <v>133648.2424743025</v>
      </c>
      <c r="HR95" s="563">
        <v>130232</v>
      </c>
      <c r="HS95" s="563">
        <f>SUM(Tableau6[[#This Row],[GO]:[CARRELAGE]])</f>
        <v>0</v>
      </c>
      <c r="HT95" s="461"/>
      <c r="HU95" s="461"/>
      <c r="HV95" s="461"/>
      <c r="HW95" s="461"/>
      <c r="HX95" s="461"/>
      <c r="HY95" s="461"/>
      <c r="HZ95" s="461"/>
      <c r="IA95" s="461"/>
      <c r="IB95" s="461"/>
      <c r="IC95" s="461"/>
      <c r="ID95" s="461"/>
      <c r="IE95" s="461"/>
      <c r="IF95" s="461"/>
      <c r="IG95" s="563">
        <v>422665</v>
      </c>
      <c r="IH95" s="563">
        <v>24280</v>
      </c>
      <c r="II95" s="563">
        <f>HP95+HR95+Tableau6[[#This Row],[TRAVAUX BATIS]]+Tableau6[[#This Row],[HONORAIRES]]+IH95</f>
        <v>713236.94008286134</v>
      </c>
      <c r="IJ95" s="654">
        <f>Tableau6[[#This Row],[TOTAL PRP HT]]-Tableau6[[#This Row],[PRP TTC HORS FRAFU]]/1.021</f>
        <v>-1350787.8572674375</v>
      </c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</row>
    <row r="96" spans="1:256" ht="20.149999999999999" customHeight="1">
      <c r="A96" s="428" t="s">
        <v>757</v>
      </c>
      <c r="B96" s="22" t="s">
        <v>21</v>
      </c>
      <c r="C96" s="22" t="s">
        <v>86</v>
      </c>
      <c r="D96" s="22">
        <v>2019</v>
      </c>
      <c r="E96" s="22" t="s">
        <v>670</v>
      </c>
      <c r="F96" s="22" t="s">
        <v>40</v>
      </c>
      <c r="G96" s="22" t="s">
        <v>139</v>
      </c>
      <c r="H96" s="24" t="s">
        <v>136</v>
      </c>
      <c r="I96" s="22"/>
      <c r="J96" s="22" t="s">
        <v>594</v>
      </c>
      <c r="K96" s="134"/>
      <c r="L96" s="81"/>
      <c r="M96" s="82"/>
      <c r="N96" s="83"/>
      <c r="O96" s="103">
        <f>4764/66*AD96</f>
        <v>3320.3636363636365</v>
      </c>
      <c r="P96" s="103">
        <f>860000/66*AD96</f>
        <v>599393.93939393933</v>
      </c>
      <c r="Q96" s="103">
        <f>860000/66*AD96</f>
        <v>599393.93939393933</v>
      </c>
      <c r="R96" s="103">
        <f>P96/AD96</f>
        <v>13030.303030303028</v>
      </c>
      <c r="S96" s="103">
        <f>P96/O96</f>
        <v>180.52057094878251</v>
      </c>
      <c r="T96" s="109">
        <f>Q96/O96</f>
        <v>180.52057094878251</v>
      </c>
      <c r="U96" s="109">
        <f>Q96/AK96</f>
        <v>144.6051037852323</v>
      </c>
      <c r="V96" s="109">
        <f>Q96/AD96</f>
        <v>13030.303030303028</v>
      </c>
      <c r="W96" s="103">
        <f>O96/AD96</f>
        <v>72.181818181818187</v>
      </c>
      <c r="X96" s="104"/>
      <c r="Y96" s="447">
        <f t="shared" si="261"/>
        <v>138.53904282115869</v>
      </c>
      <c r="Z96" s="104" t="s">
        <v>148</v>
      </c>
      <c r="AA96" s="104">
        <v>580</v>
      </c>
      <c r="AB96" s="105"/>
      <c r="AC96" s="22" t="s">
        <v>9</v>
      </c>
      <c r="AD96" s="426">
        <f t="shared" si="262"/>
        <v>46</v>
      </c>
      <c r="AE96" s="426">
        <f t="shared" si="263"/>
        <v>46</v>
      </c>
      <c r="AF96" s="22">
        <v>46</v>
      </c>
      <c r="AG96" s="32"/>
      <c r="AH96" s="32"/>
      <c r="AI96" s="32"/>
      <c r="AJ96" s="615">
        <v>3552.52</v>
      </c>
      <c r="AK96" s="222">
        <v>4145.04</v>
      </c>
      <c r="AL96" s="492">
        <f t="shared" si="264"/>
        <v>77.228695652173911</v>
      </c>
      <c r="AM96" s="26">
        <f t="shared" si="265"/>
        <v>90.109565217391307</v>
      </c>
      <c r="AN96" s="26">
        <v>7.58</v>
      </c>
      <c r="AO96" s="26">
        <v>6.5</v>
      </c>
      <c r="AP96" s="26">
        <v>585.70000000000005</v>
      </c>
      <c r="AQ96" s="39"/>
      <c r="AR96" s="39"/>
      <c r="AS96" s="39">
        <f>30/AD96</f>
        <v>0.65217391304347827</v>
      </c>
      <c r="AT96" s="39">
        <f>16/AD96</f>
        <v>0.34782608695652173</v>
      </c>
      <c r="AU96" s="39"/>
      <c r="AV96" s="26"/>
      <c r="AW96" s="37" t="s">
        <v>129</v>
      </c>
      <c r="AX96" s="37" t="s">
        <v>129</v>
      </c>
      <c r="AY96" s="26"/>
      <c r="AZ96" s="25" t="s">
        <v>386</v>
      </c>
      <c r="BA96" s="22" t="s">
        <v>94</v>
      </c>
      <c r="BB96" s="118">
        <v>8484480.0359200016</v>
      </c>
      <c r="BC96" s="437">
        <f>BB96/AJ96</f>
        <v>2388.2990203911595</v>
      </c>
      <c r="BD96" s="332">
        <f>BB96/AK96</f>
        <v>2046.899435450563</v>
      </c>
      <c r="BE96" s="334">
        <f>BB96/AD96</f>
        <v>184445.21817217395</v>
      </c>
      <c r="BF96" s="123">
        <v>43426</v>
      </c>
      <c r="BG96" s="123"/>
      <c r="BH96" s="56">
        <v>43445</v>
      </c>
      <c r="BI96" s="89"/>
      <c r="BJ96" s="548">
        <v>43552</v>
      </c>
      <c r="BK96" s="548">
        <v>43745</v>
      </c>
      <c r="BL96" s="549">
        <v>43753</v>
      </c>
      <c r="BM96" s="547">
        <f t="shared" si="266"/>
        <v>6.4333333333333336</v>
      </c>
      <c r="BN96" s="490" t="s">
        <v>229</v>
      </c>
      <c r="BO96" s="77">
        <v>43742</v>
      </c>
      <c r="BP96" s="100">
        <v>43784</v>
      </c>
      <c r="BQ96" s="536">
        <f t="shared" si="247"/>
        <v>1.4</v>
      </c>
      <c r="BR96" s="529">
        <v>103389</v>
      </c>
      <c r="BS96" s="77"/>
      <c r="BT96" s="77">
        <v>43794</v>
      </c>
      <c r="BU96" s="151">
        <v>43800</v>
      </c>
      <c r="BV96" s="150">
        <f t="shared" si="267"/>
        <v>44896</v>
      </c>
      <c r="BW96" s="373">
        <f>22797+228366</f>
        <v>251163</v>
      </c>
      <c r="BX96" s="150" t="str">
        <f>IF(Tableau6[[#This Row],[Montant des loyers perçus avant 1e échéance]]&lt;BW96,"oui","non")</f>
        <v>oui</v>
      </c>
      <c r="BY96" s="475">
        <f>(BV96-EL96)/30</f>
        <v>7.1333333333333337</v>
      </c>
      <c r="BZ96" s="373">
        <f>IF((BY96*EO96)&lt;0,"0",BY96*EO96)</f>
        <v>0</v>
      </c>
      <c r="CA96" s="373">
        <f>IF(BW96-BZ96&lt;0,0,Tableau6[[#This Row],[Montant échéance annuelle]]-Tableau6[[#This Row],[Montant des loyers perçus avant 1e échéance]])</f>
        <v>251163</v>
      </c>
      <c r="CB96" s="286"/>
      <c r="CC96" s="288"/>
      <c r="CD96" s="288"/>
      <c r="CE96" s="290" t="str">
        <f t="shared" si="253"/>
        <v>0</v>
      </c>
      <c r="CF96" s="288"/>
      <c r="CG96" s="288"/>
      <c r="CH96" s="290" t="str">
        <f t="shared" si="254"/>
        <v>0</v>
      </c>
      <c r="CI96" s="288"/>
      <c r="CJ96" s="288"/>
      <c r="CK96" s="290" t="str">
        <f t="shared" si="255"/>
        <v>0</v>
      </c>
      <c r="CL96" s="288"/>
      <c r="CM96" s="288"/>
      <c r="CN96" s="290" t="str">
        <f t="shared" si="256"/>
        <v>0</v>
      </c>
      <c r="CO96" s="291"/>
      <c r="CP96" s="288"/>
      <c r="CQ96" s="290" t="str">
        <f t="shared" si="268"/>
        <v>0</v>
      </c>
      <c r="CR96" s="237"/>
      <c r="CS96" s="292"/>
      <c r="CT96" s="277"/>
      <c r="CU96" s="278"/>
      <c r="CV96" s="279" t="str">
        <f t="shared" si="321"/>
        <v>0</v>
      </c>
      <c r="CW96" s="431"/>
      <c r="CX96" s="382">
        <v>44013</v>
      </c>
      <c r="CY96" s="178"/>
      <c r="CZ96" s="231">
        <f t="shared" si="327"/>
        <v>8.9333333333333336</v>
      </c>
      <c r="DA96" s="279" t="str">
        <f t="shared" si="269"/>
        <v>0</v>
      </c>
      <c r="DB96" s="383">
        <v>21</v>
      </c>
      <c r="DC96" s="127">
        <f t="shared" si="270"/>
        <v>22</v>
      </c>
      <c r="DD96" s="277"/>
      <c r="DE96" s="282">
        <f t="shared" ca="1" si="322"/>
        <v>43998</v>
      </c>
      <c r="DF96" s="279" t="str">
        <f t="shared" ca="1" si="271"/>
        <v>0</v>
      </c>
      <c r="DG96" s="277"/>
      <c r="DH96" s="295">
        <f t="shared" ca="1" si="326"/>
        <v>43998</v>
      </c>
      <c r="DI96" s="280" t="str">
        <f t="shared" ca="1" si="272"/>
        <v>0</v>
      </c>
      <c r="DJ96" s="281"/>
      <c r="DK96" s="295">
        <f t="shared" ca="1" si="320"/>
        <v>43998</v>
      </c>
      <c r="DL96" s="279" t="str">
        <f t="shared" ref="DL96:DL129" ca="1" si="335">IF(AND(DJ96&gt;0,DK96&gt;0),DK96-DJ96,"0")</f>
        <v>0</v>
      </c>
      <c r="DM96" s="282"/>
      <c r="DN96" s="282">
        <f t="shared" ca="1" si="323"/>
        <v>43998</v>
      </c>
      <c r="DO96" s="279" t="str">
        <f t="shared" ca="1" si="274"/>
        <v>0</v>
      </c>
      <c r="DP96" s="283"/>
      <c r="DQ96" s="283"/>
      <c r="DR96" s="279" t="str">
        <f t="shared" si="275"/>
        <v>0</v>
      </c>
      <c r="DS96" s="282"/>
      <c r="DT96" s="282">
        <f t="shared" ca="1" si="318"/>
        <v>43998</v>
      </c>
      <c r="DU96" s="279" t="str">
        <f t="shared" ca="1" si="276"/>
        <v>0</v>
      </c>
      <c r="DV96" s="282"/>
      <c r="DW96" s="282">
        <f t="shared" ca="1" si="324"/>
        <v>43998</v>
      </c>
      <c r="DX96" s="279" t="str">
        <f t="shared" ca="1" si="277"/>
        <v>0</v>
      </c>
      <c r="DY96" s="282"/>
      <c r="DZ96" s="282"/>
      <c r="EA96" s="282"/>
      <c r="EB96" s="410">
        <f t="shared" si="259"/>
        <v>44652</v>
      </c>
      <c r="EC96" s="409">
        <f>DATE(YEAR(EB96),MONTH(EB96)+1,DAY(EB96))</f>
        <v>44682</v>
      </c>
      <c r="ED96" s="406">
        <f t="shared" si="278"/>
        <v>1</v>
      </c>
      <c r="EE96" s="505">
        <f t="shared" ca="1" si="257"/>
        <v>22.8</v>
      </c>
      <c r="EF96" s="409">
        <f t="shared" ca="1" si="304"/>
        <v>44728</v>
      </c>
      <c r="EG96" s="457"/>
      <c r="EH96" s="448"/>
      <c r="EI96" s="458"/>
      <c r="EJ96" s="242"/>
      <c r="EK96" s="456">
        <f t="shared" si="319"/>
        <v>44682</v>
      </c>
      <c r="EL96" s="409">
        <f>DATE(YEAR(EC96),MONTH(EC96),DAY(EC96))</f>
        <v>44682</v>
      </c>
      <c r="EM96" s="314"/>
      <c r="EN96" s="404">
        <f>(DATEDIF(EK96,EL96,"d"))/30</f>
        <v>0</v>
      </c>
      <c r="EO96" s="394"/>
      <c r="EP96" s="131">
        <f t="shared" si="279"/>
        <v>0</v>
      </c>
      <c r="EQ96" s="60"/>
      <c r="ER96" s="60"/>
      <c r="ES96" s="742">
        <f>(Tableau6[[#This Row],[Date inauguration recalée]]-ER96)/30</f>
        <v>1489.4</v>
      </c>
      <c r="ET96" s="300"/>
      <c r="EU96" s="300">
        <v>0</v>
      </c>
      <c r="EV96" s="300"/>
      <c r="EW96" s="300"/>
      <c r="EX96" s="300"/>
      <c r="EY96" s="416">
        <f t="shared" si="258"/>
        <v>0</v>
      </c>
      <c r="EZ96" s="297"/>
      <c r="FA96" s="308"/>
      <c r="FB96" s="297"/>
      <c r="FC96" s="22" t="s">
        <v>807</v>
      </c>
      <c r="FD96" s="89">
        <f t="shared" ca="1" si="325"/>
        <v>44728</v>
      </c>
      <c r="FE96" s="63"/>
      <c r="FF96" s="63"/>
      <c r="FG96" s="63"/>
      <c r="FH96" s="63"/>
      <c r="FI96" s="63"/>
      <c r="FJ96" s="22"/>
      <c r="FK96" s="146">
        <f t="shared" si="300"/>
        <v>45047</v>
      </c>
      <c r="FL96" s="146"/>
      <c r="FM96" s="146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451"/>
      <c r="GB96" s="471">
        <f>GD96+GG96+GJ96+HF96+Tableau6[[#This Row],[PRÊT CREDIT D''IMPOT (PM)]]</f>
        <v>11598703.350816781</v>
      </c>
      <c r="GC96" s="645">
        <f>GB96</f>
        <v>11598703.350816781</v>
      </c>
      <c r="GD96" s="507">
        <f t="shared" si="297"/>
        <v>1150000</v>
      </c>
      <c r="GE96" s="20">
        <f t="shared" si="280"/>
        <v>2798.212647119637</v>
      </c>
      <c r="GF96" s="20">
        <f t="shared" si="281"/>
        <v>252145.72501775611</v>
      </c>
      <c r="GG96" s="503">
        <v>2703600.4813463944</v>
      </c>
      <c r="GH96" s="351">
        <v>2703600</v>
      </c>
      <c r="GI96" s="20">
        <f>GG96/AD96</f>
        <v>58773.923507530315</v>
      </c>
      <c r="GJ96" s="503">
        <f t="shared" si="282"/>
        <v>5041502.8694703858</v>
      </c>
      <c r="GK96" s="5">
        <f>GL96+GM96</f>
        <v>5041502.8694703858</v>
      </c>
      <c r="GL96" s="149">
        <v>908634.83638869505</v>
      </c>
      <c r="GM96" s="149">
        <v>4132868.0330816912</v>
      </c>
      <c r="GN96" s="345">
        <f t="shared" si="283"/>
        <v>109597.88846674752</v>
      </c>
      <c r="GO96" s="514"/>
      <c r="GP96" s="578">
        <v>1150000</v>
      </c>
      <c r="GQ96" s="35"/>
      <c r="GR96" s="18">
        <f t="shared" si="284"/>
        <v>9.914901392137225E-2</v>
      </c>
      <c r="GS96" s="35"/>
      <c r="GT96" s="35"/>
      <c r="GU96" s="35"/>
      <c r="GV96" s="20">
        <f t="shared" si="331"/>
        <v>25000</v>
      </c>
      <c r="GW96" s="20">
        <f t="shared" si="332"/>
        <v>83773.923507530315</v>
      </c>
      <c r="GX96" s="569"/>
      <c r="GY96" s="569"/>
      <c r="GZ96" s="569">
        <f>(GG96+GP96+GY96)/AD96</f>
        <v>83773.923507530315</v>
      </c>
      <c r="HA96" s="569"/>
      <c r="HB96" s="569">
        <f t="shared" si="333"/>
        <v>83773.923507530315</v>
      </c>
      <c r="HC96" s="568">
        <f>(GG96+GP96+GY96+HA96)/(GX96+GB96-HD96)</f>
        <v>0.3322440763238439</v>
      </c>
      <c r="HD96" s="569"/>
      <c r="HE96" s="569"/>
      <c r="HF96" s="503">
        <f>EU96</f>
        <v>0</v>
      </c>
      <c r="HG96" s="633">
        <v>95905</v>
      </c>
      <c r="HH96" s="634">
        <f t="shared" si="285"/>
        <v>8.2685966783732218E-3</v>
      </c>
      <c r="HI96" s="633">
        <f t="shared" si="334"/>
        <v>11502798.350816781</v>
      </c>
      <c r="HJ96" s="633" t="e">
        <f ca="1">IF(EE96&lt;DATEDIF(TODAY(),$HJ$1,"M"),HI96,(HI96/EE96*DATEDIF(TODAY(),$HJ$1,"M")))*0</f>
        <v>#VALUE!</v>
      </c>
      <c r="HK96" s="634" t="e">
        <f t="shared" ca="1" si="328"/>
        <v>#VALUE!</v>
      </c>
      <c r="HL96" s="633"/>
      <c r="HM96" s="633">
        <f t="shared" si="329"/>
        <v>1150000</v>
      </c>
      <c r="HN96" s="633">
        <f t="shared" si="330"/>
        <v>0</v>
      </c>
      <c r="HO96" s="633"/>
      <c r="HP96" s="563">
        <v>1014198</v>
      </c>
      <c r="HQ96" s="47">
        <v>733984.32717031974</v>
      </c>
      <c r="HR96" s="563">
        <v>556000</v>
      </c>
      <c r="HS96" s="563">
        <f>SUM(Tableau6[[#This Row],[GO]:[CARRELAGE]])</f>
        <v>0</v>
      </c>
      <c r="HT96" s="461"/>
      <c r="HU96" s="461"/>
      <c r="HV96" s="461"/>
      <c r="HW96" s="461"/>
      <c r="HX96" s="461"/>
      <c r="HY96" s="461"/>
      <c r="HZ96" s="461"/>
      <c r="IA96" s="461"/>
      <c r="IB96" s="461"/>
      <c r="IC96" s="461"/>
      <c r="ID96" s="461"/>
      <c r="IE96" s="461"/>
      <c r="IF96" s="461"/>
      <c r="IG96" s="563">
        <v>2100956</v>
      </c>
      <c r="IH96" s="563">
        <v>173439</v>
      </c>
      <c r="II96" s="563">
        <f>HP96+HR96+Tableau6[[#This Row],[TRAVAUX BATIS]]+Tableau6[[#This Row],[HONORAIRES]]+IH96</f>
        <v>3844593</v>
      </c>
      <c r="IJ96" s="654">
        <f>Tableau6[[#This Row],[TOTAL PRP HT]]-Tableau6[[#This Row],[PRP TTC HORS FRAFU]]/1.021</f>
        <v>-7515547.402367074</v>
      </c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</row>
    <row r="97" spans="1:256" ht="30" customHeight="1">
      <c r="A97" s="441" t="s">
        <v>306</v>
      </c>
      <c r="B97" s="22" t="s">
        <v>21</v>
      </c>
      <c r="C97" s="22" t="s">
        <v>86</v>
      </c>
      <c r="D97" s="22">
        <v>2017</v>
      </c>
      <c r="E97" s="22"/>
      <c r="F97" s="22" t="s">
        <v>301</v>
      </c>
      <c r="G97" s="22" t="s">
        <v>138</v>
      </c>
      <c r="H97" s="22" t="s">
        <v>134</v>
      </c>
      <c r="I97" s="22"/>
      <c r="J97" s="22" t="s">
        <v>307</v>
      </c>
      <c r="K97" s="134" t="s">
        <v>362</v>
      </c>
      <c r="L97" s="81"/>
      <c r="M97" s="82"/>
      <c r="N97" s="83"/>
      <c r="O97" s="117"/>
      <c r="P97" s="117"/>
      <c r="Q97" s="117"/>
      <c r="R97" s="117"/>
      <c r="S97" s="117"/>
      <c r="T97" s="330"/>
      <c r="U97" s="330"/>
      <c r="V97" s="330"/>
      <c r="W97" s="117"/>
      <c r="X97" s="104"/>
      <c r="Y97" s="447" t="e">
        <f t="shared" si="261"/>
        <v>#DIV/0!</v>
      </c>
      <c r="Z97" s="104"/>
      <c r="AA97" s="104"/>
      <c r="AB97" s="105"/>
      <c r="AC97" s="22" t="s">
        <v>300</v>
      </c>
      <c r="AD97" s="426">
        <f t="shared" si="262"/>
        <v>74</v>
      </c>
      <c r="AE97" s="426">
        <f t="shared" si="263"/>
        <v>0</v>
      </c>
      <c r="AF97" s="32"/>
      <c r="AG97" s="32"/>
      <c r="AH97" s="32"/>
      <c r="AI97" s="94">
        <v>74</v>
      </c>
      <c r="AJ97" s="614"/>
      <c r="AK97" s="222"/>
      <c r="AL97" s="492">
        <f t="shared" si="264"/>
        <v>0</v>
      </c>
      <c r="AM97" s="26">
        <f t="shared" si="265"/>
        <v>0</v>
      </c>
      <c r="AN97" s="26"/>
      <c r="AO97" s="26"/>
      <c r="AP97" s="26"/>
      <c r="AQ97" s="39"/>
      <c r="AR97" s="39"/>
      <c r="AS97" s="39"/>
      <c r="AT97" s="39"/>
      <c r="AU97" s="39"/>
      <c r="AV97" s="26"/>
      <c r="AW97" s="37"/>
      <c r="AX97" s="39"/>
      <c r="AY97" s="26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548">
        <v>42824</v>
      </c>
      <c r="BK97" s="548">
        <v>43039</v>
      </c>
      <c r="BL97" s="549"/>
      <c r="BM97" s="547">
        <f t="shared" si="266"/>
        <v>7.166666666666667</v>
      </c>
      <c r="BN97" s="490"/>
      <c r="BO97" s="77">
        <v>43081</v>
      </c>
      <c r="BP97" s="100">
        <v>43235</v>
      </c>
      <c r="BQ97" s="537">
        <f t="shared" si="247"/>
        <v>5.1333333333333337</v>
      </c>
      <c r="BR97" s="529">
        <v>78078</v>
      </c>
      <c r="BS97" s="77">
        <f>DATE(YEAR(BP97),MONTH(BP97)+3,DAY(BP97))</f>
        <v>43327</v>
      </c>
      <c r="BT97" s="77"/>
      <c r="BU97" s="151">
        <v>43344</v>
      </c>
      <c r="BV97" s="150">
        <f t="shared" si="267"/>
        <v>44440</v>
      </c>
      <c r="BW97" s="373"/>
      <c r="BX97" s="150" t="str">
        <f>IF(Tableau6[[#This Row],[Montant des loyers perçus avant 1e échéance]]&lt;BW97,"oui","non")</f>
        <v>non</v>
      </c>
      <c r="BY97" s="474"/>
      <c r="BZ97" s="474"/>
      <c r="CA97" s="474"/>
      <c r="CB97" s="159">
        <v>42632</v>
      </c>
      <c r="CC97" s="64"/>
      <c r="CD97" s="64"/>
      <c r="CE97" s="273" t="str">
        <f t="shared" si="253"/>
        <v>0</v>
      </c>
      <c r="CF97" s="64">
        <v>42870</v>
      </c>
      <c r="CG97" s="64">
        <v>42879</v>
      </c>
      <c r="CH97" s="273">
        <f t="shared" si="254"/>
        <v>9</v>
      </c>
      <c r="CI97" s="159">
        <v>42814</v>
      </c>
      <c r="CJ97" s="159">
        <v>42851</v>
      </c>
      <c r="CK97" s="273">
        <f t="shared" si="255"/>
        <v>37</v>
      </c>
      <c r="CL97" s="64">
        <v>42874</v>
      </c>
      <c r="CM97" s="64">
        <v>42935</v>
      </c>
      <c r="CN97" s="273">
        <f t="shared" si="256"/>
        <v>61</v>
      </c>
      <c r="CO97" s="64">
        <v>42936</v>
      </c>
      <c r="CP97" s="64">
        <v>42935</v>
      </c>
      <c r="CQ97" s="273">
        <f t="shared" si="268"/>
        <v>-1</v>
      </c>
      <c r="CR97" s="237"/>
      <c r="CS97" s="293">
        <v>43249</v>
      </c>
      <c r="CT97" s="284">
        <v>43074</v>
      </c>
      <c r="CU97" s="282">
        <f ca="1">IF(CT97&lt;TODAY(),TODAY(),CT97)</f>
        <v>43998</v>
      </c>
      <c r="CV97" s="279">
        <f t="shared" ca="1" si="321"/>
        <v>924</v>
      </c>
      <c r="CW97" s="336">
        <v>43081</v>
      </c>
      <c r="CX97" s="229">
        <v>43355</v>
      </c>
      <c r="CY97" s="230">
        <v>2018</v>
      </c>
      <c r="CZ97" s="235">
        <f t="shared" si="327"/>
        <v>10.533333333333333</v>
      </c>
      <c r="DA97" s="381">
        <f t="shared" si="269"/>
        <v>274</v>
      </c>
      <c r="DB97" s="133">
        <v>12</v>
      </c>
      <c r="DC97" s="59">
        <f t="shared" si="270"/>
        <v>23</v>
      </c>
      <c r="DD97" s="277"/>
      <c r="DE97" s="282">
        <f t="shared" ca="1" si="322"/>
        <v>43998</v>
      </c>
      <c r="DF97" s="279" t="str">
        <f t="shared" ca="1" si="271"/>
        <v>0</v>
      </c>
      <c r="DG97" s="277"/>
      <c r="DH97" s="295">
        <f t="shared" ca="1" si="326"/>
        <v>43998</v>
      </c>
      <c r="DI97" s="337" t="str">
        <f t="shared" ca="1" si="272"/>
        <v>0</v>
      </c>
      <c r="DJ97" s="282"/>
      <c r="DK97" s="295">
        <f t="shared" ca="1" si="320"/>
        <v>43998</v>
      </c>
      <c r="DL97" s="279" t="str">
        <f t="shared" ca="1" si="335"/>
        <v>0</v>
      </c>
      <c r="DM97" s="282">
        <v>43496</v>
      </c>
      <c r="DN97" s="282">
        <f t="shared" ca="1" si="323"/>
        <v>43998</v>
      </c>
      <c r="DO97" s="279">
        <f t="shared" ca="1" si="274"/>
        <v>502</v>
      </c>
      <c r="DP97" s="283"/>
      <c r="DQ97" s="282"/>
      <c r="DR97" s="279" t="str">
        <f t="shared" si="275"/>
        <v>0</v>
      </c>
      <c r="DS97" s="282"/>
      <c r="DT97" s="282">
        <f t="shared" ca="1" si="318"/>
        <v>43998</v>
      </c>
      <c r="DU97" s="279" t="str">
        <f t="shared" ca="1" si="276"/>
        <v>0</v>
      </c>
      <c r="DV97" s="282">
        <v>43573</v>
      </c>
      <c r="DW97" s="282">
        <f t="shared" ca="1" si="324"/>
        <v>43998</v>
      </c>
      <c r="DX97" s="279">
        <f t="shared" ca="1" si="277"/>
        <v>425</v>
      </c>
      <c r="DY97" s="282"/>
      <c r="DZ97" s="282"/>
      <c r="EA97" s="282"/>
      <c r="EB97" s="410">
        <f t="shared" si="259"/>
        <v>43720</v>
      </c>
      <c r="EC97" s="409">
        <v>44058</v>
      </c>
      <c r="ED97" s="406">
        <f t="shared" si="278"/>
        <v>11.266666666666667</v>
      </c>
      <c r="EE97" s="505">
        <f t="shared" ca="1" si="257"/>
        <v>2</v>
      </c>
      <c r="EF97" s="459">
        <f t="shared" ca="1" si="304"/>
        <v>44728</v>
      </c>
      <c r="EG97" s="457"/>
      <c r="EH97" s="448"/>
      <c r="EI97" s="223"/>
      <c r="EJ97" s="242"/>
      <c r="EK97" s="456">
        <f t="shared" si="319"/>
        <v>43750</v>
      </c>
      <c r="EL97" s="409">
        <f>DATE(YEAR(EC97),MONTH(EC97)+1,DAY(EC97))</f>
        <v>44089</v>
      </c>
      <c r="EM97" s="314"/>
      <c r="EN97" s="404">
        <f>(EL97-EK97)/30</f>
        <v>11.3</v>
      </c>
      <c r="EO97" s="395"/>
      <c r="EP97" s="29">
        <f t="shared" si="279"/>
        <v>0</v>
      </c>
      <c r="EQ97" s="60"/>
      <c r="ER97" s="60"/>
      <c r="ES97" s="742"/>
      <c r="ET97" s="300">
        <v>0</v>
      </c>
      <c r="EU97" s="300">
        <v>0</v>
      </c>
      <c r="EV97" s="300">
        <v>111598</v>
      </c>
      <c r="EW97" s="300"/>
      <c r="EX97" s="300"/>
      <c r="EY97" s="416">
        <f t="shared" si="258"/>
        <v>0</v>
      </c>
      <c r="EZ97" s="297"/>
      <c r="FA97" s="308"/>
      <c r="FB97" s="546" t="s">
        <v>899</v>
      </c>
      <c r="FC97" s="357" t="s">
        <v>804</v>
      </c>
      <c r="FD97" s="89">
        <f t="shared" ca="1" si="325"/>
        <v>44728</v>
      </c>
      <c r="FE97" s="63"/>
      <c r="FF97" s="63"/>
      <c r="FG97" s="63"/>
      <c r="FH97" s="63"/>
      <c r="FI97" s="63"/>
      <c r="FJ97" s="22"/>
      <c r="FK97" s="146">
        <f t="shared" si="300"/>
        <v>44423</v>
      </c>
      <c r="FL97" s="146"/>
      <c r="FM97" s="146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451"/>
      <c r="GB97" s="471">
        <f>GD97+GG97+GJ97+HF97+Tableau6[[#This Row],[PRÊT CREDIT D''IMPOT (PM)]]</f>
        <v>3419295</v>
      </c>
      <c r="GC97" s="645"/>
      <c r="GD97" s="507">
        <f t="shared" si="297"/>
        <v>464540</v>
      </c>
      <c r="GE97" s="212" t="e">
        <f t="shared" si="280"/>
        <v>#DIV/0!</v>
      </c>
      <c r="GF97" s="212">
        <f t="shared" si="281"/>
        <v>46206.689189189186</v>
      </c>
      <c r="GG97" s="503"/>
      <c r="GH97" s="610"/>
      <c r="GI97" s="212" t="e">
        <f>#REF!/AD97</f>
        <v>#REF!</v>
      </c>
      <c r="GJ97" s="503">
        <f t="shared" si="282"/>
        <v>2954755</v>
      </c>
      <c r="GK97" s="5">
        <v>2214755</v>
      </c>
      <c r="GL97" s="212"/>
      <c r="GM97" s="212"/>
      <c r="GN97" s="345">
        <f t="shared" si="283"/>
        <v>29929.12162162162</v>
      </c>
      <c r="GO97" s="36"/>
      <c r="GP97" s="35">
        <v>462500</v>
      </c>
      <c r="GQ97" s="35"/>
      <c r="GR97" s="18">
        <f t="shared" si="284"/>
        <v>0.13526180104378241</v>
      </c>
      <c r="GS97" s="35">
        <v>740000</v>
      </c>
      <c r="GT97" s="35"/>
      <c r="GU97" s="35">
        <v>2040</v>
      </c>
      <c r="GV97" s="20">
        <f t="shared" si="331"/>
        <v>6250</v>
      </c>
      <c r="GW97" s="20">
        <f t="shared" si="332"/>
        <v>6250</v>
      </c>
      <c r="GX97" s="569"/>
      <c r="GY97" s="569"/>
      <c r="GZ97" s="567" t="e">
        <f>(#REF!+#REF!+GY97)/AD97</f>
        <v>#REF!</v>
      </c>
      <c r="HA97" s="569"/>
      <c r="HB97" s="569">
        <f t="shared" si="333"/>
        <v>6250</v>
      </c>
      <c r="HC97" s="568" t="e">
        <f>(#REF!+#REF!+GY97+HA97)/(GX97+#REF!-HD97)</f>
        <v>#REF!</v>
      </c>
      <c r="HD97" s="569"/>
      <c r="HE97" s="569"/>
      <c r="HF97" s="503"/>
      <c r="HG97" s="633">
        <v>896776.81884999992</v>
      </c>
      <c r="HH97" s="634">
        <f t="shared" si="285"/>
        <v>0.26226950843668062</v>
      </c>
      <c r="HI97" s="633">
        <f t="shared" si="334"/>
        <v>2522518.1811500001</v>
      </c>
      <c r="HJ97" s="633" t="e">
        <f ca="1">IF(EE97&lt;DATEDIF(TODAY(),$HJ$1,"M"),HI97,(HI97/EE97*DATEDIF(TODAY(),$HJ$1,"M")))</f>
        <v>#VALUE!</v>
      </c>
      <c r="HK97" s="634" t="e">
        <f t="shared" ca="1" si="328"/>
        <v>#VALUE!</v>
      </c>
      <c r="HL97" s="633"/>
      <c r="HM97" s="633">
        <f t="shared" si="329"/>
        <v>464540</v>
      </c>
      <c r="HN97" s="633">
        <f t="shared" si="330"/>
        <v>0</v>
      </c>
      <c r="HO97" s="633"/>
      <c r="HP97" s="563"/>
      <c r="HQ97" s="214"/>
      <c r="HR97" s="563"/>
      <c r="HS97" s="563">
        <f>SUM(Tableau6[[#This Row],[GO]:[CARRELAGE]])</f>
        <v>0</v>
      </c>
      <c r="HT97" s="461"/>
      <c r="HU97" s="461"/>
      <c r="HV97" s="461"/>
      <c r="HW97" s="461"/>
      <c r="HX97" s="461"/>
      <c r="HY97" s="461"/>
      <c r="HZ97" s="461"/>
      <c r="IA97" s="461"/>
      <c r="IB97" s="461"/>
      <c r="IC97" s="461"/>
      <c r="ID97" s="461"/>
      <c r="IE97" s="461"/>
      <c r="IF97" s="461"/>
      <c r="IG97" s="563"/>
      <c r="IH97" s="563"/>
      <c r="II97" s="563">
        <f>HP97+HR97+Tableau6[[#This Row],[TRAVAUX BATIS]]+Tableau6[[#This Row],[HONORAIRES]]+IH97</f>
        <v>0</v>
      </c>
      <c r="IJ97" s="654">
        <f>Tableau6[[#This Row],[TOTAL PRP HT]]-Tableau6[[#This Row],[PRP TTC HORS FRAFU]]/1.021</f>
        <v>-3348966.6993143978</v>
      </c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</row>
    <row r="98" spans="1:256" ht="20.149999999999999" customHeight="1">
      <c r="A98" s="428" t="s">
        <v>758</v>
      </c>
      <c r="B98" s="22" t="s">
        <v>21</v>
      </c>
      <c r="C98" s="22" t="s">
        <v>86</v>
      </c>
      <c r="D98" s="22">
        <v>2019</v>
      </c>
      <c r="E98" s="22" t="s">
        <v>670</v>
      </c>
      <c r="F98" s="22" t="s">
        <v>40</v>
      </c>
      <c r="G98" s="57"/>
      <c r="H98" s="220"/>
      <c r="I98" s="22"/>
      <c r="J98" s="22" t="s">
        <v>594</v>
      </c>
      <c r="K98" s="134"/>
      <c r="L98" s="81"/>
      <c r="M98" s="82"/>
      <c r="N98" s="83"/>
      <c r="O98" s="103">
        <f>4764/66*AD98</f>
        <v>1443.6363636363637</v>
      </c>
      <c r="P98" s="103">
        <f>860000/66*AD98</f>
        <v>260606.06060606061</v>
      </c>
      <c r="Q98" s="103">
        <f>860000/66*AD98</f>
        <v>260606.06060606061</v>
      </c>
      <c r="R98" s="103">
        <f>P98/AD98</f>
        <v>13030.30303030303</v>
      </c>
      <c r="S98" s="103">
        <f>P98/O98</f>
        <v>180.52057094878253</v>
      </c>
      <c r="T98" s="109">
        <f>Q98/O98</f>
        <v>180.52057094878253</v>
      </c>
      <c r="U98" s="109">
        <f>Q98/AK98</f>
        <v>207.98568284601805</v>
      </c>
      <c r="V98" s="109">
        <f>Q98/AD98</f>
        <v>13030.30303030303</v>
      </c>
      <c r="W98" s="103">
        <f>O98/AD98</f>
        <v>72.181818181818187</v>
      </c>
      <c r="X98" s="104"/>
      <c r="Y98" s="447">
        <f t="shared" si="261"/>
        <v>138.53904282115869</v>
      </c>
      <c r="Z98" s="104" t="s">
        <v>148</v>
      </c>
      <c r="AA98" s="104">
        <v>580</v>
      </c>
      <c r="AB98" s="105"/>
      <c r="AC98" s="22" t="s">
        <v>10</v>
      </c>
      <c r="AD98" s="426">
        <f t="shared" si="262"/>
        <v>20</v>
      </c>
      <c r="AE98" s="426">
        <f t="shared" si="263"/>
        <v>20</v>
      </c>
      <c r="AF98" s="32"/>
      <c r="AG98" s="22">
        <v>20</v>
      </c>
      <c r="AH98" s="32"/>
      <c r="AI98" s="32"/>
      <c r="AJ98" s="615">
        <v>920.8</v>
      </c>
      <c r="AK98" s="222">
        <v>1253</v>
      </c>
      <c r="AL98" s="492">
        <f t="shared" si="264"/>
        <v>46.04</v>
      </c>
      <c r="AM98" s="4">
        <f t="shared" si="265"/>
        <v>62.65</v>
      </c>
      <c r="AN98" s="26">
        <v>7.87</v>
      </c>
      <c r="AO98" s="26">
        <v>5.78</v>
      </c>
      <c r="AP98" s="26">
        <v>362.32</v>
      </c>
      <c r="AQ98" s="39"/>
      <c r="AR98" s="39">
        <f>20/AD98</f>
        <v>1</v>
      </c>
      <c r="AS98" s="39"/>
      <c r="AT98" s="39"/>
      <c r="AU98" s="39"/>
      <c r="AV98" s="26"/>
      <c r="AW98" s="37" t="s">
        <v>129</v>
      </c>
      <c r="AX98" s="37" t="s">
        <v>129</v>
      </c>
      <c r="AY98" s="26"/>
      <c r="AZ98" s="25" t="s">
        <v>386</v>
      </c>
      <c r="BA98" s="22" t="s">
        <v>94</v>
      </c>
      <c r="BB98" s="118">
        <v>2121120.0089800004</v>
      </c>
      <c r="BC98" s="437">
        <f>BB98/AJ98</f>
        <v>2303.5621296481327</v>
      </c>
      <c r="BD98" s="332">
        <f>BB98/AK98</f>
        <v>1692.8332074860339</v>
      </c>
      <c r="BE98" s="334">
        <f>BB98/AD98</f>
        <v>106056.00044900001</v>
      </c>
      <c r="BF98" s="123">
        <v>43426</v>
      </c>
      <c r="BG98" s="123"/>
      <c r="BH98" s="56">
        <v>43445</v>
      </c>
      <c r="BI98" s="89"/>
      <c r="BJ98" s="548">
        <v>43552</v>
      </c>
      <c r="BK98" s="548">
        <v>43745</v>
      </c>
      <c r="BL98" s="549">
        <v>43753</v>
      </c>
      <c r="BM98" s="547">
        <f t="shared" si="266"/>
        <v>6.4333333333333336</v>
      </c>
      <c r="BN98" s="490" t="s">
        <v>229</v>
      </c>
      <c r="BO98" s="77">
        <v>43742</v>
      </c>
      <c r="BP98" s="100">
        <v>43784</v>
      </c>
      <c r="BQ98" s="536">
        <f t="shared" si="247"/>
        <v>1.4</v>
      </c>
      <c r="BR98" s="529">
        <v>103393</v>
      </c>
      <c r="BS98" s="77"/>
      <c r="BT98" s="77">
        <v>43794</v>
      </c>
      <c r="BU98" s="151">
        <v>43800</v>
      </c>
      <c r="BV98" s="150">
        <f t="shared" si="267"/>
        <v>44896</v>
      </c>
      <c r="BW98" s="373">
        <f>3794+40584</f>
        <v>44378</v>
      </c>
      <c r="BX98" s="150" t="str">
        <f>IF(Tableau6[[#This Row],[Montant des loyers perçus avant 1e échéance]]&lt;BW98,"oui","non")</f>
        <v>oui</v>
      </c>
      <c r="BY98" s="475">
        <f>(BV98-EL98)/30</f>
        <v>7.1333333333333337</v>
      </c>
      <c r="BZ98" s="373">
        <f>IF((BY98*EO98)&lt;0,"0",BY98*EO98)</f>
        <v>0</v>
      </c>
      <c r="CA98" s="373">
        <f>IF(BW98-BZ98&lt;0,0,Tableau6[[#This Row],[Montant échéance annuelle]]-Tableau6[[#This Row],[Montant des loyers perçus avant 1e échéance]])</f>
        <v>44378</v>
      </c>
      <c r="CB98" s="286"/>
      <c r="CC98" s="288"/>
      <c r="CD98" s="288"/>
      <c r="CE98" s="290" t="str">
        <f t="shared" si="253"/>
        <v>0</v>
      </c>
      <c r="CF98" s="288"/>
      <c r="CG98" s="288"/>
      <c r="CH98" s="290" t="str">
        <f t="shared" si="254"/>
        <v>0</v>
      </c>
      <c r="CI98" s="288"/>
      <c r="CJ98" s="288"/>
      <c r="CK98" s="290" t="str">
        <f t="shared" si="255"/>
        <v>0</v>
      </c>
      <c r="CL98" s="288"/>
      <c r="CM98" s="288"/>
      <c r="CN98" s="290" t="str">
        <f t="shared" si="256"/>
        <v>0</v>
      </c>
      <c r="CO98" s="288"/>
      <c r="CP98" s="288"/>
      <c r="CQ98" s="290" t="str">
        <f t="shared" si="268"/>
        <v>0</v>
      </c>
      <c r="CR98" s="237"/>
      <c r="CS98" s="292"/>
      <c r="CT98" s="277"/>
      <c r="CU98" s="278"/>
      <c r="CV98" s="279" t="str">
        <f t="shared" si="321"/>
        <v>0</v>
      </c>
      <c r="CW98" s="277"/>
      <c r="CX98" s="382">
        <v>44013</v>
      </c>
      <c r="CY98" s="178"/>
      <c r="CZ98" s="231">
        <f t="shared" si="327"/>
        <v>8.9333333333333336</v>
      </c>
      <c r="DA98" s="279" t="str">
        <f t="shared" si="269"/>
        <v>0</v>
      </c>
      <c r="DB98" s="383">
        <v>21</v>
      </c>
      <c r="DC98" s="127">
        <f t="shared" si="270"/>
        <v>22</v>
      </c>
      <c r="DD98" s="277"/>
      <c r="DE98" s="282">
        <f t="shared" ca="1" si="322"/>
        <v>43998</v>
      </c>
      <c r="DF98" s="279" t="str">
        <f t="shared" ca="1" si="271"/>
        <v>0</v>
      </c>
      <c r="DG98" s="277"/>
      <c r="DH98" s="295">
        <f t="shared" ca="1" si="326"/>
        <v>43998</v>
      </c>
      <c r="DI98" s="280" t="str">
        <f t="shared" ca="1" si="272"/>
        <v>0</v>
      </c>
      <c r="DJ98" s="281"/>
      <c r="DK98" s="295">
        <f t="shared" ca="1" si="320"/>
        <v>43998</v>
      </c>
      <c r="DL98" s="279" t="str">
        <f t="shared" ca="1" si="335"/>
        <v>0</v>
      </c>
      <c r="DM98" s="282"/>
      <c r="DN98" s="282">
        <f t="shared" ca="1" si="323"/>
        <v>43998</v>
      </c>
      <c r="DO98" s="279" t="str">
        <f t="shared" ca="1" si="274"/>
        <v>0</v>
      </c>
      <c r="DP98" s="283"/>
      <c r="DQ98" s="283"/>
      <c r="DR98" s="279" t="str">
        <f t="shared" si="275"/>
        <v>0</v>
      </c>
      <c r="DS98" s="282"/>
      <c r="DT98" s="282">
        <f t="shared" ca="1" si="318"/>
        <v>43998</v>
      </c>
      <c r="DU98" s="279" t="str">
        <f t="shared" ca="1" si="276"/>
        <v>0</v>
      </c>
      <c r="DV98" s="282"/>
      <c r="DW98" s="282">
        <f t="shared" ca="1" si="324"/>
        <v>43998</v>
      </c>
      <c r="DX98" s="279" t="str">
        <f t="shared" ca="1" si="277"/>
        <v>0</v>
      </c>
      <c r="DY98" s="282"/>
      <c r="DZ98" s="282"/>
      <c r="EA98" s="282"/>
      <c r="EB98" s="410">
        <f t="shared" si="259"/>
        <v>44652</v>
      </c>
      <c r="EC98" s="409">
        <f>DATE(YEAR(EB98),MONTH(EB98)+1,DAY(EB98))</f>
        <v>44682</v>
      </c>
      <c r="ED98" s="406">
        <f t="shared" si="278"/>
        <v>1</v>
      </c>
      <c r="EE98" s="505">
        <f t="shared" ca="1" si="257"/>
        <v>22.8</v>
      </c>
      <c r="EF98" s="409">
        <f t="shared" ca="1" si="304"/>
        <v>44728</v>
      </c>
      <c r="EG98" s="457"/>
      <c r="EH98" s="448"/>
      <c r="EI98" s="458"/>
      <c r="EJ98" s="242"/>
      <c r="EK98" s="456">
        <f t="shared" si="319"/>
        <v>44682</v>
      </c>
      <c r="EL98" s="409">
        <f>DATE(YEAR(EC98),MONTH(EC98),DAY(EC98))</f>
        <v>44682</v>
      </c>
      <c r="EM98" s="314"/>
      <c r="EN98" s="404">
        <f>(DATEDIF(EK98,EL98,"d"))/30</f>
        <v>0</v>
      </c>
      <c r="EO98" s="394"/>
      <c r="EP98" s="131">
        <f t="shared" si="279"/>
        <v>0</v>
      </c>
      <c r="EQ98" s="60"/>
      <c r="ER98" s="60"/>
      <c r="ES98" s="742">
        <f>(Tableau6[[#This Row],[Date inauguration recalée]]-ER98)/30</f>
        <v>1489.4</v>
      </c>
      <c r="ET98" s="300"/>
      <c r="EU98" s="300">
        <v>0</v>
      </c>
      <c r="EV98" s="300"/>
      <c r="EW98" s="300"/>
      <c r="EX98" s="300"/>
      <c r="EY98" s="416">
        <f t="shared" si="258"/>
        <v>0</v>
      </c>
      <c r="EZ98" s="297"/>
      <c r="FA98" s="308"/>
      <c r="FB98" s="297"/>
      <c r="FC98" s="22" t="s">
        <v>807</v>
      </c>
      <c r="FD98" s="89">
        <f t="shared" ca="1" si="325"/>
        <v>44728</v>
      </c>
      <c r="FE98" s="63"/>
      <c r="FF98" s="63"/>
      <c r="FG98" s="63"/>
      <c r="FH98" s="63"/>
      <c r="FI98" s="63"/>
      <c r="FJ98" s="22"/>
      <c r="FK98" s="146">
        <f t="shared" si="300"/>
        <v>45047</v>
      </c>
      <c r="FL98" s="146"/>
      <c r="FM98" s="146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451"/>
      <c r="GB98" s="471">
        <f>GD98+GG98+GJ98+HF98+Tableau6[[#This Row],[PRÊT CREDIT D''IMPOT (PM)]]</f>
        <v>2793952.3587158672</v>
      </c>
      <c r="GC98" s="645">
        <f>GB98</f>
        <v>2793952.3587158672</v>
      </c>
      <c r="GD98" s="507">
        <f t="shared" si="297"/>
        <v>600000</v>
      </c>
      <c r="GE98" s="20">
        <f t="shared" si="280"/>
        <v>2229.8103421515302</v>
      </c>
      <c r="GF98" s="20">
        <f t="shared" si="281"/>
        <v>139697.61793579336</v>
      </c>
      <c r="GG98" s="503">
        <v>564878.50114207214</v>
      </c>
      <c r="GH98" s="351">
        <v>564877.53220060014</v>
      </c>
      <c r="GI98" s="20">
        <f t="shared" ref="GI98:GI120" si="336">GG98/AD98</f>
        <v>28243.925057103606</v>
      </c>
      <c r="GJ98" s="503">
        <f t="shared" si="282"/>
        <v>1064196.3253731951</v>
      </c>
      <c r="GK98" s="5">
        <f>GL98+GM98</f>
        <v>1064196.3253731951</v>
      </c>
      <c r="GL98" s="149">
        <v>191345.32537319505</v>
      </c>
      <c r="GM98" s="149">
        <v>872851</v>
      </c>
      <c r="GN98" s="345">
        <f t="shared" si="283"/>
        <v>53209.816268659757</v>
      </c>
      <c r="GO98" s="514"/>
      <c r="GP98" s="578">
        <v>600000</v>
      </c>
      <c r="GQ98" s="35"/>
      <c r="GR98" s="18">
        <f t="shared" si="284"/>
        <v>0.21474954579245831</v>
      </c>
      <c r="GS98" s="45"/>
      <c r="GT98" s="45"/>
      <c r="GU98" s="35"/>
      <c r="GV98" s="20">
        <f t="shared" si="331"/>
        <v>30000</v>
      </c>
      <c r="GW98" s="20">
        <f t="shared" si="332"/>
        <v>58243.925057103603</v>
      </c>
      <c r="GX98" s="569"/>
      <c r="GY98" s="569"/>
      <c r="GZ98" s="567">
        <f>(GG98+GP98+GY98)/AD98</f>
        <v>58243.925057103603</v>
      </c>
      <c r="HA98" s="569"/>
      <c r="HB98" s="569">
        <f t="shared" si="333"/>
        <v>58243.925057103603</v>
      </c>
      <c r="HC98" s="568">
        <f>(GG98+GP98+GY98+HA98)/(GX98+GB98-HD98)</f>
        <v>0.41692854837276599</v>
      </c>
      <c r="HD98" s="569"/>
      <c r="HE98" s="569"/>
      <c r="HF98" s="503">
        <f>EU98</f>
        <v>0</v>
      </c>
      <c r="HG98" s="633"/>
      <c r="HH98" s="634">
        <f t="shared" si="285"/>
        <v>0</v>
      </c>
      <c r="HI98" s="633">
        <f t="shared" si="334"/>
        <v>2793952.3587158672</v>
      </c>
      <c r="HJ98" s="633" t="e">
        <f ca="1">IF(EE98&lt;DATEDIF(TODAY(),$HJ$1,"M"),HI98,(HI98/EE98*DATEDIF(TODAY(),$HJ$1,"M")))*0</f>
        <v>#VALUE!</v>
      </c>
      <c r="HK98" s="634" t="e">
        <f t="shared" ca="1" si="328"/>
        <v>#VALUE!</v>
      </c>
      <c r="HL98" s="633"/>
      <c r="HM98" s="633">
        <f t="shared" si="329"/>
        <v>600000</v>
      </c>
      <c r="HN98" s="633">
        <f t="shared" si="330"/>
        <v>0</v>
      </c>
      <c r="HO98" s="633"/>
      <c r="HP98" s="563">
        <v>253550</v>
      </c>
      <c r="HQ98" s="47">
        <v>183496.08179257993</v>
      </c>
      <c r="HR98" s="563">
        <v>139000</v>
      </c>
      <c r="HS98" s="563">
        <f>SUM(Tableau6[[#This Row],[GO]:[CARRELAGE]])</f>
        <v>0</v>
      </c>
      <c r="HT98" s="461"/>
      <c r="HU98" s="461"/>
      <c r="HV98" s="461"/>
      <c r="HW98" s="461"/>
      <c r="HX98" s="461"/>
      <c r="HY98" s="461"/>
      <c r="HZ98" s="461"/>
      <c r="IA98" s="461"/>
      <c r="IB98" s="461"/>
      <c r="IC98" s="461"/>
      <c r="ID98" s="461"/>
      <c r="IE98" s="461"/>
      <c r="IF98" s="461"/>
      <c r="IG98" s="563">
        <v>525239</v>
      </c>
      <c r="IH98" s="563">
        <v>48660</v>
      </c>
      <c r="II98" s="563">
        <f>HP98+HR98+Tableau6[[#This Row],[TRAVAUX BATIS]]+Tableau6[[#This Row],[HONORAIRES]]+IH98</f>
        <v>966449</v>
      </c>
      <c r="IJ98" s="654">
        <f>Tableau6[[#This Row],[TOTAL PRP HT]]-Tableau6[[#This Row],[PRP TTC HORS FRAFU]]/1.021</f>
        <v>-1770037.1495747967</v>
      </c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</row>
    <row r="99" spans="1:256" ht="20.149999999999999" customHeight="1">
      <c r="A99" s="477" t="s">
        <v>501</v>
      </c>
      <c r="B99" s="22" t="s">
        <v>189</v>
      </c>
      <c r="C99" s="22" t="s">
        <v>88</v>
      </c>
      <c r="D99" s="22">
        <v>2017</v>
      </c>
      <c r="E99" s="22" t="s">
        <v>280</v>
      </c>
      <c r="F99" s="22" t="s">
        <v>686</v>
      </c>
      <c r="G99" s="22" t="s">
        <v>450</v>
      </c>
      <c r="H99" s="22" t="s">
        <v>134</v>
      </c>
      <c r="I99" s="22"/>
      <c r="J99" s="22" t="s">
        <v>592</v>
      </c>
      <c r="K99" s="134" t="s">
        <v>435</v>
      </c>
      <c r="L99" s="81"/>
      <c r="M99" s="82"/>
      <c r="N99" s="83"/>
      <c r="O99" s="103">
        <v>5443</v>
      </c>
      <c r="P99" s="103">
        <v>381010</v>
      </c>
      <c r="Q99" s="113">
        <v>381010</v>
      </c>
      <c r="R99" s="103">
        <f>P99/AD99</f>
        <v>18143.333333333332</v>
      </c>
      <c r="S99" s="109">
        <f>P99/O99</f>
        <v>70</v>
      </c>
      <c r="T99" s="113">
        <f>Q99/O99</f>
        <v>70</v>
      </c>
      <c r="U99" s="113">
        <f>Q99/AK99</f>
        <v>238.72208716573519</v>
      </c>
      <c r="V99" s="113">
        <f>Q99/AD99</f>
        <v>18143.333333333332</v>
      </c>
      <c r="W99" s="103">
        <f>O99/AD99</f>
        <v>259.1904761904762</v>
      </c>
      <c r="X99" s="104"/>
      <c r="Y99" s="444">
        <f t="shared" si="261"/>
        <v>38.58166452324086</v>
      </c>
      <c r="Z99" s="104" t="s">
        <v>147</v>
      </c>
      <c r="AA99" s="104">
        <v>900</v>
      </c>
      <c r="AB99" s="105"/>
      <c r="AC99" s="22" t="s">
        <v>10</v>
      </c>
      <c r="AD99" s="426">
        <f t="shared" si="262"/>
        <v>21</v>
      </c>
      <c r="AE99" s="427">
        <f t="shared" si="263"/>
        <v>21</v>
      </c>
      <c r="AF99" s="32"/>
      <c r="AG99" s="22">
        <v>21</v>
      </c>
      <c r="AH99" s="32"/>
      <c r="AI99" s="32"/>
      <c r="AJ99" s="614">
        <v>1596.04</v>
      </c>
      <c r="AK99" s="222">
        <v>1596.04</v>
      </c>
      <c r="AL99" s="492">
        <f t="shared" si="264"/>
        <v>76.001904761904754</v>
      </c>
      <c r="AM99" s="4">
        <f t="shared" si="265"/>
        <v>76.001904761904754</v>
      </c>
      <c r="AN99" s="26">
        <v>5.34</v>
      </c>
      <c r="AO99" s="26">
        <v>5.34</v>
      </c>
      <c r="AP99" s="26">
        <v>406.06</v>
      </c>
      <c r="AQ99" s="39"/>
      <c r="AR99" s="39"/>
      <c r="AS99" s="39"/>
      <c r="AT99" s="39"/>
      <c r="AU99" s="39"/>
      <c r="AV99" s="26"/>
      <c r="AW99" s="37"/>
      <c r="AX99" s="39"/>
      <c r="AY99" s="26"/>
      <c r="AZ99" s="22" t="s">
        <v>385</v>
      </c>
      <c r="BA99" s="22" t="s">
        <v>95</v>
      </c>
      <c r="BB99" s="22"/>
      <c r="BC99" s="22"/>
      <c r="BD99" s="22"/>
      <c r="BE99" s="22"/>
      <c r="BF99" s="122">
        <v>42761</v>
      </c>
      <c r="BG99" s="122"/>
      <c r="BH99" s="22"/>
      <c r="BI99" s="22"/>
      <c r="BJ99" s="548">
        <v>42824</v>
      </c>
      <c r="BK99" s="548">
        <v>43017</v>
      </c>
      <c r="BL99" s="549">
        <v>43045</v>
      </c>
      <c r="BM99" s="547">
        <f t="shared" si="266"/>
        <v>6.4333333333333336</v>
      </c>
      <c r="BN99" s="490" t="s">
        <v>229</v>
      </c>
      <c r="BO99" s="77">
        <v>43168</v>
      </c>
      <c r="BP99" s="100">
        <v>43249</v>
      </c>
      <c r="BQ99" s="536">
        <f t="shared" si="247"/>
        <v>2.7</v>
      </c>
      <c r="BR99" s="529">
        <v>78391</v>
      </c>
      <c r="BS99" s="77">
        <f>DATE(YEAR(BP99),MONTH(BP99)+3,DAY(BP99))</f>
        <v>43341</v>
      </c>
      <c r="BT99" s="77"/>
      <c r="BU99" s="151">
        <v>43344</v>
      </c>
      <c r="BV99" s="150">
        <f t="shared" si="267"/>
        <v>44440</v>
      </c>
      <c r="BW99" s="373">
        <f>13884+73092</f>
        <v>86976</v>
      </c>
      <c r="BX99" s="150" t="str">
        <f>IF(Tableau6[[#This Row],[Montant des loyers perçus avant 1e échéance]]&lt;BW99,"oui","non")</f>
        <v>oui</v>
      </c>
      <c r="BY99" s="475">
        <f>(BV99-EL99)/30</f>
        <v>6.1333333333333337</v>
      </c>
      <c r="BZ99" s="373">
        <f>IF((BY99*EO99)&lt;0,"0",BY99*EO99)</f>
        <v>52274.400000000001</v>
      </c>
      <c r="CA99" s="373">
        <f>IF(BW99-BZ99&lt;0,0,Tableau6[[#This Row],[Montant échéance annuelle]]-Tableau6[[#This Row],[Montant des loyers perçus avant 1e échéance]])</f>
        <v>34701.599999999999</v>
      </c>
      <c r="CB99" s="159"/>
      <c r="CC99" s="64"/>
      <c r="CD99" s="64"/>
      <c r="CE99" s="273" t="str">
        <f t="shared" si="253"/>
        <v>0</v>
      </c>
      <c r="CF99" s="64"/>
      <c r="CG99" s="64"/>
      <c r="CH99" s="273" t="str">
        <f t="shared" si="254"/>
        <v>0</v>
      </c>
      <c r="CI99" s="159"/>
      <c r="CJ99" s="159"/>
      <c r="CK99" s="273" t="str">
        <f t="shared" si="255"/>
        <v>0</v>
      </c>
      <c r="CL99" s="64"/>
      <c r="CM99" s="64"/>
      <c r="CN99" s="273" t="str">
        <f t="shared" si="256"/>
        <v>0</v>
      </c>
      <c r="CO99" s="64"/>
      <c r="CP99" s="64"/>
      <c r="CQ99" s="273" t="str">
        <f t="shared" si="268"/>
        <v>0</v>
      </c>
      <c r="CR99" s="237"/>
      <c r="CS99" s="159"/>
      <c r="CT99" s="121"/>
      <c r="CU99" s="95">
        <v>43545</v>
      </c>
      <c r="CV99" s="499"/>
      <c r="CW99" s="121"/>
      <c r="CX99" s="229">
        <v>43556</v>
      </c>
      <c r="CY99" s="230">
        <v>2019</v>
      </c>
      <c r="CZ99" s="449">
        <f t="shared" si="327"/>
        <v>17.966666666666665</v>
      </c>
      <c r="DA99" s="501" t="str">
        <f t="shared" si="269"/>
        <v>0</v>
      </c>
      <c r="DB99" s="133">
        <v>17</v>
      </c>
      <c r="DC99" s="59">
        <f t="shared" si="270"/>
        <v>22</v>
      </c>
      <c r="DD99" s="159">
        <v>43630</v>
      </c>
      <c r="DE99" s="159">
        <f t="shared" ca="1" si="322"/>
        <v>43998</v>
      </c>
      <c r="DF99" s="381">
        <f t="shared" ca="1" si="271"/>
        <v>368</v>
      </c>
      <c r="DG99" s="159">
        <v>43747</v>
      </c>
      <c r="DH99" s="336">
        <f t="shared" ca="1" si="326"/>
        <v>43998</v>
      </c>
      <c r="DI99" s="337">
        <f t="shared" ca="1" si="272"/>
        <v>251</v>
      </c>
      <c r="DJ99" s="282">
        <v>43860</v>
      </c>
      <c r="DK99" s="295">
        <f t="shared" ca="1" si="320"/>
        <v>43998</v>
      </c>
      <c r="DL99" s="279">
        <f t="shared" ca="1" si="335"/>
        <v>138</v>
      </c>
      <c r="DM99" s="282">
        <v>43950</v>
      </c>
      <c r="DN99" s="282">
        <f t="shared" ca="1" si="323"/>
        <v>43998</v>
      </c>
      <c r="DO99" s="279">
        <f t="shared" ca="1" si="274"/>
        <v>48</v>
      </c>
      <c r="DP99" s="358">
        <v>43950</v>
      </c>
      <c r="DQ99" s="282">
        <f ca="1">IF(DP99&lt;TODAY(),TODAY(),DP99)</f>
        <v>43998</v>
      </c>
      <c r="DR99" s="279">
        <f t="shared" ca="1" si="275"/>
        <v>48</v>
      </c>
      <c r="DS99" s="282">
        <v>43908</v>
      </c>
      <c r="DT99" s="282">
        <f t="shared" ca="1" si="318"/>
        <v>43998</v>
      </c>
      <c r="DU99" s="279">
        <f t="shared" ca="1" si="276"/>
        <v>90</v>
      </c>
      <c r="DV99" s="282">
        <v>44063</v>
      </c>
      <c r="DW99" s="282">
        <f t="shared" ca="1" si="324"/>
        <v>44063</v>
      </c>
      <c r="DX99" s="279">
        <f t="shared" ca="1" si="277"/>
        <v>0</v>
      </c>
      <c r="DY99" s="282"/>
      <c r="DZ99" s="282"/>
      <c r="EA99" s="282"/>
      <c r="EB99" s="410">
        <f t="shared" si="259"/>
        <v>44075</v>
      </c>
      <c r="EC99" s="409">
        <f>DATE(YEAR(EB99),MONTH(EB99)+5,DAY(EB99))</f>
        <v>44228</v>
      </c>
      <c r="ED99" s="406">
        <f t="shared" si="278"/>
        <v>5.0999999999999996</v>
      </c>
      <c r="EE99" s="758">
        <f t="shared" ca="1" si="257"/>
        <v>7.666666666666667</v>
      </c>
      <c r="EF99" s="409">
        <f t="shared" ca="1" si="304"/>
        <v>44728</v>
      </c>
      <c r="EG99" s="457"/>
      <c r="EH99" s="58">
        <v>43788</v>
      </c>
      <c r="EI99" s="458"/>
      <c r="EJ99" s="242"/>
      <c r="EK99" s="456">
        <f t="shared" si="319"/>
        <v>44105</v>
      </c>
      <c r="EL99" s="409">
        <f t="shared" ref="EL99:EL107" si="337">DATE(YEAR(EC99),MONTH(EC99)+1,DAY(EC99))</f>
        <v>44256</v>
      </c>
      <c r="EM99" s="314"/>
      <c r="EN99" s="404">
        <f>(DATEDIF(EK99,EL99,"d"))/30</f>
        <v>5.0333333333333332</v>
      </c>
      <c r="EO99" s="394">
        <v>8523</v>
      </c>
      <c r="EP99" s="131">
        <f t="shared" si="279"/>
        <v>42899.1</v>
      </c>
      <c r="EQ99" s="625">
        <f>EO99*3</f>
        <v>25569</v>
      </c>
      <c r="ER99" s="625"/>
      <c r="ES99" s="740"/>
      <c r="ET99" s="300">
        <v>200000</v>
      </c>
      <c r="EU99" s="300">
        <v>0</v>
      </c>
      <c r="EV99" s="300"/>
      <c r="EW99" s="300"/>
      <c r="EX99" s="300"/>
      <c r="EY99" s="416">
        <f t="shared" si="258"/>
        <v>0</v>
      </c>
      <c r="EZ99" s="297"/>
      <c r="FA99" s="308"/>
      <c r="FB99" s="308" t="s">
        <v>896</v>
      </c>
      <c r="FC99" s="308"/>
      <c r="FD99" s="89">
        <f t="shared" ca="1" si="325"/>
        <v>44728</v>
      </c>
      <c r="FE99" s="63"/>
      <c r="FF99" s="63"/>
      <c r="FG99" s="63"/>
      <c r="FH99" s="63"/>
      <c r="FI99" s="63"/>
      <c r="FJ99" s="22"/>
      <c r="FK99" s="146">
        <f t="shared" si="300"/>
        <v>44593</v>
      </c>
      <c r="FL99" s="146"/>
      <c r="FM99" s="146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451"/>
      <c r="GB99" s="471">
        <f>GD99+GG99+GJ99+HF99+Tableau6[[#This Row],[PRÊT CREDIT D''IMPOT (PM)]]</f>
        <v>5109616.3902774602</v>
      </c>
      <c r="GC99" s="645">
        <f>GB99</f>
        <v>5109616.3902774602</v>
      </c>
      <c r="GD99" s="507">
        <f t="shared" si="297"/>
        <v>721294.94</v>
      </c>
      <c r="GE99" s="20">
        <f t="shared" si="280"/>
        <v>3201.4337925599989</v>
      </c>
      <c r="GF99" s="20">
        <f t="shared" si="281"/>
        <v>243315.06620368859</v>
      </c>
      <c r="GG99" s="507">
        <v>1199988.4502774607</v>
      </c>
      <c r="GH99" s="351">
        <v>1158434</v>
      </c>
      <c r="GI99" s="20">
        <f t="shared" si="336"/>
        <v>57142.307156069561</v>
      </c>
      <c r="GJ99" s="507">
        <f t="shared" si="282"/>
        <v>2029899</v>
      </c>
      <c r="GK99" s="5">
        <f>GL99+GM99</f>
        <v>2029899</v>
      </c>
      <c r="GL99" s="44">
        <v>598878</v>
      </c>
      <c r="GM99" s="44">
        <v>1431021</v>
      </c>
      <c r="GN99" s="345">
        <f t="shared" si="283"/>
        <v>96661.857142857145</v>
      </c>
      <c r="GO99" s="35"/>
      <c r="GP99" s="35">
        <v>504000</v>
      </c>
      <c r="GQ99" s="35"/>
      <c r="GR99" s="18">
        <f t="shared" si="284"/>
        <v>9.8637541745600979E-2</v>
      </c>
      <c r="GS99" s="35"/>
      <c r="GT99" s="35"/>
      <c r="GU99" s="35">
        <f>114303+102991.94</f>
        <v>217294.94</v>
      </c>
      <c r="GV99" s="20">
        <f t="shared" si="331"/>
        <v>24000</v>
      </c>
      <c r="GW99" s="20">
        <f t="shared" si="332"/>
        <v>81142.307156069553</v>
      </c>
      <c r="GX99" s="569"/>
      <c r="GY99" s="569"/>
      <c r="GZ99" s="567">
        <f>(GG99+GP99+GY99)/AD99</f>
        <v>81142.307156069553</v>
      </c>
      <c r="HA99" s="569"/>
      <c r="HB99" s="569">
        <f t="shared" si="333"/>
        <v>81142.307156069553</v>
      </c>
      <c r="HC99" s="568">
        <f>(GG99+GP99+GY99+HA99)/(GX99+GB99-HD99)</f>
        <v>0.33348657122671621</v>
      </c>
      <c r="HD99" s="569"/>
      <c r="HE99" s="569"/>
      <c r="HF99" s="507">
        <f>EU99</f>
        <v>0</v>
      </c>
      <c r="HG99" s="637">
        <v>850065.93600999995</v>
      </c>
      <c r="HH99" s="634">
        <f t="shared" si="285"/>
        <v>0.16636590128908679</v>
      </c>
      <c r="HI99" s="635">
        <f t="shared" si="334"/>
        <v>4259550.4542674599</v>
      </c>
      <c r="HJ99" s="633" t="e">
        <f ca="1">IF(EE99&lt;DATEDIF(TODAY(),$HJ$1,"M"),HI99,(HI99/EE99*DATEDIF(TODAY(),$HJ$1,"M")))</f>
        <v>#VALUE!</v>
      </c>
      <c r="HK99" s="634" t="e">
        <f ca="1">(HJ99+HG99)/GB99</f>
        <v>#VALUE!</v>
      </c>
      <c r="HL99" s="633">
        <f>'[1]GLOBAL OPERATION'!$AG$73</f>
        <v>1735795.5699999998</v>
      </c>
      <c r="HM99" s="633">
        <f t="shared" si="329"/>
        <v>-1014500.6299999999</v>
      </c>
      <c r="HN99" s="634">
        <f t="shared" si="330"/>
        <v>2.4064990252115175</v>
      </c>
      <c r="HO99" s="634"/>
      <c r="HP99" s="563"/>
      <c r="HQ99" s="47"/>
      <c r="HR99" s="563"/>
      <c r="HS99" s="563">
        <f>SUM(Tableau6[[#This Row],[GO]:[CARRELAGE]])</f>
        <v>0</v>
      </c>
      <c r="HT99" s="461"/>
      <c r="HU99" s="461"/>
      <c r="HV99" s="461"/>
      <c r="HW99" s="461"/>
      <c r="HX99" s="461"/>
      <c r="HY99" s="461"/>
      <c r="HZ99" s="461"/>
      <c r="IA99" s="461"/>
      <c r="IB99" s="461"/>
      <c r="IC99" s="461"/>
      <c r="ID99" s="461"/>
      <c r="IE99" s="461"/>
      <c r="IF99" s="461"/>
      <c r="IG99" s="563"/>
      <c r="IH99" s="563"/>
      <c r="II99" s="563">
        <f>HP99+HR99+Tableau6[[#This Row],[TRAVAUX BATIS]]+Tableau6[[#This Row],[HONORAIRES]]+IH99</f>
        <v>0</v>
      </c>
      <c r="IJ99" s="654">
        <f>Tableau6[[#This Row],[TOTAL PRP HT]]-Tableau6[[#This Row],[PRP TTC HORS FRAFU]]/1.021</f>
        <v>-5004521.4400366899</v>
      </c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</row>
    <row r="100" spans="1:256" ht="20.149999999999999" customHeight="1">
      <c r="A100" s="43" t="s">
        <v>874</v>
      </c>
      <c r="B100" s="22" t="s">
        <v>21</v>
      </c>
      <c r="C100" s="22" t="s">
        <v>86</v>
      </c>
      <c r="D100" s="22">
        <v>2019</v>
      </c>
      <c r="E100" s="22" t="s">
        <v>668</v>
      </c>
      <c r="F100" s="22" t="s">
        <v>16</v>
      </c>
      <c r="G100" s="22" t="s">
        <v>586</v>
      </c>
      <c r="H100" s="22" t="s">
        <v>179</v>
      </c>
      <c r="I100" s="22"/>
      <c r="J100" s="22" t="s">
        <v>621</v>
      </c>
      <c r="K100" s="134"/>
      <c r="L100" s="81"/>
      <c r="M100" s="82"/>
      <c r="N100" s="83"/>
      <c r="O100" s="103">
        <v>1278</v>
      </c>
      <c r="P100" s="103"/>
      <c r="Q100" s="103"/>
      <c r="R100" s="103">
        <f>P100/AD100</f>
        <v>0</v>
      </c>
      <c r="S100" s="103">
        <f>P100/O100</f>
        <v>0</v>
      </c>
      <c r="T100" s="109">
        <f>Q100/O100</f>
        <v>0</v>
      </c>
      <c r="U100" s="109">
        <f>Q100/AK100</f>
        <v>0</v>
      </c>
      <c r="V100" s="109">
        <f>Q100/AD100</f>
        <v>0</v>
      </c>
      <c r="W100" s="103">
        <f>O100/AD100</f>
        <v>31.170731707317074</v>
      </c>
      <c r="X100" s="104"/>
      <c r="Y100" s="447">
        <f t="shared" si="261"/>
        <v>320.81377151799688</v>
      </c>
      <c r="Z100" s="104" t="s">
        <v>159</v>
      </c>
      <c r="AA100" s="104"/>
      <c r="AB100" s="105"/>
      <c r="AC100" s="23" t="s">
        <v>10</v>
      </c>
      <c r="AD100" s="426">
        <f t="shared" si="262"/>
        <v>41</v>
      </c>
      <c r="AE100" s="426">
        <f t="shared" si="263"/>
        <v>41</v>
      </c>
      <c r="AF100" s="32"/>
      <c r="AG100" s="22">
        <v>41</v>
      </c>
      <c r="AH100" s="32"/>
      <c r="AI100" s="32"/>
      <c r="AJ100" s="615">
        <v>2615.13</v>
      </c>
      <c r="AK100" s="222">
        <v>3127.87</v>
      </c>
      <c r="AL100" s="492">
        <f t="shared" si="264"/>
        <v>63.783658536585371</v>
      </c>
      <c r="AM100" s="4">
        <f t="shared" si="265"/>
        <v>76.289512195121944</v>
      </c>
      <c r="AN100" s="26"/>
      <c r="AO100" s="26"/>
      <c r="AP100" s="26"/>
      <c r="AQ100" s="39"/>
      <c r="AR100" s="39">
        <f>16/AD100</f>
        <v>0.3902439024390244</v>
      </c>
      <c r="AS100" s="39">
        <f>19/AD100</f>
        <v>0.46341463414634149</v>
      </c>
      <c r="AT100" s="39">
        <f>6/AD100</f>
        <v>0.14634146341463414</v>
      </c>
      <c r="AU100" s="39"/>
      <c r="AV100" s="26"/>
      <c r="AW100" s="37" t="s">
        <v>129</v>
      </c>
      <c r="AX100" s="37" t="s">
        <v>129</v>
      </c>
      <c r="AY100" s="26"/>
      <c r="AZ100" s="22" t="s">
        <v>386</v>
      </c>
      <c r="BA100" s="22" t="s">
        <v>94</v>
      </c>
      <c r="BB100" s="118">
        <v>6200000</v>
      </c>
      <c r="BC100" s="437">
        <f>BB100/AJ100</f>
        <v>2370.8190415008048</v>
      </c>
      <c r="BD100" s="332">
        <f>BB100/AK100</f>
        <v>1982.1795662863226</v>
      </c>
      <c r="BE100" s="334">
        <f>BB100/AD100</f>
        <v>151219.51219512196</v>
      </c>
      <c r="BF100" s="89"/>
      <c r="BG100" s="89"/>
      <c r="BH100" s="56">
        <v>43522</v>
      </c>
      <c r="BI100" s="22"/>
      <c r="BJ100" s="548">
        <v>43553</v>
      </c>
      <c r="BK100" s="548">
        <v>43713</v>
      </c>
      <c r="BL100" s="549">
        <v>43724</v>
      </c>
      <c r="BM100" s="547">
        <f t="shared" si="266"/>
        <v>5.333333333333333</v>
      </c>
      <c r="BN100" s="490" t="s">
        <v>229</v>
      </c>
      <c r="BO100" s="77">
        <v>43741</v>
      </c>
      <c r="BP100" s="100">
        <v>43784</v>
      </c>
      <c r="BQ100" s="536">
        <f t="shared" si="247"/>
        <v>1.4333333333333333</v>
      </c>
      <c r="BR100" s="529">
        <v>103386</v>
      </c>
      <c r="BS100" s="77"/>
      <c r="BT100" s="77">
        <v>43794</v>
      </c>
      <c r="BU100" s="151"/>
      <c r="BV100" s="150">
        <f t="shared" si="267"/>
        <v>1096</v>
      </c>
      <c r="BW100" s="373"/>
      <c r="BX100" s="150" t="str">
        <f>IF(Tableau6[[#This Row],[Montant des loyers perçus avant 1e échéance]]&lt;BW100,"oui","non")</f>
        <v>non</v>
      </c>
      <c r="BY100" s="475">
        <f>(BV100-EL100)/30</f>
        <v>-1454.5333333333333</v>
      </c>
      <c r="BZ100" s="373">
        <f>IF((BY100*EO100)&lt;0,"0",BY100*EO100)</f>
        <v>0</v>
      </c>
      <c r="CA100" s="373">
        <f>IF(BW100-BZ100&lt;0,0,Tableau6[[#This Row],[Montant échéance annuelle]]-Tableau6[[#This Row],[Montant des loyers perçus avant 1e échéance]])</f>
        <v>0</v>
      </c>
      <c r="CB100" s="64"/>
      <c r="CC100" s="64"/>
      <c r="CD100" s="64"/>
      <c r="CE100" s="273" t="str">
        <f t="shared" si="253"/>
        <v>0</v>
      </c>
      <c r="CF100" s="64">
        <v>43504</v>
      </c>
      <c r="CG100" s="64">
        <v>43504</v>
      </c>
      <c r="CH100" s="273">
        <f t="shared" si="254"/>
        <v>0</v>
      </c>
      <c r="CI100" s="64"/>
      <c r="CJ100" s="64"/>
      <c r="CK100" s="273" t="str">
        <f t="shared" si="255"/>
        <v>0</v>
      </c>
      <c r="CL100" s="64"/>
      <c r="CM100" s="64"/>
      <c r="CN100" s="273" t="str">
        <f t="shared" si="256"/>
        <v>0</v>
      </c>
      <c r="CO100" s="64"/>
      <c r="CP100" s="64"/>
      <c r="CQ100" s="273" t="str">
        <f t="shared" si="268"/>
        <v>0</v>
      </c>
      <c r="CR100" s="560"/>
      <c r="CS100" s="117"/>
      <c r="CT100" s="277"/>
      <c r="CU100" s="278"/>
      <c r="CV100" s="279" t="str">
        <f t="shared" ref="CV100:CV111" si="338">IF(AND(CT100&gt;0,CU100&gt;0),CU100-CT100,"0")</f>
        <v>0</v>
      </c>
      <c r="CW100" s="277"/>
      <c r="CX100" s="382">
        <v>44032</v>
      </c>
      <c r="CY100" s="178"/>
      <c r="CZ100" s="231">
        <f t="shared" si="327"/>
        <v>10.633333333333333</v>
      </c>
      <c r="DA100" s="279" t="str">
        <f t="shared" si="269"/>
        <v>0</v>
      </c>
      <c r="DB100" s="383">
        <v>21</v>
      </c>
      <c r="DC100" s="127">
        <f t="shared" si="270"/>
        <v>22</v>
      </c>
      <c r="DD100" s="277"/>
      <c r="DE100" s="282">
        <f t="shared" ca="1" si="322"/>
        <v>43998</v>
      </c>
      <c r="DF100" s="279" t="str">
        <f t="shared" ca="1" si="271"/>
        <v>0</v>
      </c>
      <c r="DG100" s="277"/>
      <c r="DH100" s="295">
        <f t="shared" ca="1" si="326"/>
        <v>43998</v>
      </c>
      <c r="DI100" s="280" t="str">
        <f t="shared" ca="1" si="272"/>
        <v>0</v>
      </c>
      <c r="DJ100" s="281"/>
      <c r="DK100" s="295">
        <f t="shared" ca="1" si="320"/>
        <v>43998</v>
      </c>
      <c r="DL100" s="279" t="str">
        <f t="shared" ca="1" si="335"/>
        <v>0</v>
      </c>
      <c r="DM100" s="282"/>
      <c r="DN100" s="282">
        <f t="shared" ca="1" si="323"/>
        <v>43998</v>
      </c>
      <c r="DO100" s="279" t="str">
        <f t="shared" ca="1" si="274"/>
        <v>0</v>
      </c>
      <c r="DP100" s="283"/>
      <c r="DQ100" s="283"/>
      <c r="DR100" s="279" t="str">
        <f t="shared" si="275"/>
        <v>0</v>
      </c>
      <c r="DS100" s="282"/>
      <c r="DT100" s="282">
        <f t="shared" ca="1" si="318"/>
        <v>43998</v>
      </c>
      <c r="DU100" s="279" t="str">
        <f t="shared" ca="1" si="276"/>
        <v>0</v>
      </c>
      <c r="DV100" s="282"/>
      <c r="DW100" s="282">
        <f t="shared" ca="1" si="324"/>
        <v>43998</v>
      </c>
      <c r="DX100" s="279" t="str">
        <f t="shared" ca="1" si="277"/>
        <v>0</v>
      </c>
      <c r="DY100" s="282"/>
      <c r="DZ100" s="282"/>
      <c r="EA100" s="282"/>
      <c r="EB100" s="410">
        <f t="shared" si="259"/>
        <v>44671</v>
      </c>
      <c r="EC100" s="409">
        <f>DATE(YEAR(EB100),MONTH(EB100)+1,DAY(EB100))</f>
        <v>44701</v>
      </c>
      <c r="ED100" s="406">
        <f t="shared" si="278"/>
        <v>1</v>
      </c>
      <c r="EE100" s="505">
        <f t="shared" ca="1" si="257"/>
        <v>23.433333333333334</v>
      </c>
      <c r="EF100" s="409">
        <f t="shared" ca="1" si="304"/>
        <v>44728</v>
      </c>
      <c r="EG100" s="457"/>
      <c r="EH100" s="448"/>
      <c r="EI100" s="458"/>
      <c r="EJ100" s="242"/>
      <c r="EK100" s="456">
        <f t="shared" si="319"/>
        <v>44701</v>
      </c>
      <c r="EL100" s="409">
        <f t="shared" si="337"/>
        <v>44732</v>
      </c>
      <c r="EM100" s="314"/>
      <c r="EN100" s="404">
        <f>(DATEDIF(EK100,EL100,"d"))/30</f>
        <v>1.0333333333333334</v>
      </c>
      <c r="EO100" s="394"/>
      <c r="EP100" s="131">
        <f t="shared" si="279"/>
        <v>0</v>
      </c>
      <c r="EQ100" s="60"/>
      <c r="ER100" s="60"/>
      <c r="ES100" s="742">
        <f>(Tableau6[[#This Row],[Date inauguration recalée]]-ER100)/30</f>
        <v>1491.0666666666666</v>
      </c>
      <c r="ET100" s="300"/>
      <c r="EU100" s="300"/>
      <c r="EV100" s="300"/>
      <c r="EW100" s="300"/>
      <c r="EX100" s="300"/>
      <c r="EY100" s="416">
        <f t="shared" si="258"/>
        <v>0</v>
      </c>
      <c r="EZ100" s="297"/>
      <c r="FA100" s="308"/>
      <c r="FB100" s="297"/>
      <c r="FC100" s="24" t="s">
        <v>808</v>
      </c>
      <c r="FD100" s="89">
        <f t="shared" ca="1" si="325"/>
        <v>44728</v>
      </c>
      <c r="FE100" s="63"/>
      <c r="FF100" s="63"/>
      <c r="FG100" s="63"/>
      <c r="FH100" s="63"/>
      <c r="FI100" s="63"/>
      <c r="FJ100" s="22"/>
      <c r="FK100" s="146">
        <f t="shared" si="300"/>
        <v>45066</v>
      </c>
      <c r="FL100" s="146"/>
      <c r="FM100" s="146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451"/>
      <c r="GB100" s="471">
        <f>GD100+GG100+GJ100+HF100+Tableau6[[#This Row],[PRÊT CREDIT D''IMPOT (PM)]]</f>
        <v>8306760.7325947993</v>
      </c>
      <c r="GC100" s="645">
        <f>GB100</f>
        <v>8306760.7325947993</v>
      </c>
      <c r="GD100" s="507">
        <f t="shared" si="297"/>
        <v>1230000</v>
      </c>
      <c r="GE100" s="20">
        <f t="shared" si="280"/>
        <v>2655.7244171256475</v>
      </c>
      <c r="GF100" s="20">
        <f t="shared" si="281"/>
        <v>202603.92030719022</v>
      </c>
      <c r="GG100" s="503">
        <v>1818290.8517983221</v>
      </c>
      <c r="GH100" s="351">
        <v>1818291</v>
      </c>
      <c r="GI100" s="20">
        <f t="shared" si="336"/>
        <v>44348.557360934683</v>
      </c>
      <c r="GJ100" s="503">
        <f t="shared" si="282"/>
        <v>3440178.8807964772</v>
      </c>
      <c r="GK100" s="5">
        <f>GM100+GL100</f>
        <v>3440178.8807964772</v>
      </c>
      <c r="GL100" s="149">
        <v>687027.33458103053</v>
      </c>
      <c r="GM100" s="149">
        <v>2753151.5462154467</v>
      </c>
      <c r="GN100" s="345">
        <f t="shared" si="283"/>
        <v>83906.801970645785</v>
      </c>
      <c r="GO100" s="514"/>
      <c r="GP100" s="35">
        <v>1230000</v>
      </c>
      <c r="GQ100" s="35"/>
      <c r="GR100" s="18">
        <f t="shared" si="284"/>
        <v>0.14807215948493829</v>
      </c>
      <c r="GS100" s="45"/>
      <c r="GT100" s="45"/>
      <c r="GU100" s="35"/>
      <c r="GV100" s="20">
        <f t="shared" si="331"/>
        <v>30000</v>
      </c>
      <c r="GW100" s="20">
        <f t="shared" si="332"/>
        <v>74348.55736093469</v>
      </c>
      <c r="GX100" s="569"/>
      <c r="GY100" s="569"/>
      <c r="GZ100" s="567">
        <f>(GG100+GP100+GY100)/AD100</f>
        <v>74348.55736093469</v>
      </c>
      <c r="HA100" s="569"/>
      <c r="HB100" s="569">
        <f t="shared" si="333"/>
        <v>74348.55736093469</v>
      </c>
      <c r="HC100" s="568">
        <f>(GG100+GP100+GY100+HA100)/(GX100+GB100-HD100)</f>
        <v>0.36696504810078012</v>
      </c>
      <c r="HD100" s="569"/>
      <c r="HE100" s="569"/>
      <c r="HF100" s="503"/>
      <c r="HG100" s="633">
        <v>56255</v>
      </c>
      <c r="HH100" s="634">
        <f t="shared" si="285"/>
        <v>6.7721945787196777E-3</v>
      </c>
      <c r="HI100" s="633">
        <f t="shared" si="334"/>
        <v>8250505.7325947993</v>
      </c>
      <c r="HJ100" s="633" t="e">
        <f ca="1">IF(EE100&lt;DATEDIF(TODAY(),$HJ$1,"M"),HI100,(HI100/EE100*DATEDIF(TODAY(),$HJ$1,"M")))*0</f>
        <v>#VALUE!</v>
      </c>
      <c r="HK100" s="634" t="e">
        <f ca="1">(HG100+HJ100)/GB100</f>
        <v>#VALUE!</v>
      </c>
      <c r="HL100" s="633"/>
      <c r="HM100" s="633">
        <f t="shared" si="329"/>
        <v>1230000</v>
      </c>
      <c r="HN100" s="633">
        <f t="shared" si="330"/>
        <v>0</v>
      </c>
      <c r="HO100" s="633"/>
      <c r="HP100" s="563"/>
      <c r="HQ100" s="47"/>
      <c r="HR100" s="563"/>
      <c r="HS100" s="563">
        <f>SUM(Tableau6[[#This Row],[GO]:[CARRELAGE]])</f>
        <v>0</v>
      </c>
      <c r="HT100" s="461"/>
      <c r="HU100" s="461"/>
      <c r="HV100" s="461"/>
      <c r="HW100" s="461"/>
      <c r="HX100" s="461"/>
      <c r="HY100" s="461"/>
      <c r="HZ100" s="461"/>
      <c r="IA100" s="461"/>
      <c r="IB100" s="461"/>
      <c r="IC100" s="461"/>
      <c r="ID100" s="461"/>
      <c r="IE100" s="461"/>
      <c r="IF100" s="461"/>
      <c r="IG100" s="563"/>
      <c r="IH100" s="563"/>
      <c r="II100" s="563">
        <f>HP100+HR100+Tableau6[[#This Row],[TRAVAUX BATIS]]+Tableau6[[#This Row],[HONORAIRES]]+IH100</f>
        <v>0</v>
      </c>
      <c r="IJ100" s="654">
        <f>Tableau6[[#This Row],[TOTAL PRP HT]]-Tableau6[[#This Row],[PRP TTC HORS FRAFU]]/1.021</f>
        <v>-8135906.6920615081</v>
      </c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</row>
    <row r="101" spans="1:256" ht="30" customHeight="1">
      <c r="A101" s="43" t="s">
        <v>744</v>
      </c>
      <c r="B101" s="22" t="s">
        <v>296</v>
      </c>
      <c r="C101" s="22" t="s">
        <v>87</v>
      </c>
      <c r="D101" s="22">
        <v>2019</v>
      </c>
      <c r="E101" s="22" t="s">
        <v>671</v>
      </c>
      <c r="F101" s="22" t="s">
        <v>870</v>
      </c>
      <c r="G101" s="22" t="s">
        <v>450</v>
      </c>
      <c r="H101" s="24" t="s">
        <v>136</v>
      </c>
      <c r="I101" s="22"/>
      <c r="J101" s="22" t="s">
        <v>653</v>
      </c>
      <c r="K101" s="134"/>
      <c r="L101" s="81" t="s">
        <v>654</v>
      </c>
      <c r="M101" s="82"/>
      <c r="N101" s="83"/>
      <c r="O101" s="103">
        <v>6860</v>
      </c>
      <c r="P101" s="103">
        <v>1500000</v>
      </c>
      <c r="Q101" s="103">
        <v>1500000</v>
      </c>
      <c r="R101" s="103">
        <f>P101/AD101</f>
        <v>25000</v>
      </c>
      <c r="S101" s="103">
        <f>P101/O101</f>
        <v>218.65889212827989</v>
      </c>
      <c r="T101" s="109">
        <f>Q101/O101</f>
        <v>218.65889212827989</v>
      </c>
      <c r="U101" s="109">
        <f>Q101/AK101</f>
        <v>281.6367224244791</v>
      </c>
      <c r="V101" s="109">
        <f>Q101/AD101</f>
        <v>25000</v>
      </c>
      <c r="W101" s="103">
        <f>O101/AD101</f>
        <v>114.33333333333333</v>
      </c>
      <c r="X101" s="104"/>
      <c r="Y101" s="447">
        <f t="shared" si="261"/>
        <v>87.463556851311949</v>
      </c>
      <c r="Z101" s="104"/>
      <c r="AA101" s="104"/>
      <c r="AB101" s="105"/>
      <c r="AC101" s="22" t="s">
        <v>293</v>
      </c>
      <c r="AD101" s="426">
        <f t="shared" si="262"/>
        <v>60</v>
      </c>
      <c r="AE101" s="426">
        <f t="shared" si="263"/>
        <v>60</v>
      </c>
      <c r="AF101" s="32"/>
      <c r="AG101" s="32"/>
      <c r="AH101" s="22">
        <v>60</v>
      </c>
      <c r="AI101" s="22"/>
      <c r="AJ101" s="614">
        <v>4547.8599999999997</v>
      </c>
      <c r="AK101" s="225">
        <v>5326.01</v>
      </c>
      <c r="AL101" s="492">
        <f t="shared" si="264"/>
        <v>75.797666666666657</v>
      </c>
      <c r="AM101" s="4">
        <f t="shared" si="265"/>
        <v>88.766833333333338</v>
      </c>
      <c r="AN101" s="26">
        <v>11.65</v>
      </c>
      <c r="AO101" s="26">
        <v>9.7899999999999991</v>
      </c>
      <c r="AP101" s="26">
        <v>868.81</v>
      </c>
      <c r="AQ101" s="39"/>
      <c r="AR101" s="39"/>
      <c r="AS101" s="39"/>
      <c r="AT101" s="39"/>
      <c r="AU101" s="39"/>
      <c r="AV101" s="26"/>
      <c r="AW101" s="37" t="s">
        <v>129</v>
      </c>
      <c r="AX101" s="39" t="s">
        <v>129</v>
      </c>
      <c r="AY101" s="26"/>
      <c r="AZ101" s="22" t="s">
        <v>386</v>
      </c>
      <c r="BA101" s="22" t="s">
        <v>94</v>
      </c>
      <c r="BB101" s="118">
        <f>11010000</f>
        <v>11010000</v>
      </c>
      <c r="BC101" s="437">
        <f>BB101/AJ101</f>
        <v>2420.9188497447153</v>
      </c>
      <c r="BD101" s="438">
        <f>BB101/AK101</f>
        <v>2067.2135425956767</v>
      </c>
      <c r="BE101" s="334">
        <f>BB101/AD101</f>
        <v>183500</v>
      </c>
      <c r="BF101" s="123">
        <v>43208</v>
      </c>
      <c r="BG101" s="123"/>
      <c r="BH101" s="340" t="s">
        <v>777</v>
      </c>
      <c r="BI101" s="56">
        <v>43606</v>
      </c>
      <c r="BJ101" s="548">
        <v>43551</v>
      </c>
      <c r="BK101" s="548">
        <v>43627</v>
      </c>
      <c r="BL101" s="549"/>
      <c r="BM101" s="547">
        <f t="shared" si="266"/>
        <v>2.5333333333333332</v>
      </c>
      <c r="BN101" s="490" t="s">
        <v>229</v>
      </c>
      <c r="BO101" s="77">
        <v>43745</v>
      </c>
      <c r="BP101" s="100">
        <v>43802</v>
      </c>
      <c r="BQ101" s="536">
        <f t="shared" si="247"/>
        <v>1.9</v>
      </c>
      <c r="BR101" s="529">
        <v>104224</v>
      </c>
      <c r="BS101" s="77"/>
      <c r="BT101" s="77">
        <v>43794</v>
      </c>
      <c r="BU101" s="151">
        <v>43802</v>
      </c>
      <c r="BV101" s="150">
        <f t="shared" si="267"/>
        <v>44898</v>
      </c>
      <c r="BW101" s="373">
        <f>200081+163968+40862.58</f>
        <v>404911.58</v>
      </c>
      <c r="BX101" s="150" t="str">
        <f>IF(Tableau6[[#This Row],[Montant des loyers perçus avant 1e échéance]]&lt;BW101,"oui","non")</f>
        <v>oui</v>
      </c>
      <c r="BY101" s="475">
        <f>(BV101-EL101)/30</f>
        <v>6.833333333333333</v>
      </c>
      <c r="BZ101" s="373">
        <f>IF((BY101*EO101)&lt;0,"0",BY101*EO101)</f>
        <v>297340.04377823451</v>
      </c>
      <c r="CA101" s="373">
        <f>IF(BW101-BZ101&lt;0,0,Tableau6[[#This Row],[Montant échéance annuelle]]-Tableau6[[#This Row],[Montant des loyers perçus avant 1e échéance]])</f>
        <v>107571.53622176551</v>
      </c>
      <c r="CB101" s="286"/>
      <c r="CC101" s="288"/>
      <c r="CD101" s="288"/>
      <c r="CE101" s="290" t="str">
        <f t="shared" ref="CE101:CE106" si="339">IF(AND(CC101&gt;0,CD101&gt;0),CD101-CC101,"0")</f>
        <v>0</v>
      </c>
      <c r="CF101" s="288"/>
      <c r="CG101" s="288"/>
      <c r="CH101" s="290" t="str">
        <f t="shared" ref="CH101:CH106" si="340">IF(AND(CF101&gt;0,CG101&gt;0),CG101-CF101,"0")</f>
        <v>0</v>
      </c>
      <c r="CI101" s="288"/>
      <c r="CJ101" s="288"/>
      <c r="CK101" s="290" t="str">
        <f t="shared" ref="CK101:CK106" si="341">IF(AND(CI101&gt;0,CJ101&gt;0),CJ101-CI101,"0")</f>
        <v>0</v>
      </c>
      <c r="CL101" s="288"/>
      <c r="CM101" s="288"/>
      <c r="CN101" s="290" t="str">
        <f t="shared" ref="CN101:CN106" si="342">IF(AND(CL101&gt;0,CM101&gt;0),CM101-CL101,"0")</f>
        <v>0</v>
      </c>
      <c r="CO101" s="291"/>
      <c r="CP101" s="288"/>
      <c r="CQ101" s="290" t="str">
        <f t="shared" si="268"/>
        <v>0</v>
      </c>
      <c r="CR101" s="237"/>
      <c r="CS101" s="292"/>
      <c r="CT101" s="277"/>
      <c r="CU101" s="278"/>
      <c r="CV101" s="279" t="str">
        <f t="shared" si="338"/>
        <v>0</v>
      </c>
      <c r="CW101" s="277"/>
      <c r="CX101" s="229">
        <v>43963</v>
      </c>
      <c r="CY101" s="230">
        <v>2020</v>
      </c>
      <c r="CZ101" s="235">
        <f t="shared" si="327"/>
        <v>11.2</v>
      </c>
      <c r="DA101" s="279" t="str">
        <f t="shared" si="269"/>
        <v>0</v>
      </c>
      <c r="DB101" s="383">
        <v>22</v>
      </c>
      <c r="DC101" s="127">
        <f t="shared" si="270"/>
        <v>23</v>
      </c>
      <c r="DD101" s="277"/>
      <c r="DE101" s="282">
        <f t="shared" ca="1" si="322"/>
        <v>43998</v>
      </c>
      <c r="DF101" s="279" t="str">
        <f t="shared" ca="1" si="271"/>
        <v>0</v>
      </c>
      <c r="DG101" s="277"/>
      <c r="DH101" s="295">
        <f t="shared" ca="1" si="326"/>
        <v>43998</v>
      </c>
      <c r="DI101" s="280" t="str">
        <f t="shared" ca="1" si="272"/>
        <v>0</v>
      </c>
      <c r="DJ101" s="281"/>
      <c r="DK101" s="295">
        <f t="shared" ca="1" si="320"/>
        <v>43998</v>
      </c>
      <c r="DL101" s="279" t="str">
        <f t="shared" ca="1" si="335"/>
        <v>0</v>
      </c>
      <c r="DM101" s="282"/>
      <c r="DN101" s="282">
        <f t="shared" ca="1" si="323"/>
        <v>43998</v>
      </c>
      <c r="DO101" s="279" t="str">
        <f t="shared" ca="1" si="274"/>
        <v>0</v>
      </c>
      <c r="DP101" s="283"/>
      <c r="DQ101" s="283"/>
      <c r="DR101" s="279" t="str">
        <f t="shared" si="275"/>
        <v>0</v>
      </c>
      <c r="DS101" s="282"/>
      <c r="DT101" s="282">
        <f t="shared" ca="1" si="318"/>
        <v>43998</v>
      </c>
      <c r="DU101" s="279" t="str">
        <f t="shared" ca="1" si="276"/>
        <v>0</v>
      </c>
      <c r="DV101" s="282"/>
      <c r="DW101" s="282">
        <f t="shared" ca="1" si="324"/>
        <v>43998</v>
      </c>
      <c r="DX101" s="279" t="str">
        <f t="shared" ca="1" si="277"/>
        <v>0</v>
      </c>
      <c r="DY101" s="282"/>
      <c r="DZ101" s="282"/>
      <c r="EA101" s="282"/>
      <c r="EB101" s="410">
        <f t="shared" si="259"/>
        <v>44632</v>
      </c>
      <c r="EC101" s="409">
        <f>DATE(YEAR(EB101),MONTH(EB101)+1,DAY(EB101))</f>
        <v>44663</v>
      </c>
      <c r="ED101" s="406">
        <f t="shared" si="278"/>
        <v>1.0333333333333334</v>
      </c>
      <c r="EE101" s="505">
        <f t="shared" ca="1" si="257"/>
        <v>22.166666666666668</v>
      </c>
      <c r="EF101" s="409">
        <f t="shared" ca="1" si="304"/>
        <v>44728</v>
      </c>
      <c r="EG101" s="457"/>
      <c r="EH101" s="448"/>
      <c r="EI101" s="458"/>
      <c r="EJ101" s="242"/>
      <c r="EK101" s="456">
        <f t="shared" si="319"/>
        <v>44663</v>
      </c>
      <c r="EL101" s="409">
        <f t="shared" si="337"/>
        <v>44693</v>
      </c>
      <c r="EM101" s="314"/>
      <c r="EN101" s="404">
        <f>(DATEDIF(EK101,EL101,"d"))/30</f>
        <v>1</v>
      </c>
      <c r="EO101" s="394">
        <v>43513.177138278224</v>
      </c>
      <c r="EP101" s="131">
        <f t="shared" si="279"/>
        <v>43513.177138278224</v>
      </c>
      <c r="EQ101" s="60"/>
      <c r="ER101" s="60"/>
      <c r="ES101" s="742">
        <f>(Tableau6[[#This Row],[Date inauguration recalée]]-ER101)/30</f>
        <v>1489.7666666666667</v>
      </c>
      <c r="ET101" s="300"/>
      <c r="EU101" s="300">
        <v>0</v>
      </c>
      <c r="EV101" s="300"/>
      <c r="EW101" s="300"/>
      <c r="EX101" s="300"/>
      <c r="EY101" s="416">
        <f t="shared" si="258"/>
        <v>0</v>
      </c>
      <c r="EZ101" s="297"/>
      <c r="FA101" s="308"/>
      <c r="FB101" s="297"/>
      <c r="FC101" s="22" t="s">
        <v>805</v>
      </c>
      <c r="FD101" s="89">
        <f t="shared" ca="1" si="325"/>
        <v>44728</v>
      </c>
      <c r="FE101" s="63"/>
      <c r="FF101" s="63"/>
      <c r="FG101" s="63"/>
      <c r="FH101" s="63"/>
      <c r="FI101" s="63"/>
      <c r="FJ101" s="22"/>
      <c r="FK101" s="146">
        <f t="shared" si="300"/>
        <v>45028</v>
      </c>
      <c r="FL101" s="146"/>
      <c r="FM101" s="146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451"/>
      <c r="GB101" s="471">
        <f>GD101+GG101+GJ101+HF101+Tableau6[[#This Row],[PRÊT CREDIT D''IMPOT (PM)]]</f>
        <v>15656781.863078197</v>
      </c>
      <c r="GC101" s="645">
        <f>GB101</f>
        <v>15656781.863078197</v>
      </c>
      <c r="GD101" s="507">
        <f t="shared" si="297"/>
        <v>0</v>
      </c>
      <c r="GE101" s="20">
        <f t="shared" si="280"/>
        <v>2939.6831517549153</v>
      </c>
      <c r="GF101" s="20">
        <f t="shared" si="281"/>
        <v>260946.36438463663</v>
      </c>
      <c r="GG101" s="503">
        <v>4167541.411448</v>
      </c>
      <c r="GH101" s="609">
        <v>4167541.411448</v>
      </c>
      <c r="GI101" s="20">
        <f t="shared" si="336"/>
        <v>69459.023524133328</v>
      </c>
      <c r="GJ101" s="503">
        <f t="shared" si="282"/>
        <v>7321699.0401821984</v>
      </c>
      <c r="GK101" s="5">
        <f>GL101+GM101</f>
        <v>5974405.0348477028</v>
      </c>
      <c r="GL101" s="827">
        <v>1454945.2152153836</v>
      </c>
      <c r="GM101" s="827">
        <v>4519459.8196323197</v>
      </c>
      <c r="GN101" s="345">
        <f t="shared" si="283"/>
        <v>99573.417247461708</v>
      </c>
      <c r="GO101" s="830">
        <v>1347294.0053344956</v>
      </c>
      <c r="GP101" s="35">
        <v>0</v>
      </c>
      <c r="GQ101" s="35"/>
      <c r="GR101" s="18">
        <f t="shared" si="284"/>
        <v>0</v>
      </c>
      <c r="GS101" s="35"/>
      <c r="GT101" s="35"/>
      <c r="GU101" s="35"/>
      <c r="GV101" s="20">
        <f t="shared" si="331"/>
        <v>0</v>
      </c>
      <c r="GW101" s="20">
        <f t="shared" si="332"/>
        <v>69459.023524133328</v>
      </c>
      <c r="GX101" s="569"/>
      <c r="GY101" s="569"/>
      <c r="GZ101" s="567">
        <f>(GG101+GP101+GY101)/AD101</f>
        <v>69459.023524133328</v>
      </c>
      <c r="HA101" s="569"/>
      <c r="HB101" s="569">
        <f t="shared" si="333"/>
        <v>69459.023524133328</v>
      </c>
      <c r="HC101" s="568">
        <f>(GG101+GP101+GY101+HA101)/(GX101+GB101-HD101)</f>
        <v>0.26618122727224619</v>
      </c>
      <c r="HD101" s="569"/>
      <c r="HE101" s="569"/>
      <c r="HF101" s="503">
        <f>EU101</f>
        <v>0</v>
      </c>
      <c r="HG101" s="633">
        <v>99590</v>
      </c>
      <c r="HH101" s="634">
        <f t="shared" si="285"/>
        <v>6.3608218388002844E-3</v>
      </c>
      <c r="HI101" s="633">
        <f t="shared" si="334"/>
        <v>15557191.863078197</v>
      </c>
      <c r="HJ101" s="633" t="e">
        <f ca="1">IF(EE101&lt;DATEDIF(TODAY(),$HJ$1,"M"),HI101,(HI101/EE101*DATEDIF(TODAY(),$HJ$1,"M")))*0</f>
        <v>#VALUE!</v>
      </c>
      <c r="HK101" s="634" t="e">
        <f ca="1">(HG101+HJ101)/GB101</f>
        <v>#VALUE!</v>
      </c>
      <c r="HL101" s="633"/>
      <c r="HM101" s="633">
        <f t="shared" si="329"/>
        <v>0</v>
      </c>
      <c r="HN101" s="633" t="e">
        <f t="shared" si="330"/>
        <v>#DIV/0!</v>
      </c>
      <c r="HO101" s="633"/>
      <c r="HP101" s="563"/>
      <c r="HQ101" s="47"/>
      <c r="HR101" s="563"/>
      <c r="HS101" s="563">
        <f>SUM(Tableau6[[#This Row],[GO]:[CARRELAGE]])</f>
        <v>0</v>
      </c>
      <c r="HT101" s="461"/>
      <c r="HU101" s="461"/>
      <c r="HV101" s="461"/>
      <c r="HW101" s="461"/>
      <c r="HX101" s="461"/>
      <c r="HY101" s="461"/>
      <c r="HZ101" s="461"/>
      <c r="IA101" s="461"/>
      <c r="IB101" s="461"/>
      <c r="IC101" s="461"/>
      <c r="ID101" s="461"/>
      <c r="IE101" s="461"/>
      <c r="IF101" s="461"/>
      <c r="IG101" s="563"/>
      <c r="IH101" s="563"/>
      <c r="II101" s="563">
        <f>HP101+HR101+Tableau6[[#This Row],[TRAVAUX BATIS]]+Tableau6[[#This Row],[HONORAIRES]]+IH101</f>
        <v>0</v>
      </c>
      <c r="IJ101" s="654">
        <f>Tableau6[[#This Row],[TOTAL PRP HT]]-Tableau6[[#This Row],[PRP TTC HORS FRAFU]]/1.021</f>
        <v>-15334752.069616258</v>
      </c>
      <c r="IK101" s="9"/>
      <c r="IL101" s="9"/>
      <c r="IM101" s="9"/>
      <c r="IN101" s="9"/>
      <c r="IO101" s="9"/>
      <c r="IP101" s="9"/>
      <c r="IQ101" s="9"/>
      <c r="IR101" s="9"/>
      <c r="IS101" s="9"/>
      <c r="IT101" s="9"/>
      <c r="IU101" s="9"/>
      <c r="IV101" s="9"/>
    </row>
    <row r="102" spans="1:256" ht="30" customHeight="1">
      <c r="A102" s="441" t="s">
        <v>316</v>
      </c>
      <c r="B102" s="22" t="s">
        <v>31</v>
      </c>
      <c r="C102" s="22" t="s">
        <v>86</v>
      </c>
      <c r="D102" s="22">
        <v>2018</v>
      </c>
      <c r="E102" s="22"/>
      <c r="F102" s="22" t="s">
        <v>301</v>
      </c>
      <c r="G102" s="22" t="s">
        <v>138</v>
      </c>
      <c r="H102" s="22" t="s">
        <v>136</v>
      </c>
      <c r="I102" s="22"/>
      <c r="J102" s="22" t="s">
        <v>321</v>
      </c>
      <c r="K102" s="134" t="s">
        <v>356</v>
      </c>
      <c r="L102" s="81" t="s">
        <v>43</v>
      </c>
      <c r="M102" s="82" t="s">
        <v>335</v>
      </c>
      <c r="N102" s="83">
        <v>34319</v>
      </c>
      <c r="O102" s="117"/>
      <c r="P102" s="117"/>
      <c r="Q102" s="117"/>
      <c r="R102" s="117"/>
      <c r="S102" s="117"/>
      <c r="T102" s="330"/>
      <c r="U102" s="330"/>
      <c r="V102" s="330"/>
      <c r="W102" s="117"/>
      <c r="X102" s="104"/>
      <c r="Y102" s="447" t="e">
        <f t="shared" si="261"/>
        <v>#DIV/0!</v>
      </c>
      <c r="Z102" s="104"/>
      <c r="AA102" s="104"/>
      <c r="AB102" s="105"/>
      <c r="AC102" s="22" t="s">
        <v>300</v>
      </c>
      <c r="AD102" s="426">
        <f t="shared" si="262"/>
        <v>34</v>
      </c>
      <c r="AE102" s="426">
        <f t="shared" si="263"/>
        <v>0</v>
      </c>
      <c r="AF102" s="32"/>
      <c r="AG102" s="32"/>
      <c r="AH102" s="32"/>
      <c r="AI102" s="94">
        <v>34</v>
      </c>
      <c r="AJ102" s="614"/>
      <c r="AK102" s="222"/>
      <c r="AL102" s="492">
        <f t="shared" si="264"/>
        <v>0</v>
      </c>
      <c r="AM102" s="4">
        <f t="shared" si="265"/>
        <v>0</v>
      </c>
      <c r="AN102" s="26"/>
      <c r="AO102" s="26"/>
      <c r="AP102" s="26"/>
      <c r="AQ102" s="39"/>
      <c r="AR102" s="39"/>
      <c r="AS102" s="39"/>
      <c r="AT102" s="39"/>
      <c r="AU102" s="39"/>
      <c r="AV102" s="26"/>
      <c r="AW102" s="37"/>
      <c r="AX102" s="39"/>
      <c r="AY102" s="26"/>
      <c r="AZ102" s="22"/>
      <c r="BA102" s="22"/>
      <c r="BB102" s="22"/>
      <c r="BC102" s="22"/>
      <c r="BD102" s="22"/>
      <c r="BE102" s="22"/>
      <c r="BF102" s="22"/>
      <c r="BG102" s="22"/>
      <c r="BH102" s="56">
        <v>43308</v>
      </c>
      <c r="BI102" s="56">
        <v>43308</v>
      </c>
      <c r="BJ102" s="548">
        <v>43189</v>
      </c>
      <c r="BK102" s="548">
        <v>43335</v>
      </c>
      <c r="BL102" s="549">
        <v>43502</v>
      </c>
      <c r="BM102" s="547">
        <f t="shared" si="266"/>
        <v>4.8666666666666663</v>
      </c>
      <c r="BN102" s="490"/>
      <c r="BO102" s="77">
        <v>43396</v>
      </c>
      <c r="BP102" s="100">
        <v>43487</v>
      </c>
      <c r="BQ102" s="536">
        <f t="shared" si="247"/>
        <v>3.0333333333333332</v>
      </c>
      <c r="BR102" s="529">
        <v>91972</v>
      </c>
      <c r="BS102" s="385">
        <f>DATE(YEAR(BP102),MONTH(BP102)+3,DAY(BP102))</f>
        <v>43577</v>
      </c>
      <c r="BT102" s="77">
        <v>43501</v>
      </c>
      <c r="BU102" s="151">
        <v>43525</v>
      </c>
      <c r="BV102" s="150">
        <f t="shared" si="267"/>
        <v>44621</v>
      </c>
      <c r="BW102" s="373">
        <v>27026</v>
      </c>
      <c r="BX102" s="150" t="str">
        <f>IF(Tableau6[[#This Row],[Montant des loyers perçus avant 1e échéance]]&lt;BW102,"oui","non")</f>
        <v>oui</v>
      </c>
      <c r="BY102" s="474"/>
      <c r="BZ102" s="474"/>
      <c r="CA102" s="474"/>
      <c r="CB102" s="286">
        <v>42927</v>
      </c>
      <c r="CC102" s="288"/>
      <c r="CD102" s="288"/>
      <c r="CE102" s="290" t="str">
        <f t="shared" si="339"/>
        <v>0</v>
      </c>
      <c r="CF102" s="288">
        <v>43067</v>
      </c>
      <c r="CG102" s="288">
        <f ca="1">IF(CF102&lt;TODAY(),TODAY(),CF102)</f>
        <v>43998</v>
      </c>
      <c r="CH102" s="273">
        <f t="shared" ca="1" si="340"/>
        <v>931</v>
      </c>
      <c r="CI102" s="288">
        <v>43046</v>
      </c>
      <c r="CJ102" s="288">
        <f ca="1">IF(CI102&lt;TODAY(),TODAY(),CI102)</f>
        <v>43998</v>
      </c>
      <c r="CK102" s="273">
        <f t="shared" ca="1" si="341"/>
        <v>952</v>
      </c>
      <c r="CL102" s="288">
        <v>43126</v>
      </c>
      <c r="CM102" s="288">
        <f ca="1">IF(CL102&lt;TODAY(),TODAY(),CL102)</f>
        <v>43998</v>
      </c>
      <c r="CN102" s="273">
        <f t="shared" ca="1" si="342"/>
        <v>872</v>
      </c>
      <c r="CO102" s="288">
        <v>43187</v>
      </c>
      <c r="CP102" s="288">
        <f ca="1">IF(CO102&lt;TODAY(),TODAY(),CO102)</f>
        <v>43998</v>
      </c>
      <c r="CQ102" s="273">
        <f t="shared" ca="1" si="268"/>
        <v>811</v>
      </c>
      <c r="CR102" s="237"/>
      <c r="CS102" s="286">
        <v>43403</v>
      </c>
      <c r="CT102" s="277">
        <v>43630</v>
      </c>
      <c r="CU102" s="282">
        <f ca="1">IF(CT102&lt;TODAY(),TODAY(),CT102)</f>
        <v>43998</v>
      </c>
      <c r="CV102" s="279">
        <f t="shared" ca="1" si="338"/>
        <v>368</v>
      </c>
      <c r="CW102" s="159">
        <v>43647</v>
      </c>
      <c r="CX102" s="229">
        <v>43650</v>
      </c>
      <c r="CY102" s="230">
        <v>2019</v>
      </c>
      <c r="CZ102" s="235">
        <f t="shared" si="327"/>
        <v>10.5</v>
      </c>
      <c r="DA102" s="381">
        <f t="shared" si="269"/>
        <v>3</v>
      </c>
      <c r="DB102" s="133">
        <v>10</v>
      </c>
      <c r="DC102" s="59">
        <f t="shared" si="270"/>
        <v>15</v>
      </c>
      <c r="DD102" s="277"/>
      <c r="DE102" s="282">
        <f t="shared" ca="1" si="322"/>
        <v>43998</v>
      </c>
      <c r="DF102" s="279" t="str">
        <f t="shared" ca="1" si="271"/>
        <v>0</v>
      </c>
      <c r="DG102" s="277"/>
      <c r="DH102" s="295">
        <f t="shared" ca="1" si="326"/>
        <v>43998</v>
      </c>
      <c r="DI102" s="280" t="str">
        <f t="shared" ca="1" si="272"/>
        <v>0</v>
      </c>
      <c r="DJ102" s="281"/>
      <c r="DK102" s="295">
        <f t="shared" ca="1" si="320"/>
        <v>43998</v>
      </c>
      <c r="DL102" s="279" t="str">
        <f t="shared" ca="1" si="335"/>
        <v>0</v>
      </c>
      <c r="DM102" s="282">
        <v>43510</v>
      </c>
      <c r="DN102" s="282">
        <f t="shared" ca="1" si="323"/>
        <v>43998</v>
      </c>
      <c r="DO102" s="279">
        <f t="shared" ca="1" si="274"/>
        <v>488</v>
      </c>
      <c r="DP102" s="283"/>
      <c r="DQ102" s="283"/>
      <c r="DR102" s="279" t="str">
        <f t="shared" si="275"/>
        <v>0</v>
      </c>
      <c r="DS102" s="282"/>
      <c r="DT102" s="282">
        <f t="shared" ca="1" si="318"/>
        <v>43998</v>
      </c>
      <c r="DU102" s="279" t="str">
        <f t="shared" ca="1" si="276"/>
        <v>0</v>
      </c>
      <c r="DV102" s="282">
        <v>43587</v>
      </c>
      <c r="DW102" s="282">
        <f t="shared" ca="1" si="324"/>
        <v>43998</v>
      </c>
      <c r="DX102" s="279">
        <f t="shared" ca="1" si="277"/>
        <v>411</v>
      </c>
      <c r="DY102" s="282"/>
      <c r="DZ102" s="282"/>
      <c r="EA102" s="282"/>
      <c r="EB102" s="410">
        <f t="shared" si="259"/>
        <v>43955</v>
      </c>
      <c r="EC102" s="409">
        <f>DATE(YEAR(EB102),MONTH(EB102)+5,DAY(EB102))</f>
        <v>44108</v>
      </c>
      <c r="ED102" s="406">
        <f t="shared" si="278"/>
        <v>5.0999999999999996</v>
      </c>
      <c r="EE102" s="505">
        <f t="shared" ref="EE102:EE133" ca="1" si="343">IF(((EC102-TODAY())/30)&lt;0,0,(EC102-TODAY())/30)</f>
        <v>3.6666666666666665</v>
      </c>
      <c r="EF102" s="459">
        <f t="shared" ca="1" si="304"/>
        <v>44728</v>
      </c>
      <c r="EG102" s="457"/>
      <c r="EH102" s="448"/>
      <c r="EI102" s="458"/>
      <c r="EJ102" s="242"/>
      <c r="EK102" s="456">
        <f t="shared" si="319"/>
        <v>43986</v>
      </c>
      <c r="EL102" s="409">
        <f t="shared" si="337"/>
        <v>44139</v>
      </c>
      <c r="EM102" s="314"/>
      <c r="EN102" s="404">
        <f>(EL102-EK102)/30</f>
        <v>5.0999999999999996</v>
      </c>
      <c r="EO102" s="394"/>
      <c r="EP102" s="131">
        <f t="shared" si="279"/>
        <v>0</v>
      </c>
      <c r="EQ102" s="60"/>
      <c r="ER102" s="60"/>
      <c r="ES102" s="742"/>
      <c r="ET102" s="300">
        <v>0</v>
      </c>
      <c r="EU102" s="300">
        <v>0</v>
      </c>
      <c r="EV102" s="300">
        <v>251577</v>
      </c>
      <c r="EW102" s="300">
        <v>46097</v>
      </c>
      <c r="EX102" s="300"/>
      <c r="EY102" s="416">
        <f t="shared" ref="EY102:EY133" si="344">EX102/GB102</f>
        <v>0</v>
      </c>
      <c r="EZ102" s="297"/>
      <c r="FA102" s="308"/>
      <c r="FB102" s="297" t="s">
        <v>896</v>
      </c>
      <c r="FC102" s="308"/>
      <c r="FD102" s="89">
        <f t="shared" ca="1" si="325"/>
        <v>44728</v>
      </c>
      <c r="FE102" s="63"/>
      <c r="FF102" s="63"/>
      <c r="FG102" s="63"/>
      <c r="FH102" s="63"/>
      <c r="FI102" s="63"/>
      <c r="FJ102" s="22"/>
      <c r="FK102" s="146">
        <f t="shared" si="300"/>
        <v>44473</v>
      </c>
      <c r="FL102" s="146"/>
      <c r="FM102" s="146"/>
      <c r="FN102" s="22"/>
      <c r="FO102" s="22"/>
      <c r="FP102" s="22"/>
      <c r="FQ102" s="22"/>
      <c r="FR102" s="22"/>
      <c r="FS102" s="22"/>
      <c r="FT102" s="22"/>
      <c r="FU102" s="22"/>
      <c r="FV102" s="22"/>
      <c r="FW102" s="22"/>
      <c r="FX102" s="22"/>
      <c r="FY102" s="22"/>
      <c r="FZ102" s="22"/>
      <c r="GA102" s="451"/>
      <c r="GB102" s="471">
        <f>GD102+GG102+GJ102+HF102+Tableau6[[#This Row],[PRÊT CREDIT D''IMPOT (PM)]]</f>
        <v>1032790.2</v>
      </c>
      <c r="GC102" s="645"/>
      <c r="GD102" s="507">
        <f t="shared" si="297"/>
        <v>137680</v>
      </c>
      <c r="GE102" s="20" t="e">
        <f t="shared" si="280"/>
        <v>#DIV/0!</v>
      </c>
      <c r="GF102" s="20" t="e">
        <f>#REF!/AD102</f>
        <v>#REF!</v>
      </c>
      <c r="GG102" s="503"/>
      <c r="GH102" s="351"/>
      <c r="GI102" s="20">
        <f t="shared" si="336"/>
        <v>0</v>
      </c>
      <c r="GJ102" s="503">
        <f t="shared" si="282"/>
        <v>895110.2</v>
      </c>
      <c r="GK102" s="5">
        <v>555110.19999999995</v>
      </c>
      <c r="GL102" s="212"/>
      <c r="GM102" s="212"/>
      <c r="GN102" s="345">
        <f t="shared" si="283"/>
        <v>16326.770588235293</v>
      </c>
      <c r="GO102" s="36"/>
      <c r="GP102" s="35">
        <v>136000</v>
      </c>
      <c r="GQ102" s="35"/>
      <c r="GR102" s="18">
        <f t="shared" si="284"/>
        <v>0.13168211704564975</v>
      </c>
      <c r="GS102" s="35">
        <v>340000</v>
      </c>
      <c r="GT102" s="35"/>
      <c r="GU102" s="35">
        <v>1680</v>
      </c>
      <c r="GV102" s="20">
        <f t="shared" si="331"/>
        <v>4000</v>
      </c>
      <c r="GW102" s="20">
        <f t="shared" si="332"/>
        <v>4000</v>
      </c>
      <c r="GX102" s="569"/>
      <c r="GY102" s="569"/>
      <c r="GZ102" s="567" t="e">
        <f>(#REF!+#REF!+GY102)/AD102</f>
        <v>#REF!</v>
      </c>
      <c r="HA102" s="569"/>
      <c r="HB102" s="569">
        <f t="shared" si="333"/>
        <v>4000</v>
      </c>
      <c r="HC102" s="568" t="e">
        <f>(#REF!+#REF!+GY102+HA102)/(GX102+#REF!-HD102)</f>
        <v>#REF!</v>
      </c>
      <c r="HD102" s="569"/>
      <c r="HE102" s="569"/>
      <c r="HF102" s="503"/>
      <c r="HG102" s="633">
        <v>77547.36976999999</v>
      </c>
      <c r="HH102" s="634">
        <f t="shared" si="285"/>
        <v>7.5085307519378086E-2</v>
      </c>
      <c r="HI102" s="633">
        <f t="shared" si="334"/>
        <v>955242.83022999996</v>
      </c>
      <c r="HJ102" s="633" t="e">
        <f ca="1">IF(EE102&lt;DATEDIF(TODAY(),$HJ$1,"M"),HI102,(HI102/EE102*DATEDIF(TODAY(),$HJ$1,"M")))</f>
        <v>#VALUE!</v>
      </c>
      <c r="HK102" s="634" t="e">
        <f ca="1">(HG102+HJ102)/GB102</f>
        <v>#VALUE!</v>
      </c>
      <c r="HL102" s="633"/>
      <c r="HM102" s="633">
        <f t="shared" si="329"/>
        <v>137680</v>
      </c>
      <c r="HN102" s="633">
        <f t="shared" si="330"/>
        <v>0</v>
      </c>
      <c r="HO102" s="633"/>
      <c r="HP102" s="563"/>
      <c r="HQ102" s="47"/>
      <c r="HR102" s="563"/>
      <c r="HS102" s="563">
        <f>SUM(Tableau6[[#This Row],[GO]:[CARRELAGE]])</f>
        <v>0</v>
      </c>
      <c r="HT102" s="461"/>
      <c r="HU102" s="461"/>
      <c r="HV102" s="461"/>
      <c r="HW102" s="461"/>
      <c r="HX102" s="461"/>
      <c r="HY102" s="461"/>
      <c r="HZ102" s="461"/>
      <c r="IA102" s="461"/>
      <c r="IB102" s="461"/>
      <c r="IC102" s="461"/>
      <c r="ID102" s="461"/>
      <c r="IE102" s="461"/>
      <c r="IF102" s="461"/>
      <c r="IG102" s="563"/>
      <c r="IH102" s="563"/>
      <c r="II102" s="563">
        <f>HP102+HR102+Tableau6[[#This Row],[TRAVAUX BATIS]]+Tableau6[[#This Row],[HONORAIRES]]+IH102</f>
        <v>0</v>
      </c>
      <c r="IJ102" s="654">
        <f>Tableau6[[#This Row],[TOTAL PRP HT]]-Tableau6[[#This Row],[PRP TTC HORS FRAFU]]/1.021</f>
        <v>-1011547.6983349657</v>
      </c>
      <c r="IK102" s="9"/>
      <c r="IL102" s="9"/>
      <c r="IM102" s="9"/>
      <c r="IN102" s="9"/>
      <c r="IO102" s="9"/>
      <c r="IP102" s="9"/>
      <c r="IQ102" s="9"/>
      <c r="IR102" s="9"/>
      <c r="IS102" s="9"/>
      <c r="IT102" s="9"/>
      <c r="IU102" s="9"/>
      <c r="IV102" s="9"/>
    </row>
    <row r="103" spans="1:256" ht="20.149999999999999" customHeight="1">
      <c r="A103" s="441" t="s">
        <v>315</v>
      </c>
      <c r="B103" s="22" t="s">
        <v>14</v>
      </c>
      <c r="C103" s="22" t="s">
        <v>86</v>
      </c>
      <c r="D103" s="22">
        <v>2018</v>
      </c>
      <c r="E103" s="22"/>
      <c r="F103" s="22" t="s">
        <v>301</v>
      </c>
      <c r="G103" s="22" t="s">
        <v>139</v>
      </c>
      <c r="H103" s="22" t="s">
        <v>134</v>
      </c>
      <c r="I103" s="22"/>
      <c r="J103" s="22" t="s">
        <v>320</v>
      </c>
      <c r="K103" s="134" t="s">
        <v>337</v>
      </c>
      <c r="L103" s="81" t="s">
        <v>43</v>
      </c>
      <c r="M103" s="82" t="s">
        <v>331</v>
      </c>
      <c r="N103" s="153" t="s">
        <v>336</v>
      </c>
      <c r="O103" s="117"/>
      <c r="P103" s="117"/>
      <c r="Q103" s="117"/>
      <c r="R103" s="117"/>
      <c r="S103" s="117"/>
      <c r="T103" s="330"/>
      <c r="U103" s="330"/>
      <c r="V103" s="330"/>
      <c r="W103" s="117"/>
      <c r="X103" s="104"/>
      <c r="Y103" s="447" t="e">
        <f t="shared" si="261"/>
        <v>#DIV/0!</v>
      </c>
      <c r="Z103" s="104"/>
      <c r="AA103" s="104"/>
      <c r="AB103" s="105"/>
      <c r="AC103" s="22" t="s">
        <v>300</v>
      </c>
      <c r="AD103" s="426">
        <f t="shared" si="262"/>
        <v>23</v>
      </c>
      <c r="AE103" s="426">
        <f t="shared" si="263"/>
        <v>0</v>
      </c>
      <c r="AF103" s="32"/>
      <c r="AG103" s="32"/>
      <c r="AH103" s="32"/>
      <c r="AI103" s="94">
        <v>23</v>
      </c>
      <c r="AJ103" s="614"/>
      <c r="AK103" s="222"/>
      <c r="AL103" s="492">
        <f t="shared" si="264"/>
        <v>0</v>
      </c>
      <c r="AM103" s="26">
        <f t="shared" si="265"/>
        <v>0</v>
      </c>
      <c r="AN103" s="26"/>
      <c r="AO103" s="26"/>
      <c r="AP103" s="26"/>
      <c r="AQ103" s="39"/>
      <c r="AR103" s="39"/>
      <c r="AS103" s="39"/>
      <c r="AT103" s="39"/>
      <c r="AU103" s="39"/>
      <c r="AV103" s="26"/>
      <c r="AW103" s="37"/>
      <c r="AX103" s="39"/>
      <c r="AY103" s="26"/>
      <c r="AZ103" s="22"/>
      <c r="BA103" s="22"/>
      <c r="BB103" s="22"/>
      <c r="BC103" s="22"/>
      <c r="BD103" s="22"/>
      <c r="BE103" s="22"/>
      <c r="BF103" s="22"/>
      <c r="BG103" s="22"/>
      <c r="BH103" s="56">
        <v>43308</v>
      </c>
      <c r="BI103" s="56">
        <v>43308</v>
      </c>
      <c r="BJ103" s="548">
        <v>43189</v>
      </c>
      <c r="BK103" s="548">
        <v>43335</v>
      </c>
      <c r="BL103" s="549">
        <v>43502</v>
      </c>
      <c r="BM103" s="547">
        <f t="shared" si="266"/>
        <v>4.8666666666666663</v>
      </c>
      <c r="BN103" s="490" t="s">
        <v>229</v>
      </c>
      <c r="BO103" s="77">
        <v>43396</v>
      </c>
      <c r="BP103" s="100">
        <v>43487</v>
      </c>
      <c r="BQ103" s="536">
        <f t="shared" si="247"/>
        <v>3.0333333333333332</v>
      </c>
      <c r="BR103" s="529">
        <v>91974</v>
      </c>
      <c r="BS103" s="385">
        <f>DATE(YEAR(BP103),MONTH(BP103)+3,DAY(BP103))</f>
        <v>43577</v>
      </c>
      <c r="BT103" s="77">
        <v>43501</v>
      </c>
      <c r="BU103" s="151">
        <v>43586</v>
      </c>
      <c r="BV103" s="150">
        <f t="shared" si="267"/>
        <v>44682</v>
      </c>
      <c r="BW103" s="373">
        <v>38208.400000000001</v>
      </c>
      <c r="BX103" s="150" t="str">
        <f>IF(Tableau6[[#This Row],[Montant des loyers perçus avant 1e échéance]]&lt;BW103,"oui","non")</f>
        <v>oui</v>
      </c>
      <c r="BY103" s="474"/>
      <c r="BZ103" s="474"/>
      <c r="CA103" s="474"/>
      <c r="CB103" s="226"/>
      <c r="CC103" s="57"/>
      <c r="CD103" s="57"/>
      <c r="CE103" s="273" t="str">
        <f t="shared" si="339"/>
        <v>0</v>
      </c>
      <c r="CF103" s="64">
        <v>43007</v>
      </c>
      <c r="CG103" s="64">
        <f ca="1">IF(CF103&lt;TODAY(),TODAY(),CF103)</f>
        <v>43998</v>
      </c>
      <c r="CH103" s="273">
        <f t="shared" ca="1" si="340"/>
        <v>991</v>
      </c>
      <c r="CI103" s="64">
        <v>42986</v>
      </c>
      <c r="CJ103" s="226">
        <f ca="1">IF(CI103&lt;TODAY(),TODAY(),CI103)</f>
        <v>43998</v>
      </c>
      <c r="CK103" s="273">
        <f t="shared" ca="1" si="341"/>
        <v>1012</v>
      </c>
      <c r="CL103" s="64">
        <v>43067</v>
      </c>
      <c r="CM103" s="226">
        <f ca="1">IF(CL103&lt;TODAY(),TODAY(),CL103)</f>
        <v>43998</v>
      </c>
      <c r="CN103" s="273">
        <f t="shared" ca="1" si="342"/>
        <v>931</v>
      </c>
      <c r="CO103" s="64">
        <v>43126</v>
      </c>
      <c r="CP103" s="64">
        <f ca="1">IF(CO103&lt;TODAY(),TODAY(),CO103)</f>
        <v>43998</v>
      </c>
      <c r="CQ103" s="273">
        <f t="shared" ca="1" si="268"/>
        <v>872</v>
      </c>
      <c r="CR103" s="560"/>
      <c r="CS103" s="226">
        <v>43403</v>
      </c>
      <c r="CT103" s="226">
        <v>43572</v>
      </c>
      <c r="CU103" s="64">
        <f ca="1">IF(CT103&lt;TODAY(),TODAY(),CT103)</f>
        <v>43998</v>
      </c>
      <c r="CV103" s="273">
        <f t="shared" ca="1" si="338"/>
        <v>426</v>
      </c>
      <c r="CW103" s="336">
        <v>43587</v>
      </c>
      <c r="CX103" s="229">
        <v>43665</v>
      </c>
      <c r="CY103" s="230">
        <v>2019</v>
      </c>
      <c r="CZ103" s="235">
        <f t="shared" si="327"/>
        <v>11</v>
      </c>
      <c r="DA103" s="381">
        <f t="shared" si="269"/>
        <v>78</v>
      </c>
      <c r="DB103" s="133">
        <v>8</v>
      </c>
      <c r="DC103" s="59">
        <f t="shared" si="270"/>
        <v>14</v>
      </c>
      <c r="DD103" s="277"/>
      <c r="DE103" s="282">
        <f t="shared" ca="1" si="322"/>
        <v>43998</v>
      </c>
      <c r="DF103" s="279" t="str">
        <f t="shared" ca="1" si="271"/>
        <v>0</v>
      </c>
      <c r="DG103" s="277"/>
      <c r="DH103" s="295">
        <f t="shared" ca="1" si="326"/>
        <v>43998</v>
      </c>
      <c r="DI103" s="280" t="str">
        <f t="shared" ca="1" si="272"/>
        <v>0</v>
      </c>
      <c r="DJ103" s="281"/>
      <c r="DK103" s="295">
        <f t="shared" ca="1" si="320"/>
        <v>43998</v>
      </c>
      <c r="DL103" s="279" t="str">
        <f t="shared" ca="1" si="335"/>
        <v>0</v>
      </c>
      <c r="DM103" s="282">
        <v>43508</v>
      </c>
      <c r="DN103" s="282">
        <f t="shared" ca="1" si="323"/>
        <v>43998</v>
      </c>
      <c r="DO103" s="279">
        <f t="shared" ca="1" si="274"/>
        <v>490</v>
      </c>
      <c r="DP103" s="283"/>
      <c r="DQ103" s="283"/>
      <c r="DR103" s="279" t="str">
        <f t="shared" si="275"/>
        <v>0</v>
      </c>
      <c r="DS103" s="282"/>
      <c r="DT103" s="282">
        <f t="shared" ca="1" si="318"/>
        <v>43998</v>
      </c>
      <c r="DU103" s="279" t="str">
        <f t="shared" ca="1" si="276"/>
        <v>0</v>
      </c>
      <c r="DV103" s="282">
        <v>43585</v>
      </c>
      <c r="DW103" s="282">
        <f t="shared" ca="1" si="324"/>
        <v>43998</v>
      </c>
      <c r="DX103" s="279">
        <f t="shared" ca="1" si="277"/>
        <v>413</v>
      </c>
      <c r="DY103" s="283"/>
      <c r="DZ103" s="283"/>
      <c r="EA103" s="283"/>
      <c r="EB103" s="410">
        <v>43901</v>
      </c>
      <c r="EC103" s="409">
        <v>44115</v>
      </c>
      <c r="ED103" s="406">
        <f t="shared" si="278"/>
        <v>7.1333333333333337</v>
      </c>
      <c r="EE103" s="505">
        <f t="shared" ca="1" si="343"/>
        <v>3.9</v>
      </c>
      <c r="EF103" s="459">
        <f t="shared" ca="1" si="304"/>
        <v>44728</v>
      </c>
      <c r="EG103" s="457"/>
      <c r="EH103" s="448"/>
      <c r="EI103" s="458"/>
      <c r="EJ103" s="242"/>
      <c r="EK103" s="456">
        <f t="shared" si="319"/>
        <v>43932</v>
      </c>
      <c r="EL103" s="409">
        <f t="shared" si="337"/>
        <v>44146</v>
      </c>
      <c r="EM103" s="314"/>
      <c r="EN103" s="404">
        <f>(EL103-EK103)/30</f>
        <v>7.1333333333333337</v>
      </c>
      <c r="EO103" s="394"/>
      <c r="EP103" s="131">
        <f t="shared" si="279"/>
        <v>0</v>
      </c>
      <c r="EQ103" s="60"/>
      <c r="ER103" s="60"/>
      <c r="ES103" s="742"/>
      <c r="ET103" s="300">
        <v>0</v>
      </c>
      <c r="EU103" s="300">
        <v>0</v>
      </c>
      <c r="EV103" s="300">
        <v>37052</v>
      </c>
      <c r="EW103" s="300">
        <v>39818</v>
      </c>
      <c r="EX103" s="300"/>
      <c r="EY103" s="416">
        <f t="shared" si="344"/>
        <v>0</v>
      </c>
      <c r="EZ103" s="297"/>
      <c r="FA103" s="308"/>
      <c r="FB103" s="297" t="s">
        <v>896</v>
      </c>
      <c r="FC103" s="308"/>
      <c r="FD103" s="89">
        <f t="shared" ca="1" si="325"/>
        <v>44728</v>
      </c>
      <c r="FE103" s="63"/>
      <c r="FF103" s="63"/>
      <c r="FG103" s="63"/>
      <c r="FH103" s="63"/>
      <c r="FI103" s="63"/>
      <c r="FJ103" s="22"/>
      <c r="FK103" s="146">
        <f t="shared" si="300"/>
        <v>44480</v>
      </c>
      <c r="FL103" s="146"/>
      <c r="FM103" s="146"/>
      <c r="FN103" s="22"/>
      <c r="FO103" s="22"/>
      <c r="FP103" s="22"/>
      <c r="FQ103" s="22"/>
      <c r="FR103" s="22"/>
      <c r="FS103" s="22"/>
      <c r="FT103" s="22"/>
      <c r="FU103" s="22"/>
      <c r="FV103" s="22"/>
      <c r="FW103" s="22"/>
      <c r="FX103" s="22"/>
      <c r="FY103" s="22"/>
      <c r="FZ103" s="22"/>
      <c r="GA103" s="451"/>
      <c r="GB103" s="471">
        <f>GD103+GG103+GJ103+HF103+Tableau6[[#This Row],[PRÊT CREDIT D''IMPOT (PM)]]</f>
        <v>1124636.94</v>
      </c>
      <c r="GC103" s="645"/>
      <c r="GD103" s="507">
        <f t="shared" si="297"/>
        <v>159844</v>
      </c>
      <c r="GE103" s="20" t="e">
        <f t="shared" si="280"/>
        <v>#DIV/0!</v>
      </c>
      <c r="GF103" s="20">
        <f t="shared" ref="GF103:GF134" si="345">GB103/AD103</f>
        <v>48897.258260869559</v>
      </c>
      <c r="GG103" s="503"/>
      <c r="GH103" s="351"/>
      <c r="GI103" s="20">
        <f t="shared" si="336"/>
        <v>0</v>
      </c>
      <c r="GJ103" s="503">
        <f t="shared" si="282"/>
        <v>964792.94</v>
      </c>
      <c r="GK103" s="5">
        <v>784792.94</v>
      </c>
      <c r="GL103" s="212"/>
      <c r="GM103" s="212"/>
      <c r="GN103" s="345">
        <f t="shared" si="283"/>
        <v>34121.432173913039</v>
      </c>
      <c r="GO103" s="36"/>
      <c r="GP103" s="35">
        <v>115000</v>
      </c>
      <c r="GQ103" s="35"/>
      <c r="GR103" s="18">
        <f t="shared" si="284"/>
        <v>0.10225522202747493</v>
      </c>
      <c r="GS103" s="35">
        <v>180000</v>
      </c>
      <c r="GT103" s="35"/>
      <c r="GU103" s="35">
        <f>1680+30214.8+12949.2</f>
        <v>44844</v>
      </c>
      <c r="GV103" s="20">
        <f t="shared" si="331"/>
        <v>5000</v>
      </c>
      <c r="GW103" s="20">
        <f t="shared" si="332"/>
        <v>5000</v>
      </c>
      <c r="GX103" s="569"/>
      <c r="GY103" s="569"/>
      <c r="GZ103" s="567" t="e">
        <f>(#REF!+#REF!+GY103)/AD103</f>
        <v>#REF!</v>
      </c>
      <c r="HA103" s="569"/>
      <c r="HB103" s="569">
        <f t="shared" si="333"/>
        <v>5000</v>
      </c>
      <c r="HC103" s="568" t="e">
        <f>(#REF!+#REF!+GY103+HA103)/(GX103+#REF!-HD103)</f>
        <v>#REF!</v>
      </c>
      <c r="HD103" s="569"/>
      <c r="HE103" s="569"/>
      <c r="HF103" s="503"/>
      <c r="HG103" s="633">
        <v>73063.454279999991</v>
      </c>
      <c r="HH103" s="634">
        <f t="shared" si="285"/>
        <v>6.4966258604310115E-2</v>
      </c>
      <c r="HI103" s="633">
        <f t="shared" si="334"/>
        <v>1051573.48572</v>
      </c>
      <c r="HJ103" s="633" t="e">
        <f ca="1">IF(EE103&lt;DATEDIF(TODAY(),$HJ$1,"M"),HI103,(HI103/EE103*DATEDIF(TODAY(),$HJ$1,"M")))</f>
        <v>#VALUE!</v>
      </c>
      <c r="HK103" s="634" t="e">
        <f ca="1">(HG103+HJ103)/GB103</f>
        <v>#VALUE!</v>
      </c>
      <c r="HL103" s="633"/>
      <c r="HM103" s="633">
        <f t="shared" si="329"/>
        <v>159844</v>
      </c>
      <c r="HN103" s="633">
        <f t="shared" si="330"/>
        <v>0</v>
      </c>
      <c r="HO103" s="633" t="s">
        <v>767</v>
      </c>
      <c r="HP103" s="563"/>
      <c r="HQ103" s="47"/>
      <c r="HR103" s="563"/>
      <c r="HS103" s="563">
        <f>SUM(Tableau6[[#This Row],[GO]:[CARRELAGE]])</f>
        <v>0</v>
      </c>
      <c r="HT103" s="461"/>
      <c r="HU103" s="461"/>
      <c r="HV103" s="461"/>
      <c r="HW103" s="461"/>
      <c r="HX103" s="461"/>
      <c r="HY103" s="461"/>
      <c r="HZ103" s="461"/>
      <c r="IA103" s="461"/>
      <c r="IB103" s="461"/>
      <c r="IC103" s="461"/>
      <c r="ID103" s="461"/>
      <c r="IE103" s="461"/>
      <c r="IF103" s="461"/>
      <c r="IG103" s="563"/>
      <c r="IH103" s="563"/>
      <c r="II103" s="563">
        <f>HP103+HR103+Tableau6[[#This Row],[TRAVAUX BATIS]]+Tableau6[[#This Row],[HONORAIRES]]+IH103</f>
        <v>0</v>
      </c>
      <c r="IJ103" s="654">
        <f>Tableau6[[#This Row],[TOTAL PRP HT]]-Tableau6[[#This Row],[PRP TTC HORS FRAFU]]/1.021</f>
        <v>-1101505.3281096965</v>
      </c>
      <c r="IK103" s="9"/>
      <c r="IL103" s="9"/>
      <c r="IM103" s="9"/>
      <c r="IN103" s="9"/>
      <c r="IO103" s="9"/>
      <c r="IP103" s="9"/>
      <c r="IQ103" s="9"/>
      <c r="IR103" s="9"/>
      <c r="IS103" s="9"/>
      <c r="IT103" s="9"/>
      <c r="IU103" s="9"/>
      <c r="IV103" s="9"/>
    </row>
    <row r="104" spans="1:256" ht="30" customHeight="1">
      <c r="A104" s="48" t="s">
        <v>868</v>
      </c>
      <c r="B104" s="22" t="s">
        <v>21</v>
      </c>
      <c r="C104" s="22" t="s">
        <v>86</v>
      </c>
      <c r="D104" s="22">
        <v>2019</v>
      </c>
      <c r="E104" s="22" t="s">
        <v>667</v>
      </c>
      <c r="F104" s="57"/>
      <c r="G104" s="57"/>
      <c r="H104" s="220"/>
      <c r="I104" s="22"/>
      <c r="J104" s="22" t="s">
        <v>595</v>
      </c>
      <c r="K104" s="134"/>
      <c r="L104" s="81"/>
      <c r="M104" s="82"/>
      <c r="N104" s="83"/>
      <c r="O104" s="103">
        <f>1954/58*AD104</f>
        <v>1145.4482758620691</v>
      </c>
      <c r="P104" s="103">
        <v>533000</v>
      </c>
      <c r="Q104" s="103">
        <v>533000</v>
      </c>
      <c r="R104" s="103">
        <f>P104/AD104</f>
        <v>15676.470588235294</v>
      </c>
      <c r="S104" s="103">
        <f t="shared" ref="S104:S111" si="346">P104/O104</f>
        <v>465.32000722499845</v>
      </c>
      <c r="T104" s="109">
        <f t="shared" ref="T104:T111" si="347">Q104/O104</f>
        <v>465.32000722499845</v>
      </c>
      <c r="U104" s="109">
        <f t="shared" ref="U104:U109" si="348">Q104/AK104</f>
        <v>200.08709231785693</v>
      </c>
      <c r="V104" s="109">
        <f t="shared" ref="V104:V111" si="349">Q104/AD104</f>
        <v>15676.470588235294</v>
      </c>
      <c r="W104" s="103">
        <f t="shared" ref="W104:W111" si="350">O104/AD104</f>
        <v>33.689655172413794</v>
      </c>
      <c r="X104" s="104"/>
      <c r="Y104" s="447">
        <f t="shared" ref="Y104:Y111" si="351">10000*AD104/O104</f>
        <v>296.82702149437051</v>
      </c>
      <c r="Z104" s="104" t="s">
        <v>159</v>
      </c>
      <c r="AA104" s="104">
        <v>600</v>
      </c>
      <c r="AB104" s="105"/>
      <c r="AC104" s="22" t="s">
        <v>9</v>
      </c>
      <c r="AD104" s="426">
        <f t="shared" ref="AD104:AD135" si="352">SUM(AF104:AI104)</f>
        <v>34</v>
      </c>
      <c r="AE104" s="426">
        <f t="shared" ref="AE104:AE111" si="353">AD104-AI104</f>
        <v>34</v>
      </c>
      <c r="AF104" s="22">
        <v>34</v>
      </c>
      <c r="AG104" s="32"/>
      <c r="AH104" s="32"/>
      <c r="AI104" s="32"/>
      <c r="AJ104" s="615">
        <v>2181.9899999999998</v>
      </c>
      <c r="AK104" s="222">
        <v>2663.84</v>
      </c>
      <c r="AL104" s="492">
        <f t="shared" ref="AL104:AL111" si="354">AJ104/AD104</f>
        <v>64.176176470588231</v>
      </c>
      <c r="AM104" s="26">
        <f t="shared" ref="AM104:AM111" si="355">AK104/AD104</f>
        <v>78.348235294117657</v>
      </c>
      <c r="AN104" s="26"/>
      <c r="AO104" s="26"/>
      <c r="AP104" s="26"/>
      <c r="AQ104" s="39">
        <f>4/AD104</f>
        <v>0.11764705882352941</v>
      </c>
      <c r="AR104" s="39">
        <f>6/AD104</f>
        <v>0.17647058823529413</v>
      </c>
      <c r="AS104" s="39">
        <f>11/AD104</f>
        <v>0.3235294117647059</v>
      </c>
      <c r="AT104" s="39">
        <f>13/AD104</f>
        <v>0.38235294117647056</v>
      </c>
      <c r="AU104" s="39"/>
      <c r="AV104" s="26"/>
      <c r="AW104" s="37" t="s">
        <v>129</v>
      </c>
      <c r="AX104" s="37" t="s">
        <v>129</v>
      </c>
      <c r="AY104" s="26"/>
      <c r="AZ104" s="22" t="s">
        <v>386</v>
      </c>
      <c r="BA104" s="22" t="s">
        <v>94</v>
      </c>
      <c r="BB104" s="118">
        <v>5591520.2517590132</v>
      </c>
      <c r="BC104" s="437">
        <f>BB104/AJ104</f>
        <v>2562.5783123474507</v>
      </c>
      <c r="BD104" s="332">
        <f>BB104/AK104</f>
        <v>2099.0450821967584</v>
      </c>
      <c r="BE104" s="334">
        <f>BB104/AD104</f>
        <v>164456.47799291214</v>
      </c>
      <c r="BF104" s="123"/>
      <c r="BG104" s="123"/>
      <c r="BH104" s="56">
        <v>43445</v>
      </c>
      <c r="BI104" s="89"/>
      <c r="BJ104" s="548">
        <v>43554</v>
      </c>
      <c r="BK104" s="548">
        <v>43665</v>
      </c>
      <c r="BL104" s="549"/>
      <c r="BM104" s="547">
        <f t="shared" ref="BM104:BM111" si="356">(DATEDIF(BJ104,BK104,"d"))/30</f>
        <v>3.7</v>
      </c>
      <c r="BN104" s="490" t="s">
        <v>229</v>
      </c>
      <c r="BO104" s="77">
        <v>43696</v>
      </c>
      <c r="BP104" s="100">
        <v>43761</v>
      </c>
      <c r="BQ104" s="536">
        <f t="shared" si="247"/>
        <v>2.1666666666666665</v>
      </c>
      <c r="BR104" s="529">
        <v>102410</v>
      </c>
      <c r="BS104" s="77">
        <v>43761</v>
      </c>
      <c r="BT104" s="77">
        <v>43761</v>
      </c>
      <c r="BU104" s="151">
        <v>43770</v>
      </c>
      <c r="BV104" s="150">
        <f t="shared" ref="BV104:BV135" si="357">DATE(YEAR(BU104),MONTH(BU104)+36,DAY(BU104))</f>
        <v>44866</v>
      </c>
      <c r="BW104" s="373">
        <f>153500+14839</f>
        <v>168339</v>
      </c>
      <c r="BX104" s="150" t="str">
        <f>IF(Tableau6[[#This Row],[Montant des loyers perçus avant 1e échéance]]&lt;BW104,"oui","non")</f>
        <v>oui</v>
      </c>
      <c r="BY104" s="475">
        <f t="shared" ref="BY104:BY109" si="358">(BV104-EL104)/30</f>
        <v>7.2666666666666666</v>
      </c>
      <c r="BZ104" s="373">
        <f t="shared" ref="BZ104:BZ109" si="359">IF((BY104*EO104)&lt;0,"0",BY104*EO104)</f>
        <v>133998.25842572915</v>
      </c>
      <c r="CA104" s="373">
        <f>IF(BW104-BZ104&lt;0,0,Tableau6[[#This Row],[Montant échéance annuelle]]-Tableau6[[#This Row],[Montant des loyers perçus avant 1e échéance]])</f>
        <v>34340.741574270854</v>
      </c>
      <c r="CB104" s="286"/>
      <c r="CC104" s="288"/>
      <c r="CD104" s="288"/>
      <c r="CE104" s="290" t="str">
        <f t="shared" si="339"/>
        <v>0</v>
      </c>
      <c r="CF104" s="288"/>
      <c r="CG104" s="288"/>
      <c r="CH104" s="290" t="str">
        <f t="shared" si="340"/>
        <v>0</v>
      </c>
      <c r="CI104" s="288"/>
      <c r="CJ104" s="288"/>
      <c r="CK104" s="290" t="str">
        <f t="shared" si="341"/>
        <v>0</v>
      </c>
      <c r="CL104" s="288"/>
      <c r="CM104" s="288"/>
      <c r="CN104" s="290" t="str">
        <f t="shared" si="342"/>
        <v>0</v>
      </c>
      <c r="CO104" s="291"/>
      <c r="CP104" s="288"/>
      <c r="CQ104" s="290" t="str">
        <f t="shared" ref="CQ104:CQ111" si="360">IF(AND(CO104&gt;0,CP104&gt;0),CP104-CO104,"0")</f>
        <v>0</v>
      </c>
      <c r="CR104" s="237"/>
      <c r="CS104" s="292"/>
      <c r="CT104" s="277"/>
      <c r="CU104" s="278"/>
      <c r="CV104" s="279" t="str">
        <f t="shared" si="338"/>
        <v>0</v>
      </c>
      <c r="CW104" s="431"/>
      <c r="CX104" s="229">
        <v>43850</v>
      </c>
      <c r="CY104" s="230">
        <v>2020</v>
      </c>
      <c r="CZ104" s="231">
        <f t="shared" si="327"/>
        <v>6.166666666666667</v>
      </c>
      <c r="DA104" s="279" t="str">
        <f t="shared" ref="DA104:DA129" si="361">IF(AND(CW104&gt;0,CX104&gt;0),CX104-CW104,"0")</f>
        <v>0</v>
      </c>
      <c r="DB104" s="133">
        <v>21</v>
      </c>
      <c r="DC104" s="127">
        <f t="shared" ref="DC104:DC129" si="362">DATEDIF(CX104,EC104,"M")</f>
        <v>25</v>
      </c>
      <c r="DD104" s="277"/>
      <c r="DE104" s="282">
        <f t="shared" ca="1" si="322"/>
        <v>43998</v>
      </c>
      <c r="DF104" s="279" t="str">
        <f t="shared" ref="DF104:DF108" ca="1" si="363">IF(AND(DD104&gt;0,DE104&gt;0),DE104-DD104,"0")</f>
        <v>0</v>
      </c>
      <c r="DG104" s="277"/>
      <c r="DH104" s="295">
        <f t="shared" ca="1" si="326"/>
        <v>43998</v>
      </c>
      <c r="DI104" s="280" t="str">
        <f t="shared" ref="DI104:DI129" ca="1" si="364">IF(AND(DG104&gt;0,DH104&gt;0),DH104-DG104,"0")</f>
        <v>0</v>
      </c>
      <c r="DJ104" s="281"/>
      <c r="DK104" s="295">
        <f t="shared" ca="1" si="320"/>
        <v>43998</v>
      </c>
      <c r="DL104" s="279" t="str">
        <f t="shared" ca="1" si="335"/>
        <v>0</v>
      </c>
      <c r="DM104" s="282"/>
      <c r="DN104" s="282">
        <f t="shared" ca="1" si="323"/>
        <v>43998</v>
      </c>
      <c r="DO104" s="279" t="str">
        <f t="shared" ref="DO104:DO129" ca="1" si="365">IF(AND(DM104&gt;0,DN104&gt;0),DN104-DM104,"0")</f>
        <v>0</v>
      </c>
      <c r="DP104" s="283"/>
      <c r="DQ104" s="283"/>
      <c r="DR104" s="279" t="str">
        <f t="shared" ref="DR104:DR129" si="366">IF(AND(DP104&gt;0,DQ104&gt;0),DQ104-DP104,"0")</f>
        <v>0</v>
      </c>
      <c r="DS104" s="282"/>
      <c r="DT104" s="282">
        <f t="shared" ca="1" si="318"/>
        <v>43998</v>
      </c>
      <c r="DU104" s="279" t="str">
        <f t="shared" ref="DU104:DU129" ca="1" si="367">IF(AND(DS104&gt;0,DT104&gt;0),DT104-DS104,"0")</f>
        <v>0</v>
      </c>
      <c r="DV104" s="282"/>
      <c r="DW104" s="282">
        <f t="shared" ca="1" si="324"/>
        <v>43998</v>
      </c>
      <c r="DX104" s="279" t="str">
        <f t="shared" ref="DX104:DX129" ca="1" si="368">IF(AND(DV104&gt;0,DW104&gt;0),DW104-DV104,"0")</f>
        <v>0</v>
      </c>
      <c r="DY104" s="282"/>
      <c r="DZ104" s="282"/>
      <c r="EA104" s="282"/>
      <c r="EB104" s="410">
        <f t="shared" ref="EB104:EB135" si="369">DATE(YEAR(CX104),MONTH(CX104)+DB104,DAY(CX104))</f>
        <v>44489</v>
      </c>
      <c r="EC104" s="409">
        <v>44620</v>
      </c>
      <c r="ED104" s="406">
        <f t="shared" ref="ED104:ED135" si="370">(EC104-EB104)/30</f>
        <v>4.3666666666666663</v>
      </c>
      <c r="EE104" s="505">
        <f t="shared" ca="1" si="343"/>
        <v>20.733333333333334</v>
      </c>
      <c r="EF104" s="409">
        <f t="shared" ca="1" si="304"/>
        <v>44728</v>
      </c>
      <c r="EG104" s="448"/>
      <c r="EH104" s="448"/>
      <c r="EI104" s="458"/>
      <c r="EJ104" s="242"/>
      <c r="EK104" s="456">
        <f t="shared" si="319"/>
        <v>44520</v>
      </c>
      <c r="EL104" s="409">
        <f t="shared" si="337"/>
        <v>44648</v>
      </c>
      <c r="EM104" s="314"/>
      <c r="EN104" s="404">
        <f>(DATEDIF(EK104,EL104,"d"))/30</f>
        <v>4.2666666666666666</v>
      </c>
      <c r="EO104" s="394">
        <v>18440.127306293001</v>
      </c>
      <c r="EP104" s="131">
        <f t="shared" ref="EP104:EP135" si="371">EO104*EN104</f>
        <v>78677.876506850138</v>
      </c>
      <c r="EQ104" s="625">
        <f>EO104*3</f>
        <v>55320.381918879008</v>
      </c>
      <c r="ER104" s="747"/>
      <c r="ES104" s="740">
        <f>(Tableau6[[#This Row],[Date inauguration recalée]]-ER104)/30</f>
        <v>1488.2666666666667</v>
      </c>
      <c r="ET104" s="300"/>
      <c r="EU104" s="300"/>
      <c r="EV104" s="300"/>
      <c r="EW104" s="300"/>
      <c r="EX104" s="300"/>
      <c r="EY104" s="416">
        <f t="shared" si="344"/>
        <v>0</v>
      </c>
      <c r="EZ104" s="297"/>
      <c r="FA104" s="308"/>
      <c r="FB104" s="297" t="s">
        <v>896</v>
      </c>
      <c r="FC104" s="22" t="s">
        <v>792</v>
      </c>
      <c r="FD104" s="89">
        <f t="shared" ca="1" si="325"/>
        <v>44728</v>
      </c>
      <c r="FE104" s="63"/>
      <c r="FF104" s="63"/>
      <c r="FG104" s="63"/>
      <c r="FH104" s="63"/>
      <c r="FI104" s="63"/>
      <c r="FJ104" s="22"/>
      <c r="FK104" s="146">
        <f t="shared" si="300"/>
        <v>44985</v>
      </c>
      <c r="FL104" s="146"/>
      <c r="FM104" s="146"/>
      <c r="FN104" s="22"/>
      <c r="FO104" s="22"/>
      <c r="FP104" s="22"/>
      <c r="FQ104" s="22"/>
      <c r="FR104" s="22"/>
      <c r="FS104" s="22"/>
      <c r="FT104" s="22"/>
      <c r="FU104" s="22"/>
      <c r="FV104" s="22"/>
      <c r="FW104" s="22"/>
      <c r="FX104" s="22"/>
      <c r="FY104" s="22"/>
      <c r="FZ104" s="22"/>
      <c r="GA104" s="451"/>
      <c r="GB104" s="471">
        <f>GD104+GG104+GJ104+HF104+Tableau6[[#This Row],[PRÊT CREDIT D''IMPOT (PM)]]</f>
        <v>7747437.0697236573</v>
      </c>
      <c r="GC104" s="645">
        <f t="shared" ref="GC104:GC135" si="372">GB104</f>
        <v>7747437.0697236573</v>
      </c>
      <c r="GD104" s="507">
        <f t="shared" si="297"/>
        <v>680000</v>
      </c>
      <c r="GE104" s="20">
        <f t="shared" ref="GE104:GE135" si="373">GB104/AK104</f>
        <v>2908.3717752281132</v>
      </c>
      <c r="GF104" s="20">
        <f t="shared" si="345"/>
        <v>227865.79616834287</v>
      </c>
      <c r="GG104" s="503">
        <v>1880767.7657972611</v>
      </c>
      <c r="GH104" s="351">
        <v>1880767.7657972611</v>
      </c>
      <c r="GI104" s="20">
        <f t="shared" si="336"/>
        <v>55316.698994037091</v>
      </c>
      <c r="GJ104" s="503">
        <f t="shared" ref="GJ104:GJ135" si="374">GK104+GO104+GS104</f>
        <v>3305901.538129135</v>
      </c>
      <c r="GK104" s="5">
        <f t="shared" ref="GK104:GK111" si="375">GL104+GM104</f>
        <v>3305901.538129135</v>
      </c>
      <c r="GL104" s="827">
        <v>591449.37046365719</v>
      </c>
      <c r="GM104" s="827">
        <v>2714452.1676654778</v>
      </c>
      <c r="GN104" s="345">
        <f t="shared" ref="GN104:GN135" si="376">GK104/AD104</f>
        <v>97232.398180268676</v>
      </c>
      <c r="GO104" s="514"/>
      <c r="GP104" s="35">
        <v>680000</v>
      </c>
      <c r="GQ104" s="35"/>
      <c r="GR104" s="18">
        <f t="shared" ref="GR104:GR135" si="377">GP104/GB104</f>
        <v>8.7770961400562217E-2</v>
      </c>
      <c r="GS104" s="35"/>
      <c r="GT104" s="35"/>
      <c r="GU104" s="35"/>
      <c r="GV104" s="20">
        <f t="shared" si="331"/>
        <v>20000</v>
      </c>
      <c r="GW104" s="20">
        <f t="shared" si="332"/>
        <v>75316.698994037099</v>
      </c>
      <c r="GX104" s="569"/>
      <c r="GY104" s="569"/>
      <c r="GZ104" s="567">
        <f>(GG104+GP104+GY104)/AD104</f>
        <v>75316.698994037099</v>
      </c>
      <c r="HA104" s="569"/>
      <c r="HB104" s="569">
        <f t="shared" si="333"/>
        <v>75316.698994037099</v>
      </c>
      <c r="HC104" s="568">
        <f>(GG104+GP104+GY104+HA104)/(GX104+GB104-HD104)</f>
        <v>0.33053095401116966</v>
      </c>
      <c r="HD104" s="569"/>
      <c r="HE104" s="569"/>
      <c r="HF104" s="503"/>
      <c r="HG104" s="633"/>
      <c r="HH104" s="634">
        <f t="shared" ref="HH104:HH111" si="378">HG104/GB104</f>
        <v>0</v>
      </c>
      <c r="HI104" s="633">
        <f t="shared" si="334"/>
        <v>7747437.0697236573</v>
      </c>
      <c r="HJ104" s="633" t="e">
        <f ca="1">IF(EE104&lt;DATEDIF(TODAY(),$HJ$1,"M"),HI104,(HI104/EE104*DATEDIF(TODAY(),$HJ$1,"M")))*0</f>
        <v>#VALUE!</v>
      </c>
      <c r="HK104" s="634" t="e">
        <f ca="1">(HG104+HJ104)/GB104</f>
        <v>#VALUE!</v>
      </c>
      <c r="HL104" s="633"/>
      <c r="HM104" s="633">
        <f t="shared" si="329"/>
        <v>680000</v>
      </c>
      <c r="HN104" s="633">
        <f t="shared" si="330"/>
        <v>0</v>
      </c>
      <c r="HO104" s="633"/>
      <c r="HP104" s="563"/>
      <c r="HQ104" s="47"/>
      <c r="HR104" s="563"/>
      <c r="HS104" s="563">
        <f>SUM(Tableau6[[#This Row],[GO]:[CARRELAGE]])</f>
        <v>0</v>
      </c>
      <c r="HT104" s="461"/>
      <c r="HU104" s="461"/>
      <c r="HV104" s="461"/>
      <c r="HW104" s="461"/>
      <c r="HX104" s="461"/>
      <c r="HY104" s="461"/>
      <c r="HZ104" s="461"/>
      <c r="IA104" s="461"/>
      <c r="IB104" s="461"/>
      <c r="IC104" s="461"/>
      <c r="ID104" s="461"/>
      <c r="IE104" s="461"/>
      <c r="IF104" s="461"/>
      <c r="IG104" s="563"/>
      <c r="IH104" s="563"/>
      <c r="II104" s="563">
        <f>HP104+HR104+Tableau6[[#This Row],[TRAVAUX BATIS]]+Tableau6[[#This Row],[HONORAIRES]]+IH104</f>
        <v>0</v>
      </c>
      <c r="IJ104" s="654">
        <f>Tableau6[[#This Row],[TOTAL PRP HT]]-Tableau6[[#This Row],[PRP TTC HORS FRAFU]]/1.021</f>
        <v>-7588087.2377313003</v>
      </c>
      <c r="IK104" s="9"/>
      <c r="IL104" s="9"/>
      <c r="IM104" s="9"/>
      <c r="IN104" s="9"/>
      <c r="IO104" s="9"/>
      <c r="IP104" s="9"/>
      <c r="IQ104" s="9"/>
      <c r="IR104" s="9"/>
      <c r="IS104" s="9"/>
      <c r="IT104" s="9"/>
      <c r="IU104" s="9"/>
      <c r="IV104" s="9"/>
    </row>
    <row r="105" spans="1:256" ht="29.25" customHeight="1">
      <c r="A105" s="477" t="s">
        <v>390</v>
      </c>
      <c r="B105" s="22" t="s">
        <v>25</v>
      </c>
      <c r="C105" s="22" t="s">
        <v>88</v>
      </c>
      <c r="D105" s="22">
        <v>2018</v>
      </c>
      <c r="E105" s="22" t="s">
        <v>391</v>
      </c>
      <c r="F105" s="22" t="s">
        <v>870</v>
      </c>
      <c r="G105" s="22" t="s">
        <v>139</v>
      </c>
      <c r="H105" s="24" t="s">
        <v>134</v>
      </c>
      <c r="I105" s="22"/>
      <c r="J105" s="22"/>
      <c r="K105" s="134"/>
      <c r="L105" s="81"/>
      <c r="M105" s="82"/>
      <c r="N105" s="83"/>
      <c r="O105" s="103">
        <v>1627</v>
      </c>
      <c r="P105" s="103">
        <v>154050</v>
      </c>
      <c r="Q105" s="103">
        <v>154050</v>
      </c>
      <c r="R105" s="103" t="e">
        <f>P105/AI105</f>
        <v>#DIV/0!</v>
      </c>
      <c r="S105" s="103">
        <f t="shared" si="346"/>
        <v>94.683466502765825</v>
      </c>
      <c r="T105" s="109">
        <f t="shared" si="347"/>
        <v>94.683466502765825</v>
      </c>
      <c r="U105" s="109">
        <f t="shared" si="348"/>
        <v>98.772477070102497</v>
      </c>
      <c r="V105" s="109">
        <f t="shared" si="349"/>
        <v>9061.7647058823532</v>
      </c>
      <c r="W105" s="103">
        <f t="shared" si="350"/>
        <v>95.705882352941174</v>
      </c>
      <c r="X105" s="104"/>
      <c r="Y105" s="444">
        <f t="shared" si="351"/>
        <v>104.48678549477566</v>
      </c>
      <c r="Z105" s="104"/>
      <c r="AA105" s="104"/>
      <c r="AB105" s="105"/>
      <c r="AC105" s="22" t="s">
        <v>9</v>
      </c>
      <c r="AD105" s="426">
        <f t="shared" si="352"/>
        <v>17</v>
      </c>
      <c r="AE105" s="426">
        <f t="shared" si="353"/>
        <v>17</v>
      </c>
      <c r="AF105" s="22">
        <v>17</v>
      </c>
      <c r="AG105" s="32"/>
      <c r="AH105" s="32"/>
      <c r="AI105" s="32"/>
      <c r="AJ105" s="614">
        <v>1353.27</v>
      </c>
      <c r="AK105" s="222">
        <v>1559.645</v>
      </c>
      <c r="AL105" s="492">
        <f t="shared" si="354"/>
        <v>79.604117647058828</v>
      </c>
      <c r="AM105" s="26">
        <f t="shared" si="355"/>
        <v>91.74382352941177</v>
      </c>
      <c r="AN105" s="26">
        <v>7.36</v>
      </c>
      <c r="AO105" s="26">
        <v>6.39</v>
      </c>
      <c r="AP105" s="26">
        <v>586.03</v>
      </c>
      <c r="AQ105" s="39"/>
      <c r="AR105" s="39">
        <f>4/AD105</f>
        <v>0.23529411764705882</v>
      </c>
      <c r="AS105" s="39">
        <f>6/AD105</f>
        <v>0.35294117647058826</v>
      </c>
      <c r="AT105" s="39">
        <f>5/AD105</f>
        <v>0.29411764705882354</v>
      </c>
      <c r="AU105" s="39">
        <f>2/AD105</f>
        <v>0.11764705882352941</v>
      </c>
      <c r="AV105" s="26"/>
      <c r="AW105" s="37"/>
      <c r="AX105" s="39"/>
      <c r="AY105" s="26"/>
      <c r="AZ105" s="22" t="s">
        <v>386</v>
      </c>
      <c r="BA105" s="22" t="s">
        <v>94</v>
      </c>
      <c r="BB105" s="22"/>
      <c r="BC105" s="22"/>
      <c r="BD105" s="22"/>
      <c r="BE105" s="22"/>
      <c r="BF105" s="123">
        <v>42978</v>
      </c>
      <c r="BG105" s="123"/>
      <c r="BH105" s="56">
        <v>43308</v>
      </c>
      <c r="BI105" s="56">
        <v>43308</v>
      </c>
      <c r="BJ105" s="548">
        <v>43189</v>
      </c>
      <c r="BK105" s="548">
        <v>43334</v>
      </c>
      <c r="BL105" s="549"/>
      <c r="BM105" s="547">
        <f t="shared" si="356"/>
        <v>4.833333333333333</v>
      </c>
      <c r="BN105" s="490" t="s">
        <v>229</v>
      </c>
      <c r="BO105" s="77">
        <v>43347</v>
      </c>
      <c r="BP105" s="100">
        <v>43487</v>
      </c>
      <c r="BQ105" s="536">
        <f t="shared" si="247"/>
        <v>4.666666666666667</v>
      </c>
      <c r="BR105" s="529"/>
      <c r="BS105" s="385">
        <f>DATE(YEAR(BP105),MONTH(BP105)+3,DAY(BP105))</f>
        <v>43577</v>
      </c>
      <c r="BT105" s="77"/>
      <c r="BU105" s="151">
        <v>43586</v>
      </c>
      <c r="BV105" s="150">
        <f t="shared" si="357"/>
        <v>44682</v>
      </c>
      <c r="BW105" s="373">
        <f>83410.57+7587.49</f>
        <v>90998.060000000012</v>
      </c>
      <c r="BX105" s="150" t="str">
        <f>IF(Tableau6[[#This Row],[Montant des loyers perçus avant 1e échéance]]&lt;BW105,"oui","non")</f>
        <v>non</v>
      </c>
      <c r="BY105" s="475">
        <f t="shared" si="358"/>
        <v>11.2</v>
      </c>
      <c r="BZ105" s="373">
        <f t="shared" si="359"/>
        <v>111619.2</v>
      </c>
      <c r="CA105" s="373">
        <f>IF(BW105-BZ105&lt;0,0,Tableau6[[#This Row],[Montant échéance annuelle]]-Tableau6[[#This Row],[Montant des loyers perçus avant 1e échéance]])</f>
        <v>0</v>
      </c>
      <c r="CB105" s="159"/>
      <c r="CC105" s="64"/>
      <c r="CD105" s="64"/>
      <c r="CE105" s="290" t="str">
        <f t="shared" si="339"/>
        <v>0</v>
      </c>
      <c r="CF105" s="64"/>
      <c r="CG105" s="64"/>
      <c r="CH105" s="273" t="str">
        <f t="shared" si="340"/>
        <v>0</v>
      </c>
      <c r="CI105" s="64"/>
      <c r="CJ105" s="64"/>
      <c r="CK105" s="273" t="str">
        <f t="shared" si="341"/>
        <v>0</v>
      </c>
      <c r="CL105" s="64"/>
      <c r="CM105" s="64"/>
      <c r="CN105" s="273" t="str">
        <f t="shared" si="342"/>
        <v>0</v>
      </c>
      <c r="CO105" s="64"/>
      <c r="CP105" s="64"/>
      <c r="CQ105" s="273" t="str">
        <f t="shared" si="360"/>
        <v>0</v>
      </c>
      <c r="CR105" s="237"/>
      <c r="CS105" s="286"/>
      <c r="CT105" s="277"/>
      <c r="CU105" s="282"/>
      <c r="CV105" s="279" t="str">
        <f t="shared" si="338"/>
        <v>0</v>
      </c>
      <c r="CW105" s="431"/>
      <c r="CX105" s="229">
        <v>43738</v>
      </c>
      <c r="CY105" s="230">
        <v>2019</v>
      </c>
      <c r="CZ105" s="231">
        <f t="shared" si="327"/>
        <v>13.466666666666667</v>
      </c>
      <c r="DA105" s="279" t="str">
        <f t="shared" si="361"/>
        <v>0</v>
      </c>
      <c r="DB105" s="383">
        <v>14</v>
      </c>
      <c r="DC105" s="127">
        <f t="shared" si="362"/>
        <v>19</v>
      </c>
      <c r="DD105" s="277">
        <v>43732</v>
      </c>
      <c r="DE105" s="282">
        <f t="shared" ca="1" si="322"/>
        <v>43998</v>
      </c>
      <c r="DF105" s="279">
        <f t="shared" ca="1" si="363"/>
        <v>266</v>
      </c>
      <c r="DG105" s="277">
        <f>DATE(YEAR(DD105),MONTH(DD105)+2,DAY(DD105))</f>
        <v>43793</v>
      </c>
      <c r="DH105" s="295">
        <f t="shared" ca="1" si="326"/>
        <v>43998</v>
      </c>
      <c r="DI105" s="280">
        <f t="shared" ca="1" si="364"/>
        <v>205</v>
      </c>
      <c r="DJ105" s="281"/>
      <c r="DK105" s="295">
        <f t="shared" ca="1" si="320"/>
        <v>43998</v>
      </c>
      <c r="DL105" s="279" t="str">
        <f t="shared" ca="1" si="335"/>
        <v>0</v>
      </c>
      <c r="DM105" s="282">
        <v>43512</v>
      </c>
      <c r="DN105" s="282">
        <f t="shared" ca="1" si="323"/>
        <v>43998</v>
      </c>
      <c r="DO105" s="279">
        <f t="shared" ca="1" si="365"/>
        <v>486</v>
      </c>
      <c r="DP105" s="283"/>
      <c r="DQ105" s="283"/>
      <c r="DR105" s="279" t="str">
        <f t="shared" si="366"/>
        <v>0</v>
      </c>
      <c r="DS105" s="282"/>
      <c r="DT105" s="282">
        <f t="shared" ca="1" si="318"/>
        <v>43998</v>
      </c>
      <c r="DU105" s="279" t="str">
        <f t="shared" ca="1" si="367"/>
        <v>0</v>
      </c>
      <c r="DV105" s="282">
        <v>43589</v>
      </c>
      <c r="DW105" s="282">
        <f t="shared" ca="1" si="324"/>
        <v>43998</v>
      </c>
      <c r="DX105" s="279">
        <f t="shared" ca="1" si="368"/>
        <v>409</v>
      </c>
      <c r="DY105" s="282"/>
      <c r="DZ105" s="282"/>
      <c r="EA105" s="282"/>
      <c r="EB105" s="410">
        <f t="shared" si="369"/>
        <v>44165</v>
      </c>
      <c r="EC105" s="409">
        <f>DATE(YEAR(EB105),MONTH(EB105)+5,DAY(EB105))</f>
        <v>44316</v>
      </c>
      <c r="ED105" s="406">
        <f t="shared" si="370"/>
        <v>5.0333333333333332</v>
      </c>
      <c r="EE105" s="505">
        <f t="shared" ca="1" si="343"/>
        <v>10.6</v>
      </c>
      <c r="EF105" s="409">
        <f t="shared" ca="1" si="304"/>
        <v>44728</v>
      </c>
      <c r="EG105" s="457"/>
      <c r="EH105" s="58">
        <v>43726</v>
      </c>
      <c r="EI105" s="458"/>
      <c r="EJ105" s="242"/>
      <c r="EK105" s="456">
        <f t="shared" si="319"/>
        <v>44195</v>
      </c>
      <c r="EL105" s="409">
        <f t="shared" si="337"/>
        <v>44346</v>
      </c>
      <c r="EM105" s="314"/>
      <c r="EN105" s="404">
        <f>(DATEDIF(EK105,EL105,"d"))/30</f>
        <v>5.0333333333333332</v>
      </c>
      <c r="EO105" s="394">
        <v>9966</v>
      </c>
      <c r="EP105" s="131">
        <f t="shared" si="371"/>
        <v>50162.2</v>
      </c>
      <c r="EQ105" s="626">
        <f>EO105*3</f>
        <v>29898</v>
      </c>
      <c r="ER105" s="626"/>
      <c r="ES105" s="740"/>
      <c r="ET105" s="300">
        <v>0</v>
      </c>
      <c r="EU105" s="300">
        <v>0</v>
      </c>
      <c r="EV105" s="300">
        <v>83574</v>
      </c>
      <c r="EW105" s="300"/>
      <c r="EX105" s="300"/>
      <c r="EY105" s="416">
        <f t="shared" si="344"/>
        <v>0</v>
      </c>
      <c r="EZ105" s="297"/>
      <c r="FA105" s="308"/>
      <c r="FB105" s="297" t="s">
        <v>896</v>
      </c>
      <c r="FC105" s="308" t="s">
        <v>784</v>
      </c>
      <c r="FD105" s="89">
        <f t="shared" ca="1" si="325"/>
        <v>44728</v>
      </c>
      <c r="FE105" s="63"/>
      <c r="FF105" s="63"/>
      <c r="FG105" s="63"/>
      <c r="FH105" s="63"/>
      <c r="FI105" s="63"/>
      <c r="FJ105" s="22"/>
      <c r="FK105" s="146">
        <f t="shared" si="300"/>
        <v>44681</v>
      </c>
      <c r="FL105" s="146"/>
      <c r="FM105" s="146"/>
      <c r="FN105" s="22"/>
      <c r="FO105" s="22"/>
      <c r="FP105" s="22"/>
      <c r="FQ105" s="22"/>
      <c r="FR105" s="22"/>
      <c r="FS105" s="22"/>
      <c r="FT105" s="22"/>
      <c r="FU105" s="22"/>
      <c r="FV105" s="22"/>
      <c r="FW105" s="22"/>
      <c r="FX105" s="22"/>
      <c r="FY105" s="22"/>
      <c r="FZ105" s="22"/>
      <c r="GA105" s="451"/>
      <c r="GB105" s="471">
        <f>GD105+GG105+GJ105+HF105+Tableau6[[#This Row],[PRÊT CREDIT D''IMPOT (PM)]]</f>
        <v>4246517.2073351201</v>
      </c>
      <c r="GC105" s="645">
        <f t="shared" si="372"/>
        <v>4246517.2073351201</v>
      </c>
      <c r="GD105" s="507">
        <f t="shared" ref="GD105:GD136" si="379">GP105+GQ105+GT105+GU105</f>
        <v>327200</v>
      </c>
      <c r="GE105" s="20">
        <f t="shared" si="373"/>
        <v>2722.7460142116443</v>
      </c>
      <c r="GF105" s="20">
        <f t="shared" si="345"/>
        <v>249795.12984324235</v>
      </c>
      <c r="GG105" s="507">
        <v>1044500.2073351206</v>
      </c>
      <c r="GH105" s="351">
        <v>958221</v>
      </c>
      <c r="GI105" s="20">
        <f t="shared" si="336"/>
        <v>61441.188666771806</v>
      </c>
      <c r="GJ105" s="507">
        <f t="shared" si="374"/>
        <v>1916596</v>
      </c>
      <c r="GK105" s="5">
        <f t="shared" si="375"/>
        <v>1806096</v>
      </c>
      <c r="GL105" s="515">
        <v>267301</v>
      </c>
      <c r="GM105" s="515">
        <v>1538795</v>
      </c>
      <c r="GN105" s="345">
        <f t="shared" si="376"/>
        <v>106240.94117647059</v>
      </c>
      <c r="GO105" s="514"/>
      <c r="GP105" s="35">
        <v>323000</v>
      </c>
      <c r="GQ105" s="35"/>
      <c r="GR105" s="18">
        <f t="shared" si="377"/>
        <v>7.6062331607198871E-2</v>
      </c>
      <c r="GS105" s="35">
        <v>110500</v>
      </c>
      <c r="GT105" s="35"/>
      <c r="GU105" s="35">
        <v>4200</v>
      </c>
      <c r="GV105" s="20">
        <f t="shared" si="331"/>
        <v>19000</v>
      </c>
      <c r="GW105" s="20">
        <f t="shared" si="332"/>
        <v>80441.188666771792</v>
      </c>
      <c r="GX105" s="569"/>
      <c r="GY105" s="569"/>
      <c r="GZ105" s="567">
        <f>(GG105+GP105+GY105)/AD105</f>
        <v>80441.188666771792</v>
      </c>
      <c r="HA105" s="569"/>
      <c r="HB105" s="569">
        <f t="shared" si="333"/>
        <v>80441.188666771792</v>
      </c>
      <c r="HC105" s="568">
        <f>(GG105+GP105+GY105+HA105)/(GX105+GB105-HD105)</f>
        <v>0.32202865090785499</v>
      </c>
      <c r="HD105" s="569"/>
      <c r="HE105" s="569"/>
      <c r="HF105" s="507">
        <v>0</v>
      </c>
      <c r="HG105" s="637">
        <f>(28908.49+370280)*1.021</f>
        <v>407571.44828999997</v>
      </c>
      <c r="HH105" s="634">
        <f t="shared" si="378"/>
        <v>9.5977816264582932E-2</v>
      </c>
      <c r="HI105" s="633">
        <f t="shared" si="334"/>
        <v>3838945.7590451203</v>
      </c>
      <c r="HJ105" s="633" t="e">
        <f ca="1">IF(EE105&lt;DATEDIF(TODAY(),$HJ$1,"M"),HI105,(HI105/EE105*DATEDIF(TODAY(),$HJ$1,"M")))*0+400000</f>
        <v>#VALUE!</v>
      </c>
      <c r="HK105" s="634" t="e">
        <f ca="1">(HJ105+HG105)/GB105</f>
        <v>#VALUE!</v>
      </c>
      <c r="HL105" s="633">
        <f>'[1]GLOBAL OPERATION'!$AG$78</f>
        <v>0</v>
      </c>
      <c r="HM105" s="633">
        <f t="shared" si="329"/>
        <v>327200</v>
      </c>
      <c r="HN105" s="634">
        <f t="shared" si="330"/>
        <v>0</v>
      </c>
      <c r="HO105" s="634" t="s">
        <v>752</v>
      </c>
      <c r="HP105" s="563"/>
      <c r="HQ105" s="47"/>
      <c r="HR105" s="563"/>
      <c r="HS105" s="563">
        <f>SUM(Tableau6[[#This Row],[GO]:[CARRELAGE]])</f>
        <v>0</v>
      </c>
      <c r="HT105" s="461"/>
      <c r="HU105" s="461"/>
      <c r="HV105" s="461"/>
      <c r="HW105" s="461"/>
      <c r="HX105" s="461"/>
      <c r="HY105" s="461"/>
      <c r="HZ105" s="461"/>
      <c r="IA105" s="461"/>
      <c r="IB105" s="461"/>
      <c r="IC105" s="461"/>
      <c r="ID105" s="461"/>
      <c r="IE105" s="461"/>
      <c r="IF105" s="461"/>
      <c r="IG105" s="563"/>
      <c r="IH105" s="563"/>
      <c r="II105" s="563">
        <f>HP105+HR105+Tableau6[[#This Row],[TRAVAUX BATIS]]+Tableau6[[#This Row],[HONORAIRES]]+IH105</f>
        <v>0</v>
      </c>
      <c r="IJ105" s="654">
        <f>Tableau6[[#This Row],[TOTAL PRP HT]]-Tableau6[[#This Row],[PRP TTC HORS FRAFU]]/1.021</f>
        <v>-4159174.5419540848</v>
      </c>
      <c r="IK105" s="9"/>
      <c r="IL105" s="9"/>
      <c r="IM105" s="9"/>
      <c r="IN105" s="9"/>
      <c r="IO105" s="9"/>
      <c r="IP105" s="9"/>
      <c r="IQ105" s="9"/>
      <c r="IR105" s="9"/>
      <c r="IS105" s="9"/>
      <c r="IT105" s="9"/>
      <c r="IU105" s="9"/>
      <c r="IV105" s="9"/>
    </row>
    <row r="106" spans="1:256" ht="15" customHeight="1">
      <c r="A106" s="48" t="s">
        <v>869</v>
      </c>
      <c r="B106" s="22" t="s">
        <v>21</v>
      </c>
      <c r="C106" s="22" t="s">
        <v>86</v>
      </c>
      <c r="D106" s="22">
        <v>2019</v>
      </c>
      <c r="E106" s="22" t="s">
        <v>667</v>
      </c>
      <c r="F106" s="23" t="s">
        <v>870</v>
      </c>
      <c r="G106" s="23" t="s">
        <v>329</v>
      </c>
      <c r="H106" s="23" t="s">
        <v>134</v>
      </c>
      <c r="I106" s="23"/>
      <c r="J106" s="22" t="s">
        <v>595</v>
      </c>
      <c r="K106" s="134"/>
      <c r="L106" s="81"/>
      <c r="M106" s="82"/>
      <c r="N106" s="83"/>
      <c r="O106" s="103">
        <f>1954/58*AD106</f>
        <v>808.55172413793105</v>
      </c>
      <c r="P106" s="103">
        <v>445600</v>
      </c>
      <c r="Q106" s="103">
        <v>445600</v>
      </c>
      <c r="R106" s="103">
        <f>P106/AD106</f>
        <v>18566.666666666668</v>
      </c>
      <c r="S106" s="103">
        <f t="shared" si="346"/>
        <v>551.10883657454792</v>
      </c>
      <c r="T106" s="109">
        <f t="shared" si="347"/>
        <v>551.10883657454792</v>
      </c>
      <c r="U106" s="109">
        <f t="shared" si="348"/>
        <v>198.83093123912366</v>
      </c>
      <c r="V106" s="109">
        <f t="shared" si="349"/>
        <v>18566.666666666668</v>
      </c>
      <c r="W106" s="103">
        <f t="shared" si="350"/>
        <v>33.689655172413794</v>
      </c>
      <c r="X106" s="112"/>
      <c r="Y106" s="447">
        <f t="shared" si="351"/>
        <v>296.82702149437051</v>
      </c>
      <c r="Z106" s="104" t="s">
        <v>159</v>
      </c>
      <c r="AA106" s="104">
        <v>600</v>
      </c>
      <c r="AB106" s="111"/>
      <c r="AC106" s="23" t="s">
        <v>293</v>
      </c>
      <c r="AD106" s="426">
        <f t="shared" si="352"/>
        <v>24</v>
      </c>
      <c r="AE106" s="426">
        <f t="shared" si="353"/>
        <v>24</v>
      </c>
      <c r="AF106" s="32"/>
      <c r="AG106" s="32"/>
      <c r="AH106" s="22">
        <v>24</v>
      </c>
      <c r="AI106" s="32"/>
      <c r="AJ106" s="615">
        <v>1913.93</v>
      </c>
      <c r="AK106" s="222">
        <v>2241.1</v>
      </c>
      <c r="AL106" s="492">
        <f t="shared" si="354"/>
        <v>79.747083333333336</v>
      </c>
      <c r="AM106" s="26">
        <f t="shared" si="355"/>
        <v>93.379166666666663</v>
      </c>
      <c r="AN106" s="26"/>
      <c r="AO106" s="26"/>
      <c r="AP106" s="26"/>
      <c r="AQ106" s="40"/>
      <c r="AR106" s="40"/>
      <c r="AS106" s="40">
        <f>8/AD106</f>
        <v>0.33333333333333331</v>
      </c>
      <c r="AT106" s="40">
        <f>12/AD106</f>
        <v>0.5</v>
      </c>
      <c r="AU106" s="40">
        <f>4/AD106</f>
        <v>0.16666666666666666</v>
      </c>
      <c r="AV106" s="27"/>
      <c r="AW106" s="37" t="s">
        <v>129</v>
      </c>
      <c r="AX106" s="37" t="s">
        <v>129</v>
      </c>
      <c r="AY106" s="27"/>
      <c r="AZ106" s="22" t="s">
        <v>386</v>
      </c>
      <c r="BA106" s="22" t="s">
        <v>94</v>
      </c>
      <c r="BB106" s="118">
        <v>4669073.3601299999</v>
      </c>
      <c r="BC106" s="437">
        <f>BB106/AJ106</f>
        <v>2439.5214872696492</v>
      </c>
      <c r="BD106" s="332">
        <f>BB106/AK106</f>
        <v>2083.3846593770918</v>
      </c>
      <c r="BE106" s="334">
        <f>BB106/AD106</f>
        <v>194544.72333874999</v>
      </c>
      <c r="BF106" s="93"/>
      <c r="BG106" s="93"/>
      <c r="BH106" s="56">
        <v>43445</v>
      </c>
      <c r="BI106" s="89"/>
      <c r="BJ106" s="548">
        <v>43554</v>
      </c>
      <c r="BK106" s="548">
        <v>43650</v>
      </c>
      <c r="BL106" s="549">
        <v>43650</v>
      </c>
      <c r="BM106" s="547">
        <f t="shared" si="356"/>
        <v>3.2</v>
      </c>
      <c r="BN106" s="490" t="s">
        <v>229</v>
      </c>
      <c r="BO106" s="77">
        <v>43696</v>
      </c>
      <c r="BP106" s="100">
        <v>43761</v>
      </c>
      <c r="BQ106" s="536">
        <f t="shared" si="247"/>
        <v>2.1666666666666665</v>
      </c>
      <c r="BR106" s="529">
        <v>102410</v>
      </c>
      <c r="BS106" s="77">
        <v>43761</v>
      </c>
      <c r="BT106" s="77">
        <v>43761</v>
      </c>
      <c r="BU106" s="151">
        <v>43770</v>
      </c>
      <c r="BV106" s="150">
        <f t="shared" si="357"/>
        <v>44866</v>
      </c>
      <c r="BW106" s="373">
        <f>71319+15545</f>
        <v>86864</v>
      </c>
      <c r="BX106" s="150" t="str">
        <f>IF(Tableau6[[#This Row],[Montant des loyers perçus avant 1e échéance]]&lt;BW106,"oui","non")</f>
        <v>non</v>
      </c>
      <c r="BY106" s="475">
        <f t="shared" si="358"/>
        <v>7.2666666666666666</v>
      </c>
      <c r="BZ106" s="373">
        <f t="shared" si="359"/>
        <v>159641.4</v>
      </c>
      <c r="CA106" s="373">
        <f>IF(BW106-BZ106&lt;0,0,Tableau6[[#This Row],[Montant échéance annuelle]]-Tableau6[[#This Row],[Montant des loyers perçus avant 1e échéance]])</f>
        <v>0</v>
      </c>
      <c r="CB106" s="286"/>
      <c r="CC106" s="288"/>
      <c r="CD106" s="288"/>
      <c r="CE106" s="290" t="str">
        <f t="shared" si="339"/>
        <v>0</v>
      </c>
      <c r="CF106" s="288"/>
      <c r="CG106" s="288"/>
      <c r="CH106" s="290" t="str">
        <f t="shared" si="340"/>
        <v>0</v>
      </c>
      <c r="CI106" s="288"/>
      <c r="CJ106" s="288"/>
      <c r="CK106" s="290" t="str">
        <f t="shared" si="341"/>
        <v>0</v>
      </c>
      <c r="CL106" s="288"/>
      <c r="CM106" s="288"/>
      <c r="CN106" s="290" t="str">
        <f t="shared" si="342"/>
        <v>0</v>
      </c>
      <c r="CO106" s="288"/>
      <c r="CP106" s="288"/>
      <c r="CQ106" s="290" t="str">
        <f t="shared" si="360"/>
        <v>0</v>
      </c>
      <c r="CR106" s="237"/>
      <c r="CS106" s="289"/>
      <c r="CT106" s="284"/>
      <c r="CU106" s="282"/>
      <c r="CV106" s="279" t="str">
        <f t="shared" si="338"/>
        <v>0</v>
      </c>
      <c r="CW106" s="284"/>
      <c r="CX106" s="229">
        <v>43850</v>
      </c>
      <c r="CY106" s="230">
        <v>2020</v>
      </c>
      <c r="CZ106" s="231">
        <f t="shared" si="327"/>
        <v>6.666666666666667</v>
      </c>
      <c r="DA106" s="279" t="str">
        <f t="shared" si="361"/>
        <v>0</v>
      </c>
      <c r="DB106" s="133">
        <v>21</v>
      </c>
      <c r="DC106" s="127">
        <f t="shared" si="362"/>
        <v>25</v>
      </c>
      <c r="DD106" s="282"/>
      <c r="DE106" s="282">
        <f t="shared" ca="1" si="322"/>
        <v>43998</v>
      </c>
      <c r="DF106" s="279" t="str">
        <f t="shared" ca="1" si="363"/>
        <v>0</v>
      </c>
      <c r="DG106" s="277"/>
      <c r="DH106" s="295">
        <f t="shared" ca="1" si="326"/>
        <v>43998</v>
      </c>
      <c r="DI106" s="280" t="str">
        <f t="shared" ca="1" si="364"/>
        <v>0</v>
      </c>
      <c r="DJ106" s="282"/>
      <c r="DK106" s="295">
        <f t="shared" ca="1" si="320"/>
        <v>43998</v>
      </c>
      <c r="DL106" s="279" t="str">
        <f t="shared" ca="1" si="335"/>
        <v>0</v>
      </c>
      <c r="DM106" s="282"/>
      <c r="DN106" s="282">
        <f t="shared" ca="1" si="323"/>
        <v>43998</v>
      </c>
      <c r="DO106" s="279" t="str">
        <f t="shared" ca="1" si="365"/>
        <v>0</v>
      </c>
      <c r="DP106" s="283"/>
      <c r="DQ106" s="283"/>
      <c r="DR106" s="279" t="str">
        <f t="shared" si="366"/>
        <v>0</v>
      </c>
      <c r="DS106" s="282"/>
      <c r="DT106" s="282">
        <f t="shared" ca="1" si="318"/>
        <v>43998</v>
      </c>
      <c r="DU106" s="279" t="str">
        <f t="shared" ca="1" si="367"/>
        <v>0</v>
      </c>
      <c r="DV106" s="282"/>
      <c r="DW106" s="282">
        <f t="shared" ca="1" si="324"/>
        <v>43998</v>
      </c>
      <c r="DX106" s="279" t="str">
        <f t="shared" ca="1" si="368"/>
        <v>0</v>
      </c>
      <c r="DY106" s="282"/>
      <c r="DZ106" s="282"/>
      <c r="EA106" s="282"/>
      <c r="EB106" s="410">
        <f t="shared" si="369"/>
        <v>44489</v>
      </c>
      <c r="EC106" s="409">
        <v>44620</v>
      </c>
      <c r="ED106" s="406">
        <f t="shared" si="370"/>
        <v>4.3666666666666663</v>
      </c>
      <c r="EE106" s="505">
        <f t="shared" ca="1" si="343"/>
        <v>20.733333333333334</v>
      </c>
      <c r="EF106" s="409">
        <f t="shared" ca="1" si="304"/>
        <v>44728</v>
      </c>
      <c r="EG106" s="457"/>
      <c r="EH106" s="448"/>
      <c r="EI106" s="458"/>
      <c r="EJ106" s="242"/>
      <c r="EK106" s="456">
        <f t="shared" si="319"/>
        <v>44520</v>
      </c>
      <c r="EL106" s="409">
        <f t="shared" si="337"/>
        <v>44648</v>
      </c>
      <c r="EM106" s="314"/>
      <c r="EN106" s="404">
        <f>(DATEDIF(EK106,EL106,"d"))/30</f>
        <v>4.2666666666666666</v>
      </c>
      <c r="EO106" s="394">
        <v>21969</v>
      </c>
      <c r="EP106" s="131">
        <f t="shared" si="371"/>
        <v>93734.399999999994</v>
      </c>
      <c r="EQ106" s="625">
        <f>EO106*3</f>
        <v>65907</v>
      </c>
      <c r="ER106" s="747"/>
      <c r="ES106" s="740">
        <f>(Tableau6[[#This Row],[Date inauguration recalée]]-ER106)/30</f>
        <v>1488.2666666666667</v>
      </c>
      <c r="ET106" s="300"/>
      <c r="EU106" s="300">
        <v>0</v>
      </c>
      <c r="EV106" s="300"/>
      <c r="EW106" s="300"/>
      <c r="EX106" s="300"/>
      <c r="EY106" s="416">
        <f t="shared" si="344"/>
        <v>0</v>
      </c>
      <c r="EZ106" s="297"/>
      <c r="FA106" s="308"/>
      <c r="FB106" s="308" t="s">
        <v>896</v>
      </c>
      <c r="FC106" s="22" t="s">
        <v>792</v>
      </c>
      <c r="FD106" s="89">
        <f t="shared" ca="1" si="325"/>
        <v>44728</v>
      </c>
      <c r="FE106" s="65"/>
      <c r="FF106" s="65"/>
      <c r="FG106" s="65"/>
      <c r="FH106" s="65"/>
      <c r="FI106" s="65"/>
      <c r="FJ106" s="23"/>
      <c r="FK106" s="146">
        <f t="shared" si="300"/>
        <v>44985</v>
      </c>
      <c r="FL106" s="146"/>
      <c r="FM106" s="146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451"/>
      <c r="GB106" s="471">
        <f>GD106+GG106+GJ106+HF106+Tableau6[[#This Row],[PRÊT CREDIT D''IMPOT (PM)]]</f>
        <v>6677048.2960073119</v>
      </c>
      <c r="GC106" s="645">
        <f t="shared" si="372"/>
        <v>6677048.2960073119</v>
      </c>
      <c r="GD106" s="507">
        <f t="shared" si="379"/>
        <v>0</v>
      </c>
      <c r="GE106" s="20">
        <f t="shared" si="373"/>
        <v>2979.3620525667361</v>
      </c>
      <c r="GF106" s="20">
        <f t="shared" si="345"/>
        <v>278210.34566697135</v>
      </c>
      <c r="GG106" s="503">
        <v>1780093.4395553619</v>
      </c>
      <c r="GH106" s="351">
        <v>1780093.4395553619</v>
      </c>
      <c r="GI106" s="20">
        <f t="shared" si="336"/>
        <v>74170.559981473416</v>
      </c>
      <c r="GJ106" s="503">
        <f t="shared" si="374"/>
        <v>3116861.4168965882</v>
      </c>
      <c r="GK106" s="5">
        <f t="shared" si="375"/>
        <v>2546416.4168965882</v>
      </c>
      <c r="GL106" s="827">
        <v>561004.41689658829</v>
      </c>
      <c r="GM106" s="827">
        <v>1985412</v>
      </c>
      <c r="GN106" s="345">
        <f t="shared" si="376"/>
        <v>106100.68403735785</v>
      </c>
      <c r="GO106" s="830">
        <v>570445</v>
      </c>
      <c r="GP106" s="36">
        <v>0</v>
      </c>
      <c r="GQ106" s="36"/>
      <c r="GR106" s="18">
        <f t="shared" si="377"/>
        <v>0</v>
      </c>
      <c r="GS106" s="35"/>
      <c r="GT106" s="35"/>
      <c r="GU106" s="36"/>
      <c r="GV106" s="20">
        <f t="shared" si="331"/>
        <v>0</v>
      </c>
      <c r="GW106" s="20">
        <f t="shared" si="332"/>
        <v>74170.559981473416</v>
      </c>
      <c r="GX106" s="572"/>
      <c r="GY106" s="572"/>
      <c r="GZ106" s="567">
        <f>(GG106+GP106+GY106)/AD106</f>
        <v>74170.559981473416</v>
      </c>
      <c r="HA106" s="572"/>
      <c r="HB106" s="569">
        <f t="shared" si="333"/>
        <v>74170.559981473416</v>
      </c>
      <c r="HC106" s="568">
        <f>(GG106+GP106+GY106+HA106)/(GX106+GB106-HD106)</f>
        <v>0.26659885635690367</v>
      </c>
      <c r="HD106" s="572"/>
      <c r="HE106" s="572"/>
      <c r="HF106" s="503">
        <f>EU106</f>
        <v>0</v>
      </c>
      <c r="HG106" s="633">
        <v>97815</v>
      </c>
      <c r="HH106" s="634">
        <f t="shared" si="378"/>
        <v>1.4649437245869651E-2</v>
      </c>
      <c r="HI106" s="633">
        <f t="shared" si="334"/>
        <v>6579233.2960073119</v>
      </c>
      <c r="HJ106" s="633" t="e">
        <f ca="1">IF(EE106&lt;DATEDIF(TODAY(),$HJ$1,"M"),HI106,(HI106/EE106*DATEDIF(TODAY(),$HJ$1,"M")))*0</f>
        <v>#VALUE!</v>
      </c>
      <c r="HK106" s="634" t="e">
        <f ca="1">(HG106+HJ106)/GB106</f>
        <v>#VALUE!</v>
      </c>
      <c r="HL106" s="633"/>
      <c r="HM106" s="633">
        <f t="shared" si="329"/>
        <v>0</v>
      </c>
      <c r="HN106" s="633" t="e">
        <f t="shared" si="330"/>
        <v>#DIV/0!</v>
      </c>
      <c r="HO106" s="633"/>
      <c r="HP106" s="563"/>
      <c r="HQ106" s="47"/>
      <c r="HR106" s="563"/>
      <c r="HS106" s="563">
        <f>SUM(Tableau6[[#This Row],[GO]:[CARRELAGE]])</f>
        <v>0</v>
      </c>
      <c r="HT106" s="461"/>
      <c r="HU106" s="461"/>
      <c r="HV106" s="461"/>
      <c r="HW106" s="461"/>
      <c r="HX106" s="461"/>
      <c r="HY106" s="461"/>
      <c r="HZ106" s="461"/>
      <c r="IA106" s="461"/>
      <c r="IB106" s="461"/>
      <c r="IC106" s="461"/>
      <c r="ID106" s="461"/>
      <c r="IE106" s="461"/>
      <c r="IF106" s="461"/>
      <c r="IG106" s="563"/>
      <c r="IH106" s="563"/>
      <c r="II106" s="563">
        <f>HP106+HR106+Tableau6[[#This Row],[TRAVAUX BATIS]]+Tableau6[[#This Row],[HONORAIRES]]+IH106</f>
        <v>0</v>
      </c>
      <c r="IJ106" s="654">
        <f>Tableau6[[#This Row],[TOTAL PRP HT]]-Tableau6[[#This Row],[PRP TTC HORS FRAFU]]/1.021</f>
        <v>-6539714.2957956046</v>
      </c>
      <c r="IK106" s="9"/>
      <c r="IL106" s="9"/>
      <c r="IM106" s="9"/>
      <c r="IN106" s="9"/>
      <c r="IO106" s="9"/>
      <c r="IP106" s="9"/>
      <c r="IQ106" s="9"/>
      <c r="IR106" s="9"/>
      <c r="IS106" s="9"/>
      <c r="IT106" s="9"/>
      <c r="IU106" s="9"/>
      <c r="IV106" s="9"/>
    </row>
    <row r="107" spans="1:256" ht="15" customHeight="1">
      <c r="A107" s="43" t="s">
        <v>877</v>
      </c>
      <c r="B107" s="22" t="s">
        <v>21</v>
      </c>
      <c r="C107" s="22" t="s">
        <v>86</v>
      </c>
      <c r="D107" s="22">
        <v>2020</v>
      </c>
      <c r="E107" s="2" t="s">
        <v>850</v>
      </c>
      <c r="F107" s="22" t="s">
        <v>686</v>
      </c>
      <c r="G107" s="22" t="s">
        <v>860</v>
      </c>
      <c r="H107" s="22" t="s">
        <v>859</v>
      </c>
      <c r="I107" s="22"/>
      <c r="J107" s="24" t="s">
        <v>827</v>
      </c>
      <c r="K107" s="134"/>
      <c r="L107" s="81"/>
      <c r="M107" s="82"/>
      <c r="N107" s="83"/>
      <c r="O107" s="103">
        <f>18101+4560</f>
        <v>22661</v>
      </c>
      <c r="P107" s="103"/>
      <c r="Q107" s="103"/>
      <c r="R107" s="103">
        <f>P107/AD107</f>
        <v>0</v>
      </c>
      <c r="S107" s="103">
        <f t="shared" si="346"/>
        <v>0</v>
      </c>
      <c r="T107" s="109">
        <f t="shared" si="347"/>
        <v>0</v>
      </c>
      <c r="U107" s="109">
        <f t="shared" si="348"/>
        <v>0</v>
      </c>
      <c r="V107" s="109">
        <f t="shared" si="349"/>
        <v>0</v>
      </c>
      <c r="W107" s="103">
        <f t="shared" si="350"/>
        <v>1743.1538461538462</v>
      </c>
      <c r="X107" s="104"/>
      <c r="Y107" s="447">
        <f t="shared" si="351"/>
        <v>5.7367282997219897</v>
      </c>
      <c r="Z107" s="104" t="s">
        <v>828</v>
      </c>
      <c r="AA107" s="104"/>
      <c r="AB107" s="105">
        <v>0.1</v>
      </c>
      <c r="AC107" s="22" t="s">
        <v>9</v>
      </c>
      <c r="AD107" s="426">
        <f t="shared" si="352"/>
        <v>13</v>
      </c>
      <c r="AE107" s="426">
        <f t="shared" si="353"/>
        <v>13</v>
      </c>
      <c r="AF107" s="22">
        <v>13</v>
      </c>
      <c r="AG107" s="32"/>
      <c r="AH107" s="32"/>
      <c r="AI107" s="362"/>
      <c r="AJ107" s="614">
        <v>950.14</v>
      </c>
      <c r="AK107" s="222">
        <v>1143.23</v>
      </c>
      <c r="AL107" s="492">
        <f t="shared" si="354"/>
        <v>73.087692307692308</v>
      </c>
      <c r="AM107" s="26">
        <f t="shared" si="355"/>
        <v>87.940769230769234</v>
      </c>
      <c r="AN107" s="26"/>
      <c r="AO107" s="26"/>
      <c r="AP107" s="26"/>
      <c r="AQ107" s="39"/>
      <c r="AR107" s="39"/>
      <c r="AS107" s="39"/>
      <c r="AT107" s="39"/>
      <c r="AU107" s="39"/>
      <c r="AV107" s="26"/>
      <c r="AW107" s="37"/>
      <c r="AX107" s="39"/>
      <c r="AY107" s="26"/>
      <c r="AZ107" s="22"/>
      <c r="BA107" s="22"/>
      <c r="BB107" s="118">
        <v>2218577</v>
      </c>
      <c r="BC107" s="437">
        <f>BB107/AJ107</f>
        <v>2335.0001052476478</v>
      </c>
      <c r="BD107" s="332">
        <f>BB107/AK107</f>
        <v>1940.6217471549905</v>
      </c>
      <c r="BE107" s="334">
        <f>BB107/AD107</f>
        <v>170659.76923076922</v>
      </c>
      <c r="BF107" s="123">
        <v>43707</v>
      </c>
      <c r="BG107" s="123"/>
      <c r="BH107" s="56">
        <v>43816</v>
      </c>
      <c r="BI107" s="89"/>
      <c r="BJ107" s="548"/>
      <c r="BK107" s="548"/>
      <c r="BL107" s="549"/>
      <c r="BM107" s="547">
        <f t="shared" si="356"/>
        <v>0</v>
      </c>
      <c r="BN107" s="490" t="s">
        <v>229</v>
      </c>
      <c r="BO107" s="77"/>
      <c r="BP107" s="100"/>
      <c r="BQ107" s="536">
        <f t="shared" si="247"/>
        <v>0</v>
      </c>
      <c r="BR107" s="529"/>
      <c r="BS107" s="77"/>
      <c r="BT107" s="77"/>
      <c r="BU107" s="151"/>
      <c r="BV107" s="150">
        <f t="shared" si="357"/>
        <v>1096</v>
      </c>
      <c r="BW107" s="373"/>
      <c r="BX107" s="150" t="str">
        <f>IF(Tableau6[[#This Row],[Montant des loyers perçus avant 1e échéance]]&lt;BW107,"oui","non")</f>
        <v>non</v>
      </c>
      <c r="BY107" s="475">
        <f t="shared" si="358"/>
        <v>-1471.8</v>
      </c>
      <c r="BZ107" s="373">
        <f t="shared" si="359"/>
        <v>0</v>
      </c>
      <c r="CA107" s="373">
        <f>IF(BW107-BZ107&lt;0,0,Tableau6[[#This Row],[Montant échéance annuelle]]-Tableau6[[#This Row],[Montant des loyers perçus avant 1e échéance]])</f>
        <v>0</v>
      </c>
      <c r="CB107" s="159"/>
      <c r="CC107" s="64"/>
      <c r="CD107" s="64"/>
      <c r="CE107" s="273"/>
      <c r="CF107" s="64"/>
      <c r="CG107" s="64"/>
      <c r="CH107" s="273"/>
      <c r="CI107" s="288"/>
      <c r="CJ107" s="288"/>
      <c r="CK107" s="290"/>
      <c r="CL107" s="288"/>
      <c r="CM107" s="288"/>
      <c r="CN107" s="290"/>
      <c r="CO107" s="288"/>
      <c r="CP107" s="288"/>
      <c r="CQ107" s="290" t="str">
        <f t="shared" si="360"/>
        <v>0</v>
      </c>
      <c r="CR107" s="237"/>
      <c r="CS107" s="286"/>
      <c r="CT107" s="277"/>
      <c r="CU107" s="282"/>
      <c r="CV107" s="279" t="str">
        <f t="shared" si="338"/>
        <v>0</v>
      </c>
      <c r="CW107" s="277"/>
      <c r="CX107" s="382">
        <v>44397</v>
      </c>
      <c r="CY107" s="178"/>
      <c r="CZ107" s="231">
        <f t="shared" si="327"/>
        <v>1479.9</v>
      </c>
      <c r="DA107" s="279" t="str">
        <f t="shared" si="361"/>
        <v>0</v>
      </c>
      <c r="DB107" s="383">
        <v>24</v>
      </c>
      <c r="DC107" s="127">
        <f t="shared" si="362"/>
        <v>27</v>
      </c>
      <c r="DD107" s="277"/>
      <c r="DE107" s="282">
        <f t="shared" ca="1" si="322"/>
        <v>43998</v>
      </c>
      <c r="DF107" s="279" t="str">
        <f t="shared" ca="1" si="363"/>
        <v>0</v>
      </c>
      <c r="DG107" s="277"/>
      <c r="DH107" s="295">
        <f t="shared" ca="1" si="326"/>
        <v>43998</v>
      </c>
      <c r="DI107" s="280" t="str">
        <f t="shared" ca="1" si="364"/>
        <v>0</v>
      </c>
      <c r="DJ107" s="281"/>
      <c r="DK107" s="295">
        <f t="shared" ca="1" si="320"/>
        <v>43998</v>
      </c>
      <c r="DL107" s="279" t="str">
        <f t="shared" ca="1" si="335"/>
        <v>0</v>
      </c>
      <c r="DM107" s="282">
        <v>43532</v>
      </c>
      <c r="DN107" s="282">
        <f t="shared" ca="1" si="323"/>
        <v>43998</v>
      </c>
      <c r="DO107" s="279">
        <f t="shared" ca="1" si="365"/>
        <v>466</v>
      </c>
      <c r="DP107" s="283"/>
      <c r="DQ107" s="283"/>
      <c r="DR107" s="279" t="str">
        <f t="shared" si="366"/>
        <v>0</v>
      </c>
      <c r="DS107" s="282"/>
      <c r="DT107" s="282">
        <f t="shared" ca="1" si="318"/>
        <v>43998</v>
      </c>
      <c r="DU107" s="279" t="str">
        <f t="shared" ca="1" si="367"/>
        <v>0</v>
      </c>
      <c r="DV107" s="282">
        <v>43609</v>
      </c>
      <c r="DW107" s="282">
        <f t="shared" ca="1" si="324"/>
        <v>43998</v>
      </c>
      <c r="DX107" s="279">
        <f t="shared" ca="1" si="368"/>
        <v>389</v>
      </c>
      <c r="DY107" s="283"/>
      <c r="DZ107" s="283"/>
      <c r="EA107" s="283"/>
      <c r="EB107" s="410">
        <f t="shared" si="369"/>
        <v>45127</v>
      </c>
      <c r="EC107" s="409">
        <f>DATE(YEAR(EB107),MONTH(EB107)+3,DAY(EB107))</f>
        <v>45219</v>
      </c>
      <c r="ED107" s="406">
        <f t="shared" si="370"/>
        <v>3.0666666666666669</v>
      </c>
      <c r="EE107" s="505">
        <f t="shared" ca="1" si="343"/>
        <v>40.700000000000003</v>
      </c>
      <c r="EF107" s="409">
        <f t="shared" ca="1" si="304"/>
        <v>44728</v>
      </c>
      <c r="EG107" s="457"/>
      <c r="EH107" s="448"/>
      <c r="EI107" s="458">
        <f t="shared" ref="EI107:EI138" si="380">DATE(YEAR(EC107),MONTH(EC107)+4,DAY(EC107)+2)</f>
        <v>45344</v>
      </c>
      <c r="EJ107" s="242"/>
      <c r="EK107" s="456">
        <f t="shared" si="319"/>
        <v>45158</v>
      </c>
      <c r="EL107" s="409">
        <f t="shared" si="337"/>
        <v>45250</v>
      </c>
      <c r="EM107" s="314"/>
      <c r="EN107" s="404">
        <f>(EL107-EK107)/30</f>
        <v>3.0666666666666669</v>
      </c>
      <c r="EO107" s="394"/>
      <c r="EP107" s="131">
        <f t="shared" si="371"/>
        <v>0</v>
      </c>
      <c r="EQ107" s="60"/>
      <c r="ER107" s="60"/>
      <c r="ES107" s="742">
        <f>(Tableau6[[#This Row],[Date inauguration recalée]]-ER107)/30</f>
        <v>1508.3333333333333</v>
      </c>
      <c r="ET107" s="300"/>
      <c r="EU107" s="300"/>
      <c r="EV107" s="300"/>
      <c r="EW107" s="300"/>
      <c r="EX107" s="300"/>
      <c r="EY107" s="416">
        <f t="shared" si="344"/>
        <v>0</v>
      </c>
      <c r="EZ107" s="297"/>
      <c r="FA107" s="308"/>
      <c r="FB107" s="297"/>
      <c r="FC107" s="297" t="s">
        <v>799</v>
      </c>
      <c r="FD107" s="89">
        <f t="shared" ca="1" si="325"/>
        <v>44728</v>
      </c>
      <c r="FE107" s="63"/>
      <c r="FF107" s="63"/>
      <c r="FG107" s="63"/>
      <c r="FH107" s="63"/>
      <c r="FI107" s="63"/>
      <c r="FJ107" s="22"/>
      <c r="FK107" s="146">
        <f t="shared" ref="FK107:FK138" si="381">DATE(YEAR(EC107)+1,MONTH(EC107),DAY(EC107))</f>
        <v>45585</v>
      </c>
      <c r="FL107" s="146"/>
      <c r="FM107" s="146"/>
      <c r="FN107" s="22"/>
      <c r="FO107" s="22"/>
      <c r="FP107" s="22"/>
      <c r="FQ107" s="22"/>
      <c r="FR107" s="22"/>
      <c r="FS107" s="22"/>
      <c r="FT107" s="22"/>
      <c r="FU107" s="22"/>
      <c r="FV107" s="22"/>
      <c r="FW107" s="22"/>
      <c r="FX107" s="22"/>
      <c r="FY107" s="22"/>
      <c r="FZ107" s="22"/>
      <c r="GA107" s="451"/>
      <c r="GB107" s="471">
        <f>GD107+GG107+GJ107+HF107+Tableau6[[#This Row],[PRÊT CREDIT D''IMPOT (PM)]]</f>
        <v>2321486.6867354</v>
      </c>
      <c r="GC107" s="645">
        <f t="shared" si="372"/>
        <v>2321486.6867354</v>
      </c>
      <c r="GD107" s="507">
        <f t="shared" si="379"/>
        <v>260000</v>
      </c>
      <c r="GE107" s="20">
        <f t="shared" si="373"/>
        <v>2030.6383551301137</v>
      </c>
      <c r="GF107" s="20">
        <f t="shared" si="345"/>
        <v>178575.89897964615</v>
      </c>
      <c r="GG107" s="503">
        <v>734279.68673540023</v>
      </c>
      <c r="GH107" s="351"/>
      <c r="GI107" s="20">
        <f t="shared" si="336"/>
        <v>56483.052825800019</v>
      </c>
      <c r="GJ107" s="503">
        <f t="shared" si="374"/>
        <v>1327207</v>
      </c>
      <c r="GK107" s="5">
        <f t="shared" si="375"/>
        <v>1327207</v>
      </c>
      <c r="GL107" s="44">
        <v>224357</v>
      </c>
      <c r="GM107" s="44">
        <v>1102850</v>
      </c>
      <c r="GN107" s="345">
        <f t="shared" si="376"/>
        <v>102092.84615384616</v>
      </c>
      <c r="GO107" s="35"/>
      <c r="GP107" s="35">
        <v>260000</v>
      </c>
      <c r="GQ107" s="35"/>
      <c r="GR107" s="18">
        <f t="shared" si="377"/>
        <v>0.1119971962301563</v>
      </c>
      <c r="GS107" s="35"/>
      <c r="GT107" s="35"/>
      <c r="GU107" s="35"/>
      <c r="GV107" s="20">
        <f t="shared" si="331"/>
        <v>20000</v>
      </c>
      <c r="GW107" s="20">
        <f t="shared" si="332"/>
        <v>76483.052825800012</v>
      </c>
      <c r="GX107" s="569"/>
      <c r="GY107" s="569"/>
      <c r="GZ107" s="567">
        <f>(GG107+GP107+GY107)/AD107</f>
        <v>76483.052825800012</v>
      </c>
      <c r="HA107" s="569"/>
      <c r="HB107" s="569">
        <f t="shared" si="333"/>
        <v>76483.052825800012</v>
      </c>
      <c r="HC107" s="568">
        <f>(GG107+GP107+GY107+HA107)/(GX107+GB107-HD107)</f>
        <v>0.42829437378062679</v>
      </c>
      <c r="HD107" s="569"/>
      <c r="HE107" s="569"/>
      <c r="HF107" s="503"/>
      <c r="HG107" s="633"/>
      <c r="HH107" s="634">
        <f t="shared" si="378"/>
        <v>0</v>
      </c>
      <c r="HI107" s="633">
        <f t="shared" si="334"/>
        <v>2321486.6867354</v>
      </c>
      <c r="HJ107" s="633" t="e">
        <f ca="1">IF(EE107&lt;DATEDIF(TODAY(),$HJ$1,"M"),HI107,(HI107/EE107*DATEDIF(TODAY(),$HJ$1,"M")))*0+100000</f>
        <v>#VALUE!</v>
      </c>
      <c r="HK107" s="634" t="e">
        <f ca="1">(HG107+HJ107)/GB107</f>
        <v>#VALUE!</v>
      </c>
      <c r="HL107" s="633"/>
      <c r="HM107" s="633">
        <f t="shared" si="329"/>
        <v>260000</v>
      </c>
      <c r="HN107" s="633">
        <f t="shared" si="330"/>
        <v>0</v>
      </c>
      <c r="HO107" s="633"/>
      <c r="HP107" s="563"/>
      <c r="HQ107" s="47"/>
      <c r="HR107" s="563"/>
      <c r="HS107" s="563">
        <f>SUM(Tableau6[[#This Row],[GO]:[CARRELAGE]])</f>
        <v>0</v>
      </c>
      <c r="HT107" s="461"/>
      <c r="HU107" s="461"/>
      <c r="HV107" s="461"/>
      <c r="HW107" s="461"/>
      <c r="HX107" s="461"/>
      <c r="HY107" s="461"/>
      <c r="HZ107" s="461"/>
      <c r="IA107" s="461"/>
      <c r="IB107" s="461"/>
      <c r="IC107" s="461"/>
      <c r="ID107" s="461"/>
      <c r="IE107" s="461"/>
      <c r="IF107" s="461"/>
      <c r="IG107" s="563"/>
      <c r="IH107" s="563"/>
      <c r="II107" s="563">
        <f>HP107+HR107+Tableau6[[#This Row],[TRAVAUX BATIS]]+Tableau6[[#This Row],[HONORAIRES]]+IH107</f>
        <v>0</v>
      </c>
      <c r="IJ107" s="654">
        <f>Tableau6[[#This Row],[TOTAL PRP HT]]-Tableau6[[#This Row],[PRP TTC HORS FRAFU]]/1.021</f>
        <v>-2273738.1848534774</v>
      </c>
      <c r="IK107" s="9"/>
      <c r="IL107" s="9"/>
      <c r="IM107" s="9"/>
      <c r="IN107" s="9"/>
      <c r="IO107" s="9"/>
      <c r="IP107" s="9"/>
      <c r="IQ107" s="9"/>
      <c r="IR107" s="9"/>
      <c r="IS107" s="9"/>
      <c r="IT107" s="9"/>
      <c r="IU107" s="9"/>
      <c r="IV107" s="9"/>
    </row>
    <row r="108" spans="1:256" ht="15" customHeight="1">
      <c r="A108" s="43" t="s">
        <v>449</v>
      </c>
      <c r="B108" s="22" t="s">
        <v>25</v>
      </c>
      <c r="C108" s="22" t="s">
        <v>88</v>
      </c>
      <c r="D108" s="22">
        <v>2018</v>
      </c>
      <c r="E108" s="22" t="s">
        <v>406</v>
      </c>
      <c r="F108" s="22" t="s">
        <v>113</v>
      </c>
      <c r="G108" s="22"/>
      <c r="H108" s="25" t="s">
        <v>691</v>
      </c>
      <c r="I108" s="22" t="s">
        <v>691</v>
      </c>
      <c r="J108" s="22"/>
      <c r="K108" s="134" t="s">
        <v>451</v>
      </c>
      <c r="L108" s="81"/>
      <c r="M108" s="82"/>
      <c r="N108" s="83"/>
      <c r="O108" s="103">
        <v>2641</v>
      </c>
      <c r="P108" s="103">
        <v>313500</v>
      </c>
      <c r="Q108" s="103">
        <v>313500</v>
      </c>
      <c r="R108" s="103" t="e">
        <f>P108/AI108</f>
        <v>#DIV/0!</v>
      </c>
      <c r="S108" s="103">
        <f t="shared" si="346"/>
        <v>118.70503597122303</v>
      </c>
      <c r="T108" s="109">
        <f t="shared" si="347"/>
        <v>118.70503597122303</v>
      </c>
      <c r="U108" s="109">
        <f t="shared" si="348"/>
        <v>120.78178757045603</v>
      </c>
      <c r="V108" s="109">
        <f t="shared" si="349"/>
        <v>9500</v>
      </c>
      <c r="W108" s="103">
        <f t="shared" si="350"/>
        <v>80.030303030303031</v>
      </c>
      <c r="X108" s="104"/>
      <c r="Y108" s="444">
        <f t="shared" si="351"/>
        <v>124.95266944339265</v>
      </c>
      <c r="Z108" s="104" t="s">
        <v>148</v>
      </c>
      <c r="AA108" s="104"/>
      <c r="AB108" s="105"/>
      <c r="AC108" s="22" t="s">
        <v>9</v>
      </c>
      <c r="AD108" s="426">
        <f t="shared" si="352"/>
        <v>33</v>
      </c>
      <c r="AE108" s="426">
        <f t="shared" si="353"/>
        <v>33</v>
      </c>
      <c r="AF108" s="22">
        <v>33</v>
      </c>
      <c r="AG108" s="32"/>
      <c r="AH108" s="32"/>
      <c r="AI108" s="32"/>
      <c r="AJ108" s="614">
        <v>2317.79</v>
      </c>
      <c r="AK108" s="222">
        <v>2595.59</v>
      </c>
      <c r="AL108" s="492">
        <f t="shared" si="354"/>
        <v>70.236060606060605</v>
      </c>
      <c r="AM108" s="26">
        <f t="shared" si="355"/>
        <v>78.654242424242426</v>
      </c>
      <c r="AN108" s="26">
        <v>7.45</v>
      </c>
      <c r="AO108" s="26">
        <v>6.66</v>
      </c>
      <c r="AP108" s="26">
        <v>523.54</v>
      </c>
      <c r="AQ108" s="39">
        <f>7/AD108</f>
        <v>0.21212121212121213</v>
      </c>
      <c r="AR108" s="39">
        <f>3/AD108</f>
        <v>9.0909090909090912E-2</v>
      </c>
      <c r="AS108" s="39">
        <f>12/AD108</f>
        <v>0.36363636363636365</v>
      </c>
      <c r="AT108" s="39">
        <f>10/AD108</f>
        <v>0.30303030303030304</v>
      </c>
      <c r="AU108" s="39">
        <f>1/AD108</f>
        <v>3.0303030303030304E-2</v>
      </c>
      <c r="AV108" s="26"/>
      <c r="AW108" s="37"/>
      <c r="AX108" s="39"/>
      <c r="AY108" s="26"/>
      <c r="AZ108" s="22" t="s">
        <v>386</v>
      </c>
      <c r="BA108" s="22" t="s">
        <v>94</v>
      </c>
      <c r="BB108" s="22"/>
      <c r="BC108" s="22"/>
      <c r="BD108" s="22"/>
      <c r="BE108" s="22"/>
      <c r="BF108" s="123"/>
      <c r="BG108" s="123"/>
      <c r="BH108" s="56">
        <v>43308</v>
      </c>
      <c r="BI108" s="325" t="s">
        <v>776</v>
      </c>
      <c r="BJ108" s="548">
        <v>43189</v>
      </c>
      <c r="BK108" s="548">
        <v>43334</v>
      </c>
      <c r="BL108" s="549"/>
      <c r="BM108" s="547">
        <f t="shared" si="356"/>
        <v>4.833333333333333</v>
      </c>
      <c r="BN108" s="490" t="s">
        <v>229</v>
      </c>
      <c r="BO108" s="77"/>
      <c r="BP108" s="100"/>
      <c r="BQ108" s="536"/>
      <c r="BR108" s="529"/>
      <c r="BS108" s="77">
        <f>DATE(YEAR(BP108),MONTH(BP108)+3,DAY(BP108))</f>
        <v>91</v>
      </c>
      <c r="BT108" s="77"/>
      <c r="BU108" s="151"/>
      <c r="BV108" s="150">
        <f t="shared" si="357"/>
        <v>1096</v>
      </c>
      <c r="BW108" s="373"/>
      <c r="BX108" s="150" t="str">
        <f>IF(Tableau6[[#This Row],[Montant des loyers perçus avant 1e échéance]]&lt;BW108,"oui","non")</f>
        <v>non</v>
      </c>
      <c r="BY108" s="475">
        <f t="shared" si="358"/>
        <v>-1477.9333333333334</v>
      </c>
      <c r="BZ108" s="373" t="str">
        <f t="shared" si="359"/>
        <v>0</v>
      </c>
      <c r="CA108" s="373">
        <f>IF(BW108-BZ108&lt;0,0,Tableau6[[#This Row],[Montant échéance annuelle]]-Tableau6[[#This Row],[Montant des loyers perçus avant 1e échéance]])</f>
        <v>0</v>
      </c>
      <c r="CB108" s="159"/>
      <c r="CC108" s="64"/>
      <c r="CD108" s="64"/>
      <c r="CE108" s="273" t="str">
        <f>IF(AND(CC108&gt;0,CD108&gt;0),CD108-CC108,"0")</f>
        <v>0</v>
      </c>
      <c r="CF108" s="64"/>
      <c r="CG108" s="64"/>
      <c r="CH108" s="273" t="str">
        <f>IF(AND(CF108&gt;0,CG108&gt;0),CG108-CF108,"0")</f>
        <v>0</v>
      </c>
      <c r="CI108" s="288"/>
      <c r="CJ108" s="288"/>
      <c r="CK108" s="290" t="str">
        <f>IF(AND(CI108&gt;0,CJ108&gt;0),CJ108-CI108,"0")</f>
        <v>0</v>
      </c>
      <c r="CL108" s="288"/>
      <c r="CM108" s="288"/>
      <c r="CN108" s="290" t="str">
        <f>IF(AND(CL108&gt;0,CM108&gt;0),CM108-CL108,"0")</f>
        <v>0</v>
      </c>
      <c r="CO108" s="288"/>
      <c r="CP108" s="288"/>
      <c r="CQ108" s="290" t="str">
        <f t="shared" si="360"/>
        <v>0</v>
      </c>
      <c r="CR108" s="237"/>
      <c r="CS108" s="292"/>
      <c r="CT108" s="277"/>
      <c r="CU108" s="282"/>
      <c r="CV108" s="279" t="str">
        <f t="shared" si="338"/>
        <v>0</v>
      </c>
      <c r="CW108" s="277"/>
      <c r="CX108" s="382">
        <v>44701</v>
      </c>
      <c r="CY108" s="178"/>
      <c r="CZ108" s="231"/>
      <c r="DA108" s="279" t="str">
        <f t="shared" si="361"/>
        <v>0</v>
      </c>
      <c r="DB108" s="383">
        <v>16</v>
      </c>
      <c r="DC108" s="127">
        <f t="shared" si="362"/>
        <v>19</v>
      </c>
      <c r="DD108" s="277"/>
      <c r="DE108" s="282">
        <f t="shared" ca="1" si="322"/>
        <v>43998</v>
      </c>
      <c r="DF108" s="279" t="str">
        <f t="shared" ca="1" si="363"/>
        <v>0</v>
      </c>
      <c r="DG108" s="277"/>
      <c r="DH108" s="295">
        <f t="shared" ca="1" si="326"/>
        <v>43998</v>
      </c>
      <c r="DI108" s="280" t="str">
        <f t="shared" ca="1" si="364"/>
        <v>0</v>
      </c>
      <c r="DJ108" s="281"/>
      <c r="DK108" s="295">
        <f t="shared" ca="1" si="320"/>
        <v>43998</v>
      </c>
      <c r="DL108" s="279" t="str">
        <f t="shared" ca="1" si="335"/>
        <v>0</v>
      </c>
      <c r="DM108" s="282">
        <v>43516</v>
      </c>
      <c r="DN108" s="282">
        <f t="shared" ca="1" si="323"/>
        <v>43998</v>
      </c>
      <c r="DO108" s="279">
        <f t="shared" ca="1" si="365"/>
        <v>482</v>
      </c>
      <c r="DP108" s="283"/>
      <c r="DQ108" s="283"/>
      <c r="DR108" s="279" t="str">
        <f t="shared" si="366"/>
        <v>0</v>
      </c>
      <c r="DS108" s="282"/>
      <c r="DT108" s="282">
        <f t="shared" ca="1" si="318"/>
        <v>43998</v>
      </c>
      <c r="DU108" s="279" t="str">
        <f t="shared" ca="1" si="367"/>
        <v>0</v>
      </c>
      <c r="DV108" s="282">
        <v>43593</v>
      </c>
      <c r="DW108" s="282">
        <f t="shared" ca="1" si="324"/>
        <v>43998</v>
      </c>
      <c r="DX108" s="279">
        <f t="shared" ca="1" si="368"/>
        <v>405</v>
      </c>
      <c r="DY108" s="282"/>
      <c r="DZ108" s="282"/>
      <c r="EA108" s="282"/>
      <c r="EB108" s="410">
        <f t="shared" si="369"/>
        <v>45189</v>
      </c>
      <c r="EC108" s="409">
        <f>DATE(YEAR(EB108),MONTH(EB108)+3,DAY(EB108))</f>
        <v>45280</v>
      </c>
      <c r="ED108" s="406">
        <f t="shared" si="370"/>
        <v>3.0333333333333332</v>
      </c>
      <c r="EE108" s="505">
        <f t="shared" ca="1" si="343"/>
        <v>42.733333333333334</v>
      </c>
      <c r="EF108" s="409">
        <f t="shared" ca="1" si="304"/>
        <v>44728</v>
      </c>
      <c r="EG108" s="457"/>
      <c r="EH108" s="448"/>
      <c r="EI108" s="458">
        <f t="shared" si="380"/>
        <v>45404</v>
      </c>
      <c r="EJ108" s="242"/>
      <c r="EK108" s="456">
        <f t="shared" si="319"/>
        <v>45219</v>
      </c>
      <c r="EL108" s="409">
        <f>DATE(YEAR(EI108),MONTH(EI108)+1,DAY(EI108))</f>
        <v>45434</v>
      </c>
      <c r="EM108" s="314"/>
      <c r="EN108" s="404">
        <f>(DATEDIF(EK108,EL108,"d"))/30</f>
        <v>7.166666666666667</v>
      </c>
      <c r="EO108" s="394">
        <v>17287</v>
      </c>
      <c r="EP108" s="131">
        <f t="shared" si="371"/>
        <v>123890.16666666667</v>
      </c>
      <c r="EQ108" s="60"/>
      <c r="ER108" s="60"/>
      <c r="ES108" s="742"/>
      <c r="ET108" s="300">
        <v>0</v>
      </c>
      <c r="EU108" s="300">
        <v>0</v>
      </c>
      <c r="EV108" s="300"/>
      <c r="EW108" s="300"/>
      <c r="EX108" s="300"/>
      <c r="EY108" s="416">
        <f t="shared" si="344"/>
        <v>0</v>
      </c>
      <c r="EZ108" s="297"/>
      <c r="FA108" s="308"/>
      <c r="FB108" s="297" t="s">
        <v>505</v>
      </c>
      <c r="FC108" s="297" t="s">
        <v>789</v>
      </c>
      <c r="FD108" s="89">
        <f t="shared" ca="1" si="325"/>
        <v>44728</v>
      </c>
      <c r="FE108" s="63"/>
      <c r="FF108" s="63"/>
      <c r="FG108" s="63"/>
      <c r="FH108" s="63"/>
      <c r="FI108" s="63"/>
      <c r="FJ108" s="22"/>
      <c r="FK108" s="146">
        <f t="shared" si="381"/>
        <v>45646</v>
      </c>
      <c r="FL108" s="146"/>
      <c r="FM108" s="146"/>
      <c r="FN108" s="22"/>
      <c r="FO108" s="22"/>
      <c r="FP108" s="22"/>
      <c r="FQ108" s="22"/>
      <c r="FR108" s="22"/>
      <c r="FS108" s="22"/>
      <c r="FT108" s="22"/>
      <c r="FU108" s="22"/>
      <c r="FV108" s="22"/>
      <c r="FW108" s="22"/>
      <c r="FX108" s="22"/>
      <c r="FY108" s="22"/>
      <c r="FZ108" s="22"/>
      <c r="GA108" s="451"/>
      <c r="GB108" s="471">
        <f>GD108+GG108+GJ108+HF108+Tableau6[[#This Row],[PRÊT CREDIT D''IMPOT (PM)]]</f>
        <v>5567908</v>
      </c>
      <c r="GC108" s="645">
        <f t="shared" si="372"/>
        <v>5567908</v>
      </c>
      <c r="GD108" s="507">
        <f t="shared" si="379"/>
        <v>647210</v>
      </c>
      <c r="GE108" s="20">
        <f t="shared" si="373"/>
        <v>2145.1415670425604</v>
      </c>
      <c r="GF108" s="20">
        <f t="shared" si="345"/>
        <v>168724.48484848486</v>
      </c>
      <c r="GG108" s="503">
        <v>1771481</v>
      </c>
      <c r="GH108" s="351"/>
      <c r="GI108" s="20">
        <f t="shared" si="336"/>
        <v>53681.242424242424</v>
      </c>
      <c r="GJ108" s="503">
        <f t="shared" si="374"/>
        <v>3149217</v>
      </c>
      <c r="GK108" s="5">
        <f t="shared" si="375"/>
        <v>3149217</v>
      </c>
      <c r="GL108" s="44">
        <v>424625</v>
      </c>
      <c r="GM108" s="44">
        <v>2724592</v>
      </c>
      <c r="GN108" s="345">
        <f t="shared" si="376"/>
        <v>95430.818181818177</v>
      </c>
      <c r="GO108" s="35"/>
      <c r="GP108" s="5">
        <v>643500</v>
      </c>
      <c r="GQ108" s="35"/>
      <c r="GR108" s="18">
        <f t="shared" si="377"/>
        <v>0.11557303030150642</v>
      </c>
      <c r="GS108" s="35"/>
      <c r="GT108" s="35"/>
      <c r="GU108" s="35">
        <v>3710</v>
      </c>
      <c r="GV108" s="20">
        <f t="shared" si="331"/>
        <v>19500</v>
      </c>
      <c r="GW108" s="20">
        <f t="shared" si="332"/>
        <v>73181.242424242431</v>
      </c>
      <c r="GX108" s="569"/>
      <c r="GY108" s="569"/>
      <c r="GZ108" s="567" t="e">
        <f>(#REF!+#REF!+GY108)/AD108</f>
        <v>#REF!</v>
      </c>
      <c r="HA108" s="569"/>
      <c r="HB108" s="569">
        <f t="shared" si="333"/>
        <v>73181.242424242431</v>
      </c>
      <c r="HC108" s="568" t="e">
        <f>(#REF!+#REF!+GY108+HA108)/(GX108+#REF!-HD108)</f>
        <v>#REF!</v>
      </c>
      <c r="HD108" s="569"/>
      <c r="HE108" s="569"/>
      <c r="HF108" s="503">
        <f>EU108</f>
        <v>0</v>
      </c>
      <c r="HG108" s="633"/>
      <c r="HH108" s="634">
        <f t="shared" si="378"/>
        <v>0</v>
      </c>
      <c r="HI108" s="633">
        <f t="shared" si="334"/>
        <v>5567908</v>
      </c>
      <c r="HJ108" s="633" t="e">
        <f ca="1">IF(EE108&lt;DATEDIF(TODAY(),$HJ$1,"M"),HI108,(HI108/EE108*DATEDIF(TODAY(),$HJ$1,"M")))</f>
        <v>#VALUE!</v>
      </c>
      <c r="HK108" s="633"/>
      <c r="HL108" s="633">
        <f>'[1]GLOBAL OPERATION'!$AG$2</f>
        <v>0</v>
      </c>
      <c r="HM108" s="633">
        <f t="shared" si="329"/>
        <v>647210</v>
      </c>
      <c r="HN108" s="633">
        <f t="shared" si="330"/>
        <v>0</v>
      </c>
      <c r="HO108" s="633"/>
      <c r="HP108" s="563"/>
      <c r="HQ108" s="47"/>
      <c r="HR108" s="563"/>
      <c r="HS108" s="563">
        <f>SUM(Tableau6[[#This Row],[GO]:[CARRELAGE]])</f>
        <v>0</v>
      </c>
      <c r="HT108" s="461"/>
      <c r="HU108" s="461"/>
      <c r="HV108" s="461"/>
      <c r="HW108" s="461"/>
      <c r="HX108" s="461"/>
      <c r="HY108" s="461"/>
      <c r="HZ108" s="461"/>
      <c r="IA108" s="461"/>
      <c r="IB108" s="461"/>
      <c r="IC108" s="461"/>
      <c r="ID108" s="461"/>
      <c r="IE108" s="461"/>
      <c r="IF108" s="461"/>
      <c r="IG108" s="563"/>
      <c r="IH108" s="563"/>
      <c r="II108" s="563">
        <f>HP108+HR108+Tableau6[[#This Row],[TRAVAUX BATIS]]+Tableau6[[#This Row],[HONORAIRES]]+IH108</f>
        <v>0</v>
      </c>
      <c r="IJ108" s="654">
        <f>Tableau6[[#This Row],[TOTAL PRP HT]]-Tableau6[[#This Row],[PRP TTC HORS FRAFU]]/1.021</f>
        <v>-5453386.8756121453</v>
      </c>
      <c r="IK108" s="9"/>
      <c r="IL108" s="9"/>
      <c r="IM108" s="9"/>
      <c r="IN108" s="9"/>
      <c r="IO108" s="9"/>
      <c r="IP108" s="9"/>
      <c r="IQ108" s="9"/>
      <c r="IR108" s="9"/>
      <c r="IS108" s="9"/>
      <c r="IT108" s="9"/>
      <c r="IU108" s="9"/>
      <c r="IV108" s="9"/>
    </row>
    <row r="109" spans="1:256" ht="32.25" customHeight="1">
      <c r="A109" s="43" t="s">
        <v>881</v>
      </c>
      <c r="B109" s="22" t="s">
        <v>21</v>
      </c>
      <c r="C109" s="22" t="s">
        <v>86</v>
      </c>
      <c r="D109" s="22">
        <v>2020</v>
      </c>
      <c r="E109" s="22" t="s">
        <v>850</v>
      </c>
      <c r="F109" s="57"/>
      <c r="G109" s="57"/>
      <c r="H109" s="57"/>
      <c r="I109" s="22"/>
      <c r="J109" s="57"/>
      <c r="K109" s="134"/>
      <c r="L109" s="81"/>
      <c r="M109" s="82"/>
      <c r="N109" s="83"/>
      <c r="O109" s="103"/>
      <c r="P109" s="103"/>
      <c r="Q109" s="103"/>
      <c r="R109" s="103">
        <f>P109/AD109</f>
        <v>0</v>
      </c>
      <c r="S109" s="103" t="e">
        <f t="shared" si="346"/>
        <v>#DIV/0!</v>
      </c>
      <c r="T109" s="109" t="e">
        <f t="shared" si="347"/>
        <v>#DIV/0!</v>
      </c>
      <c r="U109" s="109">
        <f t="shared" si="348"/>
        <v>0</v>
      </c>
      <c r="V109" s="109">
        <f t="shared" si="349"/>
        <v>0</v>
      </c>
      <c r="W109" s="103">
        <f t="shared" si="350"/>
        <v>0</v>
      </c>
      <c r="X109" s="104"/>
      <c r="Y109" s="447" t="e">
        <f t="shared" si="351"/>
        <v>#DIV/0!</v>
      </c>
      <c r="Z109" s="104"/>
      <c r="AA109" s="104"/>
      <c r="AB109" s="105">
        <v>0.1</v>
      </c>
      <c r="AC109" s="22" t="s">
        <v>10</v>
      </c>
      <c r="AD109" s="426">
        <f t="shared" si="352"/>
        <v>79</v>
      </c>
      <c r="AE109" s="426">
        <f t="shared" si="353"/>
        <v>79</v>
      </c>
      <c r="AF109" s="32"/>
      <c r="AG109" s="22">
        <v>79</v>
      </c>
      <c r="AH109" s="32"/>
      <c r="AI109" s="362"/>
      <c r="AJ109" s="614">
        <v>3778.72</v>
      </c>
      <c r="AK109" s="222">
        <v>4378.38</v>
      </c>
      <c r="AL109" s="492">
        <f t="shared" si="354"/>
        <v>47.831898734177216</v>
      </c>
      <c r="AM109" s="26">
        <f t="shared" si="355"/>
        <v>55.42253164556962</v>
      </c>
      <c r="AN109" s="26"/>
      <c r="AO109" s="26"/>
      <c r="AP109" s="26"/>
      <c r="AQ109" s="39"/>
      <c r="AR109" s="39"/>
      <c r="AS109" s="39"/>
      <c r="AT109" s="39"/>
      <c r="AU109" s="39"/>
      <c r="AV109" s="26"/>
      <c r="AW109" s="37"/>
      <c r="AX109" s="39"/>
      <c r="AY109" s="26"/>
      <c r="AZ109" s="22"/>
      <c r="BA109" s="22"/>
      <c r="BB109" s="118">
        <v>8805819</v>
      </c>
      <c r="BC109" s="437">
        <f>BB109/AJ109</f>
        <v>2330.370866325105</v>
      </c>
      <c r="BD109" s="332">
        <f>BB109/AK109</f>
        <v>2011.2048291833964</v>
      </c>
      <c r="BE109" s="334">
        <f>BB109/AD109</f>
        <v>111466.06329113925</v>
      </c>
      <c r="BF109" s="123"/>
      <c r="BG109" s="123"/>
      <c r="BH109" s="56">
        <v>43816</v>
      </c>
      <c r="BI109" s="56"/>
      <c r="BJ109" s="548"/>
      <c r="BK109" s="548"/>
      <c r="BL109" s="549"/>
      <c r="BM109" s="547">
        <f t="shared" si="356"/>
        <v>0</v>
      </c>
      <c r="BN109" s="490" t="s">
        <v>229</v>
      </c>
      <c r="BO109" s="77"/>
      <c r="BP109" s="100"/>
      <c r="BQ109" s="536">
        <f>(DATEDIF(BO109,BP109,"d"))/30</f>
        <v>0</v>
      </c>
      <c r="BR109" s="529"/>
      <c r="BS109" s="77"/>
      <c r="BT109" s="77"/>
      <c r="BU109" s="151"/>
      <c r="BV109" s="150">
        <f t="shared" si="357"/>
        <v>1096</v>
      </c>
      <c r="BW109" s="373"/>
      <c r="BX109" s="150" t="str">
        <f>IF(Tableau6[[#This Row],[Montant des loyers perçus avant 1e échéance]]&lt;BW109,"oui","non")</f>
        <v>non</v>
      </c>
      <c r="BY109" s="475">
        <f t="shared" si="358"/>
        <v>-1463.6333333333334</v>
      </c>
      <c r="BZ109" s="373">
        <f t="shared" si="359"/>
        <v>0</v>
      </c>
      <c r="CA109" s="373">
        <f>IF(BW109-BZ109&lt;0,0,Tableau6[[#This Row],[Montant échéance annuelle]]-Tableau6[[#This Row],[Montant des loyers perçus avant 1e échéance]])</f>
        <v>0</v>
      </c>
      <c r="CB109" s="159"/>
      <c r="CC109" s="64"/>
      <c r="CD109" s="64"/>
      <c r="CE109" s="273"/>
      <c r="CF109" s="64"/>
      <c r="CG109" s="64"/>
      <c r="CH109" s="273"/>
      <c r="CI109" s="288"/>
      <c r="CJ109" s="288"/>
      <c r="CK109" s="290"/>
      <c r="CL109" s="288"/>
      <c r="CM109" s="288"/>
      <c r="CN109" s="290"/>
      <c r="CO109" s="288"/>
      <c r="CP109" s="288"/>
      <c r="CQ109" s="290" t="str">
        <f t="shared" si="360"/>
        <v>0</v>
      </c>
      <c r="CR109" s="237"/>
      <c r="CS109" s="286"/>
      <c r="CT109" s="277"/>
      <c r="CU109" s="282"/>
      <c r="CV109" s="279" t="str">
        <f t="shared" si="338"/>
        <v>0</v>
      </c>
      <c r="CW109" s="277"/>
      <c r="CX109" s="382">
        <v>44397</v>
      </c>
      <c r="CY109" s="178"/>
      <c r="CZ109" s="231">
        <f t="shared" ref="CZ109:CZ140" si="382">(DATEDIF(BK109,CX109,"d"))/30</f>
        <v>1479.9</v>
      </c>
      <c r="DA109" s="279" t="str">
        <f t="shared" si="361"/>
        <v>0</v>
      </c>
      <c r="DB109" s="383">
        <v>16</v>
      </c>
      <c r="DC109" s="127">
        <f t="shared" si="362"/>
        <v>19</v>
      </c>
      <c r="DD109" s="277"/>
      <c r="DE109" s="282"/>
      <c r="DF109" s="279"/>
      <c r="DG109" s="277"/>
      <c r="DH109" s="295">
        <f t="shared" ca="1" si="326"/>
        <v>43998</v>
      </c>
      <c r="DI109" s="280" t="str">
        <f t="shared" ca="1" si="364"/>
        <v>0</v>
      </c>
      <c r="DJ109" s="281"/>
      <c r="DK109" s="295">
        <f t="shared" ca="1" si="320"/>
        <v>43998</v>
      </c>
      <c r="DL109" s="279" t="str">
        <f t="shared" ca="1" si="335"/>
        <v>0</v>
      </c>
      <c r="DM109" s="282">
        <v>43532</v>
      </c>
      <c r="DN109" s="282">
        <f t="shared" ca="1" si="323"/>
        <v>43998</v>
      </c>
      <c r="DO109" s="279">
        <f t="shared" ca="1" si="365"/>
        <v>466</v>
      </c>
      <c r="DP109" s="283"/>
      <c r="DQ109" s="283"/>
      <c r="DR109" s="279" t="str">
        <f t="shared" si="366"/>
        <v>0</v>
      </c>
      <c r="DS109" s="282"/>
      <c r="DT109" s="282">
        <f t="shared" ca="1" si="318"/>
        <v>43998</v>
      </c>
      <c r="DU109" s="279" t="str">
        <f t="shared" ca="1" si="367"/>
        <v>0</v>
      </c>
      <c r="DV109" s="282"/>
      <c r="DW109" s="282">
        <f t="shared" ca="1" si="324"/>
        <v>43998</v>
      </c>
      <c r="DX109" s="279" t="str">
        <f t="shared" ca="1" si="368"/>
        <v>0</v>
      </c>
      <c r="DY109" s="283"/>
      <c r="DZ109" s="283"/>
      <c r="EA109" s="283"/>
      <c r="EB109" s="410">
        <f t="shared" si="369"/>
        <v>44885</v>
      </c>
      <c r="EC109" s="409">
        <f>DATE(YEAR(EB109),MONTH(EB109)+3,DAY(EB109))</f>
        <v>44977</v>
      </c>
      <c r="ED109" s="406">
        <f t="shared" si="370"/>
        <v>3.0666666666666669</v>
      </c>
      <c r="EE109" s="505">
        <f t="shared" ca="1" si="343"/>
        <v>32.633333333333333</v>
      </c>
      <c r="EF109" s="409">
        <f t="shared" ca="1" si="304"/>
        <v>44728</v>
      </c>
      <c r="EG109" s="457"/>
      <c r="EH109" s="448"/>
      <c r="EI109" s="458">
        <f t="shared" si="380"/>
        <v>45099</v>
      </c>
      <c r="EJ109" s="242"/>
      <c r="EK109" s="456"/>
      <c r="EL109" s="409">
        <f t="shared" ref="EL109:EL155" si="383">DATE(YEAR(EC109),MONTH(EC109)+1,DAY(EC109))</f>
        <v>45005</v>
      </c>
      <c r="EM109" s="314"/>
      <c r="EN109" s="404">
        <f t="shared" ref="EN109:EN140" si="384">(EL109-EK109)/30</f>
        <v>1500.1666666666667</v>
      </c>
      <c r="EO109" s="394"/>
      <c r="EP109" s="131">
        <f t="shared" si="371"/>
        <v>0</v>
      </c>
      <c r="EQ109" s="60"/>
      <c r="ER109" s="60"/>
      <c r="ES109" s="742">
        <f>(Tableau6[[#This Row],[Date inauguration recalée]]-ER109)/30</f>
        <v>1500.1666666666667</v>
      </c>
      <c r="ET109" s="300"/>
      <c r="EU109" s="300"/>
      <c r="EV109" s="300"/>
      <c r="EW109" s="300"/>
      <c r="EX109" s="300"/>
      <c r="EY109" s="416">
        <f t="shared" si="344"/>
        <v>0</v>
      </c>
      <c r="EZ109" s="297"/>
      <c r="FA109" s="308"/>
      <c r="FB109" s="297"/>
      <c r="FC109" s="297"/>
      <c r="FD109" s="89"/>
      <c r="FE109" s="63"/>
      <c r="FF109" s="63"/>
      <c r="FG109" s="63"/>
      <c r="FH109" s="63"/>
      <c r="FI109" s="63"/>
      <c r="FJ109" s="22"/>
      <c r="FK109" s="146">
        <f t="shared" si="381"/>
        <v>45342</v>
      </c>
      <c r="FL109" s="146"/>
      <c r="FM109" s="146"/>
      <c r="FN109" s="22"/>
      <c r="FO109" s="22"/>
      <c r="FP109" s="22"/>
      <c r="FQ109" s="22"/>
      <c r="FR109" s="22"/>
      <c r="FS109" s="22"/>
      <c r="FT109" s="22"/>
      <c r="FU109" s="22"/>
      <c r="FV109" s="22"/>
      <c r="FW109" s="22"/>
      <c r="FX109" s="22"/>
      <c r="FY109" s="22"/>
      <c r="FZ109" s="22"/>
      <c r="GA109" s="451"/>
      <c r="GB109" s="471">
        <f>GD109+GG109+GJ109+HF109+Tableau6[[#This Row],[PRÊT CREDIT D''IMPOT (PM)]]</f>
        <v>9211405.25</v>
      </c>
      <c r="GC109" s="645">
        <f t="shared" si="372"/>
        <v>9211405.25</v>
      </c>
      <c r="GD109" s="507">
        <f t="shared" si="379"/>
        <v>2325000</v>
      </c>
      <c r="GE109" s="20">
        <f t="shared" si="373"/>
        <v>2103.8386914794969</v>
      </c>
      <c r="GF109" s="20">
        <f t="shared" si="345"/>
        <v>116600.0664556962</v>
      </c>
      <c r="GG109" s="503">
        <v>2427624.67</v>
      </c>
      <c r="GH109" s="351"/>
      <c r="GI109" s="20">
        <f t="shared" si="336"/>
        <v>30729.426202531646</v>
      </c>
      <c r="GJ109" s="503">
        <f t="shared" si="374"/>
        <v>4458780.58</v>
      </c>
      <c r="GK109" s="5">
        <f t="shared" si="375"/>
        <v>4458780.58</v>
      </c>
      <c r="GL109" s="44">
        <v>732156.24</v>
      </c>
      <c r="GM109" s="44">
        <v>3726624.34</v>
      </c>
      <c r="GN109" s="345">
        <f t="shared" si="376"/>
        <v>56440.260506329112</v>
      </c>
      <c r="GO109" s="35"/>
      <c r="GP109" s="35">
        <v>2325000</v>
      </c>
      <c r="GQ109" s="35"/>
      <c r="GR109" s="18">
        <f t="shared" si="377"/>
        <v>0.25240448518970543</v>
      </c>
      <c r="GS109" s="35"/>
      <c r="GT109" s="35"/>
      <c r="GU109" s="35"/>
      <c r="GV109" s="20">
        <f t="shared" si="331"/>
        <v>29430.379746835442</v>
      </c>
      <c r="GW109" s="20">
        <f t="shared" si="332"/>
        <v>60159.805949367088</v>
      </c>
      <c r="GX109" s="569"/>
      <c r="GY109" s="569"/>
      <c r="GZ109" s="567">
        <f>(GG109+GP109+GY109)/AD109</f>
        <v>60159.805949367088</v>
      </c>
      <c r="HA109" s="569"/>
      <c r="HB109" s="569">
        <f t="shared" si="333"/>
        <v>60159.805949367088</v>
      </c>
      <c r="HC109" s="568">
        <f>(GG109+GP109+GY109+HA109)/(GX109+GB109-HD109)</f>
        <v>0.51595001424999731</v>
      </c>
      <c r="HD109" s="569"/>
      <c r="HE109" s="569"/>
      <c r="HF109" s="503"/>
      <c r="HG109" s="633"/>
      <c r="HH109" s="634">
        <f t="shared" si="378"/>
        <v>0</v>
      </c>
      <c r="HI109" s="633">
        <f t="shared" si="334"/>
        <v>9211405.25</v>
      </c>
      <c r="HJ109" s="633" t="e">
        <f ca="1">IF(EE109&lt;DATEDIF(TODAY(),$HJ$1,"M"),HI109,(HI109/EE109*DATEDIF(TODAY(),$HJ$1,"M")))*0+100000</f>
        <v>#VALUE!</v>
      </c>
      <c r="HK109" s="634" t="e">
        <f ca="1">(HG109+HJ109)/GB109</f>
        <v>#VALUE!</v>
      </c>
      <c r="HL109" s="633"/>
      <c r="HM109" s="633">
        <f t="shared" si="329"/>
        <v>2325000</v>
      </c>
      <c r="HN109" s="633">
        <f t="shared" si="330"/>
        <v>0</v>
      </c>
      <c r="HO109" s="633"/>
      <c r="HP109" s="563"/>
      <c r="HQ109" s="47"/>
      <c r="HR109" s="563"/>
      <c r="HS109" s="563">
        <f>SUM(Tableau6[[#This Row],[GO]:[CARRELAGE]])</f>
        <v>0</v>
      </c>
      <c r="HT109" s="461"/>
      <c r="HU109" s="461"/>
      <c r="HV109" s="461"/>
      <c r="HW109" s="461"/>
      <c r="HX109" s="461"/>
      <c r="HY109" s="461"/>
      <c r="HZ109" s="461"/>
      <c r="IA109" s="461"/>
      <c r="IB109" s="461"/>
      <c r="IC109" s="461"/>
      <c r="ID109" s="461"/>
      <c r="IE109" s="461"/>
      <c r="IF109" s="461"/>
      <c r="IG109" s="563"/>
      <c r="IH109" s="563"/>
      <c r="II109" s="563">
        <f>HP109+HR109+Tableau6[[#This Row],[TRAVAUX BATIS]]+Tableau6[[#This Row],[HONORAIRES]]+IH109</f>
        <v>0</v>
      </c>
      <c r="IJ109" s="654">
        <f>Tableau6[[#This Row],[TOTAL PRP HT]]-Tableau6[[#This Row],[PRP TTC HORS FRAFU]]/1.021</f>
        <v>-9021944.4172380026</v>
      </c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</row>
    <row r="110" spans="1:256" ht="15" customHeight="1">
      <c r="A110" s="43" t="s">
        <v>878</v>
      </c>
      <c r="B110" s="22" t="s">
        <v>21</v>
      </c>
      <c r="C110" s="22" t="s">
        <v>86</v>
      </c>
      <c r="D110" s="22">
        <v>2020</v>
      </c>
      <c r="E110" s="22" t="s">
        <v>849</v>
      </c>
      <c r="F110" s="22" t="s">
        <v>686</v>
      </c>
      <c r="G110" s="22" t="s">
        <v>450</v>
      </c>
      <c r="H110" s="22" t="s">
        <v>859</v>
      </c>
      <c r="I110" s="22"/>
      <c r="J110" s="22" t="s">
        <v>722</v>
      </c>
      <c r="K110" s="134"/>
      <c r="L110" s="81"/>
      <c r="M110" s="82"/>
      <c r="N110" s="83"/>
      <c r="O110" s="117">
        <v>3010</v>
      </c>
      <c r="P110" s="103"/>
      <c r="Q110" s="103"/>
      <c r="R110" s="103">
        <f>P110/AD110</f>
        <v>0</v>
      </c>
      <c r="S110" s="103">
        <f t="shared" si="346"/>
        <v>0</v>
      </c>
      <c r="T110" s="109">
        <f t="shared" si="347"/>
        <v>0</v>
      </c>
      <c r="U110" s="109"/>
      <c r="V110" s="109">
        <f t="shared" si="349"/>
        <v>0</v>
      </c>
      <c r="W110" s="103">
        <f t="shared" si="350"/>
        <v>100.33333333333333</v>
      </c>
      <c r="X110" s="104"/>
      <c r="Y110" s="447">
        <f t="shared" si="351"/>
        <v>99.667774086378742</v>
      </c>
      <c r="Z110" s="104"/>
      <c r="AA110" s="104"/>
      <c r="AB110" s="105"/>
      <c r="AC110" s="22" t="s">
        <v>9</v>
      </c>
      <c r="AD110" s="426">
        <f t="shared" si="352"/>
        <v>30</v>
      </c>
      <c r="AE110" s="426">
        <f t="shared" si="353"/>
        <v>30</v>
      </c>
      <c r="AF110" s="22">
        <v>30</v>
      </c>
      <c r="AG110" s="32"/>
      <c r="AH110" s="32"/>
      <c r="AI110" s="32"/>
      <c r="AJ110" s="614">
        <v>1481.6</v>
      </c>
      <c r="AK110" s="222">
        <v>1736.26</v>
      </c>
      <c r="AL110" s="492">
        <f t="shared" si="354"/>
        <v>49.386666666666663</v>
      </c>
      <c r="AM110" s="4">
        <f t="shared" si="355"/>
        <v>57.87533333333333</v>
      </c>
      <c r="AN110" s="26">
        <v>7.54</v>
      </c>
      <c r="AO110" s="26"/>
      <c r="AP110" s="26"/>
      <c r="AQ110" s="39"/>
      <c r="AR110" s="39"/>
      <c r="AS110" s="39"/>
      <c r="AT110" s="39"/>
      <c r="AU110" s="39"/>
      <c r="AV110" s="26"/>
      <c r="AW110" s="37"/>
      <c r="AX110" s="39"/>
      <c r="AY110" s="26"/>
      <c r="AZ110" s="22"/>
      <c r="BA110" s="22"/>
      <c r="BB110" s="118">
        <v>3216150</v>
      </c>
      <c r="BC110" s="437">
        <f>BB110/AJ110</f>
        <v>2170.7275917926568</v>
      </c>
      <c r="BD110" s="332">
        <f>BB110/AK110</f>
        <v>1852.3435430177508</v>
      </c>
      <c r="BE110" s="334">
        <f>BB110/AD110</f>
        <v>107205</v>
      </c>
      <c r="BF110" s="89">
        <v>43706</v>
      </c>
      <c r="BG110" s="89"/>
      <c r="BH110" s="56">
        <v>43781</v>
      </c>
      <c r="BI110" s="22"/>
      <c r="BJ110" s="548">
        <v>43889</v>
      </c>
      <c r="BK110" s="548"/>
      <c r="BL110" s="549"/>
      <c r="BM110" s="547" t="e">
        <f t="shared" si="356"/>
        <v>#NUM!</v>
      </c>
      <c r="BN110" s="490" t="s">
        <v>229</v>
      </c>
      <c r="BO110" s="77"/>
      <c r="BP110" s="100"/>
      <c r="BQ110" s="536">
        <f>(DATEDIF(BO110,BP110,"d"))/30</f>
        <v>0</v>
      </c>
      <c r="BR110" s="529"/>
      <c r="BS110" s="77"/>
      <c r="BT110" s="77"/>
      <c r="BU110" s="151"/>
      <c r="BV110" s="150">
        <f t="shared" si="357"/>
        <v>1096</v>
      </c>
      <c r="BW110" s="373"/>
      <c r="BX110" s="150" t="str">
        <f>IF(Tableau6[[#This Row],[Montant des loyers perçus avant 1e échéance]]&lt;BW110,"oui","non")</f>
        <v>non</v>
      </c>
      <c r="BY110" s="474"/>
      <c r="BZ110" s="474"/>
      <c r="CA110" s="474"/>
      <c r="CB110" s="286"/>
      <c r="CC110" s="288"/>
      <c r="CD110" s="288"/>
      <c r="CE110" s="290" t="str">
        <f>IF(AND(CC110&gt;0,CD110&gt;0),CD110-CC110,"0")</f>
        <v>0</v>
      </c>
      <c r="CF110" s="288"/>
      <c r="CG110" s="288"/>
      <c r="CH110" s="290" t="str">
        <f>IF(AND(CF110&gt;0,CG110&gt;0),CG110-CF110,"0")</f>
        <v>0</v>
      </c>
      <c r="CI110" s="288"/>
      <c r="CJ110" s="288"/>
      <c r="CK110" s="290" t="str">
        <f>IF(AND(CI110&gt;0,CJ110&gt;0),CJ110-CI110,"0")</f>
        <v>0</v>
      </c>
      <c r="CL110" s="288"/>
      <c r="CM110" s="288"/>
      <c r="CN110" s="290" t="str">
        <f>IF(AND(CL110&gt;0,CM110&gt;0),CM110-CL110,"0")</f>
        <v>0</v>
      </c>
      <c r="CO110" s="288"/>
      <c r="CP110" s="288"/>
      <c r="CQ110" s="290" t="str">
        <f t="shared" si="360"/>
        <v>0</v>
      </c>
      <c r="CR110" s="237"/>
      <c r="CS110" s="286"/>
      <c r="CT110" s="277"/>
      <c r="CU110" s="278"/>
      <c r="CV110" s="279" t="str">
        <f t="shared" si="338"/>
        <v>0</v>
      </c>
      <c r="CW110" s="277"/>
      <c r="CX110" s="382">
        <v>44275</v>
      </c>
      <c r="CY110" s="178"/>
      <c r="CZ110" s="231">
        <f t="shared" si="382"/>
        <v>1475.8333333333333</v>
      </c>
      <c r="DA110" s="279" t="str">
        <f t="shared" si="361"/>
        <v>0</v>
      </c>
      <c r="DB110" s="383">
        <v>24</v>
      </c>
      <c r="DC110" s="127">
        <f t="shared" si="362"/>
        <v>24</v>
      </c>
      <c r="DD110" s="277"/>
      <c r="DE110" s="282">
        <f t="shared" ref="DE110:DE129" ca="1" si="385">IF(DD110&lt;TODAY(),TODAY(),DD110)</f>
        <v>43998</v>
      </c>
      <c r="DF110" s="279" t="str">
        <f t="shared" ref="DF110:DF129" ca="1" si="386">IF(AND(DD110&gt;0,DE110&gt;0),DE110-DD110,"0")</f>
        <v>0</v>
      </c>
      <c r="DG110" s="277"/>
      <c r="DH110" s="295">
        <f t="shared" ca="1" si="326"/>
        <v>43998</v>
      </c>
      <c r="DI110" s="280" t="str">
        <f t="shared" ca="1" si="364"/>
        <v>0</v>
      </c>
      <c r="DJ110" s="281"/>
      <c r="DK110" s="295">
        <f t="shared" ca="1" si="320"/>
        <v>43998</v>
      </c>
      <c r="DL110" s="279" t="str">
        <f t="shared" ca="1" si="335"/>
        <v>0</v>
      </c>
      <c r="DM110" s="282"/>
      <c r="DN110" s="282">
        <f t="shared" ca="1" si="323"/>
        <v>43998</v>
      </c>
      <c r="DO110" s="279" t="str">
        <f t="shared" ca="1" si="365"/>
        <v>0</v>
      </c>
      <c r="DP110" s="283"/>
      <c r="DQ110" s="283"/>
      <c r="DR110" s="279" t="str">
        <f t="shared" si="366"/>
        <v>0</v>
      </c>
      <c r="DS110" s="282"/>
      <c r="DT110" s="282">
        <f t="shared" ca="1" si="318"/>
        <v>43998</v>
      </c>
      <c r="DU110" s="279" t="str">
        <f t="shared" ca="1" si="367"/>
        <v>0</v>
      </c>
      <c r="DV110" s="282"/>
      <c r="DW110" s="282">
        <f t="shared" ca="1" si="324"/>
        <v>43998</v>
      </c>
      <c r="DX110" s="279" t="str">
        <f t="shared" ca="1" si="368"/>
        <v>0</v>
      </c>
      <c r="DY110" s="283"/>
      <c r="DZ110" s="283"/>
      <c r="EA110" s="283"/>
      <c r="EB110" s="410">
        <f t="shared" si="369"/>
        <v>45005</v>
      </c>
      <c r="EC110" s="409">
        <f>DATE(YEAR(EB110),MONTH(EB110),DAY(EB110))</f>
        <v>45005</v>
      </c>
      <c r="ED110" s="406">
        <f t="shared" si="370"/>
        <v>0</v>
      </c>
      <c r="EE110" s="505">
        <f t="shared" ca="1" si="343"/>
        <v>33.56666666666667</v>
      </c>
      <c r="EF110" s="409">
        <f t="shared" ca="1" si="304"/>
        <v>44728</v>
      </c>
      <c r="EG110" s="457"/>
      <c r="EH110" s="448"/>
      <c r="EI110" s="458">
        <f t="shared" si="380"/>
        <v>45129</v>
      </c>
      <c r="EJ110" s="242"/>
      <c r="EK110" s="456">
        <f t="shared" ref="EK110:EK141" si="387">DATE(YEAR(EB110),MONTH(EB110)+1,DAY(EB110))</f>
        <v>45036</v>
      </c>
      <c r="EL110" s="409">
        <f t="shared" si="383"/>
        <v>45036</v>
      </c>
      <c r="EM110" s="314"/>
      <c r="EN110" s="404">
        <f t="shared" si="384"/>
        <v>0</v>
      </c>
      <c r="EO110" s="394"/>
      <c r="EP110" s="131">
        <f t="shared" si="371"/>
        <v>0</v>
      </c>
      <c r="EQ110" s="60"/>
      <c r="ER110" s="60"/>
      <c r="ES110" s="742">
        <f>(Tableau6[[#This Row],[Date inauguration recalée]]-ER110)/30</f>
        <v>1501.2</v>
      </c>
      <c r="ET110" s="300"/>
      <c r="EU110" s="300"/>
      <c r="EV110" s="300"/>
      <c r="EW110" s="300"/>
      <c r="EX110" s="300"/>
      <c r="EY110" s="416">
        <f t="shared" si="344"/>
        <v>0</v>
      </c>
      <c r="EZ110" s="297"/>
      <c r="FA110" s="308"/>
      <c r="FB110" s="297"/>
      <c r="FC110" s="297" t="s">
        <v>796</v>
      </c>
      <c r="FD110" s="89">
        <f t="shared" ref="FD110:FD141" ca="1" si="388">DATE(YEAR(DH110),MONTH(DH110)+24,DAY(DH110))</f>
        <v>44728</v>
      </c>
      <c r="FE110" s="63"/>
      <c r="FF110" s="63"/>
      <c r="FG110" s="63"/>
      <c r="FH110" s="63"/>
      <c r="FI110" s="63"/>
      <c r="FJ110" s="22"/>
      <c r="FK110" s="146">
        <f t="shared" si="381"/>
        <v>45371</v>
      </c>
      <c r="FL110" s="146"/>
      <c r="FM110" s="146"/>
      <c r="FN110" s="22"/>
      <c r="FO110" s="22"/>
      <c r="FP110" s="22"/>
      <c r="FQ110" s="22"/>
      <c r="FR110" s="22"/>
      <c r="FS110" s="22"/>
      <c r="FT110" s="22"/>
      <c r="FU110" s="22"/>
      <c r="FV110" s="22"/>
      <c r="FW110" s="22"/>
      <c r="FX110" s="22"/>
      <c r="FY110" s="22"/>
      <c r="FZ110" s="22"/>
      <c r="GA110" s="451"/>
      <c r="GB110" s="471">
        <f>GD110+GG110+GJ110+HF110+Tableau6[[#This Row],[PRÊT CREDIT D''IMPOT (PM)]]</f>
        <v>3363092.62</v>
      </c>
      <c r="GC110" s="645">
        <f t="shared" si="372"/>
        <v>3363092.62</v>
      </c>
      <c r="GD110" s="507">
        <f t="shared" si="379"/>
        <v>750000</v>
      </c>
      <c r="GE110" s="20">
        <f t="shared" si="373"/>
        <v>1936.9752341239216</v>
      </c>
      <c r="GF110" s="20">
        <f t="shared" si="345"/>
        <v>112103.08733333334</v>
      </c>
      <c r="GG110" s="503">
        <v>886914</v>
      </c>
      <c r="GH110" s="351"/>
      <c r="GI110" s="20">
        <f t="shared" si="336"/>
        <v>29563.8</v>
      </c>
      <c r="GJ110" s="503">
        <f t="shared" si="374"/>
        <v>1726178.62</v>
      </c>
      <c r="GK110" s="5">
        <f t="shared" si="375"/>
        <v>1726178.62</v>
      </c>
      <c r="GL110" s="44">
        <v>261569.62</v>
      </c>
      <c r="GM110" s="44">
        <v>1464609</v>
      </c>
      <c r="GN110" s="345">
        <f t="shared" si="376"/>
        <v>57539.287333333334</v>
      </c>
      <c r="GO110" s="35"/>
      <c r="GP110" s="35">
        <v>750000</v>
      </c>
      <c r="GQ110" s="35"/>
      <c r="GR110" s="18">
        <f t="shared" si="377"/>
        <v>0.22300902316511281</v>
      </c>
      <c r="GS110" s="35"/>
      <c r="GT110" s="35"/>
      <c r="GU110" s="35"/>
      <c r="GV110" s="20">
        <f t="shared" si="331"/>
        <v>25000</v>
      </c>
      <c r="GW110" s="20">
        <f t="shared" si="332"/>
        <v>54563.8</v>
      </c>
      <c r="GX110" s="569"/>
      <c r="GY110" s="569"/>
      <c r="GZ110" s="567">
        <f>(GG110+GP110+GY110)/AD110</f>
        <v>54563.8</v>
      </c>
      <c r="HA110" s="569"/>
      <c r="HB110" s="569">
        <f t="shared" si="333"/>
        <v>54563.8</v>
      </c>
      <c r="HC110" s="568">
        <f>(GG110+GP110+GY110+HA110)/(GX110+GB110-HD110)</f>
        <v>0.48672878952706333</v>
      </c>
      <c r="HD110" s="569"/>
      <c r="HE110" s="569"/>
      <c r="HF110" s="503"/>
      <c r="HG110" s="633"/>
      <c r="HH110" s="634">
        <f t="shared" si="378"/>
        <v>0</v>
      </c>
      <c r="HI110" s="633">
        <f t="shared" si="334"/>
        <v>3363092.62</v>
      </c>
      <c r="HJ110" s="633" t="e">
        <f ca="1">IF(EE110&lt;DATEDIF(TODAY(),$HJ$1,"M"),HI110,(HI110/EE110*DATEDIF(TODAY(),$HJ$1,"M")))*0</f>
        <v>#VALUE!</v>
      </c>
      <c r="HK110" s="634" t="e">
        <f ca="1">(HG110+HJ110)/GB110</f>
        <v>#VALUE!</v>
      </c>
      <c r="HL110" s="633"/>
      <c r="HM110" s="633">
        <f t="shared" si="329"/>
        <v>750000</v>
      </c>
      <c r="HN110" s="633">
        <f t="shared" si="330"/>
        <v>0</v>
      </c>
      <c r="HO110" s="633"/>
      <c r="HP110" s="563"/>
      <c r="HQ110" s="47"/>
      <c r="HR110" s="563"/>
      <c r="HS110" s="563">
        <f>SUM(Tableau6[[#This Row],[GO]:[CARRELAGE]])</f>
        <v>0</v>
      </c>
      <c r="HT110" s="461"/>
      <c r="HU110" s="461"/>
      <c r="HV110" s="461"/>
      <c r="HW110" s="461"/>
      <c r="HX110" s="461"/>
      <c r="HY110" s="461"/>
      <c r="HZ110" s="461"/>
      <c r="IA110" s="461"/>
      <c r="IB110" s="461"/>
      <c r="IC110" s="461"/>
      <c r="ID110" s="461"/>
      <c r="IE110" s="461"/>
      <c r="IF110" s="461"/>
      <c r="IG110" s="563"/>
      <c r="IH110" s="563"/>
      <c r="II110" s="563">
        <f>HP110+HR110+Tableau6[[#This Row],[TRAVAUX BATIS]]+Tableau6[[#This Row],[HONORAIRES]]+IH110</f>
        <v>0</v>
      </c>
      <c r="IJ110" s="654">
        <f>Tableau6[[#This Row],[TOTAL PRP HT]]-Tableau6[[#This Row],[PRP TTC HORS FRAFU]]/1.021</f>
        <v>-3293920.2938295794</v>
      </c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</row>
    <row r="111" spans="1:256" ht="15" customHeight="1">
      <c r="A111" s="43" t="s">
        <v>884</v>
      </c>
      <c r="B111" s="22" t="s">
        <v>21</v>
      </c>
      <c r="C111" s="22" t="s">
        <v>86</v>
      </c>
      <c r="D111" s="22">
        <v>2020</v>
      </c>
      <c r="E111" s="22" t="s">
        <v>849</v>
      </c>
      <c r="F111" s="57"/>
      <c r="G111" s="57"/>
      <c r="H111" s="57"/>
      <c r="I111" s="22"/>
      <c r="J111" s="22" t="s">
        <v>722</v>
      </c>
      <c r="K111" s="134"/>
      <c r="L111" s="81"/>
      <c r="M111" s="82"/>
      <c r="N111" s="83"/>
      <c r="O111" s="117">
        <v>3010</v>
      </c>
      <c r="P111" s="103"/>
      <c r="Q111" s="103"/>
      <c r="R111" s="103">
        <f>P111/AD111</f>
        <v>0</v>
      </c>
      <c r="S111" s="103">
        <f t="shared" si="346"/>
        <v>0</v>
      </c>
      <c r="T111" s="109">
        <f t="shared" si="347"/>
        <v>0</v>
      </c>
      <c r="U111" s="109"/>
      <c r="V111" s="109">
        <f t="shared" si="349"/>
        <v>0</v>
      </c>
      <c r="W111" s="103">
        <f t="shared" si="350"/>
        <v>32.365591397849464</v>
      </c>
      <c r="X111" s="104"/>
      <c r="Y111" s="447">
        <f t="shared" si="351"/>
        <v>308.97009966777409</v>
      </c>
      <c r="Z111" s="104"/>
      <c r="AA111" s="104"/>
      <c r="AB111" s="105"/>
      <c r="AC111" s="22" t="s">
        <v>293</v>
      </c>
      <c r="AD111" s="426">
        <f t="shared" si="352"/>
        <v>93</v>
      </c>
      <c r="AE111" s="426">
        <f t="shared" si="353"/>
        <v>93</v>
      </c>
      <c r="AF111" s="32"/>
      <c r="AG111" s="32"/>
      <c r="AH111" s="94">
        <v>93</v>
      </c>
      <c r="AI111" s="32"/>
      <c r="AJ111" s="614">
        <v>6179.1699999999992</v>
      </c>
      <c r="AK111" s="222">
        <v>7501.81</v>
      </c>
      <c r="AL111" s="492">
        <f t="shared" si="354"/>
        <v>66.442688172043006</v>
      </c>
      <c r="AM111" s="26">
        <f t="shared" si="355"/>
        <v>80.664623655913985</v>
      </c>
      <c r="AN111" s="26">
        <v>8.9499999999999993</v>
      </c>
      <c r="AO111" s="26"/>
      <c r="AP111" s="26"/>
      <c r="AQ111" s="39"/>
      <c r="AR111" s="39"/>
      <c r="AS111" s="39"/>
      <c r="AT111" s="39"/>
      <c r="AU111" s="39"/>
      <c r="AV111" s="26"/>
      <c r="AW111" s="37"/>
      <c r="AX111" s="39"/>
      <c r="AY111" s="26"/>
      <c r="AZ111" s="22"/>
      <c r="BA111" s="22"/>
      <c r="BB111" s="118">
        <v>15723400</v>
      </c>
      <c r="BC111" s="437">
        <f>BB111/AJ111</f>
        <v>2544.5812301652168</v>
      </c>
      <c r="BD111" s="332">
        <f>BB111/AK111</f>
        <v>2095.9475113339313</v>
      </c>
      <c r="BE111" s="334">
        <f>BB111/AD111</f>
        <v>169068.81720430107</v>
      </c>
      <c r="BF111" s="89">
        <v>43706</v>
      </c>
      <c r="BG111" s="89"/>
      <c r="BH111" s="56">
        <v>43781</v>
      </c>
      <c r="BI111" s="22"/>
      <c r="BJ111" s="548">
        <v>43889</v>
      </c>
      <c r="BK111" s="548"/>
      <c r="BL111" s="549"/>
      <c r="BM111" s="547" t="e">
        <f t="shared" si="356"/>
        <v>#NUM!</v>
      </c>
      <c r="BN111" s="490" t="s">
        <v>229</v>
      </c>
      <c r="BO111" s="77"/>
      <c r="BP111" s="100"/>
      <c r="BQ111" s="536">
        <f>(DATEDIF(BO111,BP111,"d"))/30</f>
        <v>0</v>
      </c>
      <c r="BR111" s="529"/>
      <c r="BS111" s="77"/>
      <c r="BT111" s="77"/>
      <c r="BU111" s="151"/>
      <c r="BV111" s="150">
        <f t="shared" si="357"/>
        <v>1096</v>
      </c>
      <c r="BW111" s="373"/>
      <c r="BX111" s="150" t="str">
        <f>IF(Tableau6[[#This Row],[Montant des loyers perçus avant 1e échéance]]&lt;BW111,"oui","non")</f>
        <v>non</v>
      </c>
      <c r="BY111" s="474"/>
      <c r="BZ111" s="474"/>
      <c r="CA111" s="474"/>
      <c r="CB111" s="286"/>
      <c r="CC111" s="288"/>
      <c r="CD111" s="288"/>
      <c r="CE111" s="290" t="str">
        <f>IF(AND(CC111&gt;0,CD111&gt;0),CD111-CC111,"0")</f>
        <v>0</v>
      </c>
      <c r="CF111" s="288"/>
      <c r="CG111" s="288"/>
      <c r="CH111" s="290" t="str">
        <f>IF(AND(CF111&gt;0,CG111&gt;0),CG111-CF111,"0")</f>
        <v>0</v>
      </c>
      <c r="CI111" s="288"/>
      <c r="CJ111" s="288"/>
      <c r="CK111" s="290" t="str">
        <f>IF(AND(CI111&gt;0,CJ111&gt;0),CJ111-CI111,"0")</f>
        <v>0</v>
      </c>
      <c r="CL111" s="288"/>
      <c r="CM111" s="288"/>
      <c r="CN111" s="290" t="str">
        <f>IF(AND(CL111&gt;0,CM111&gt;0),CM111-CL111,"0")</f>
        <v>0</v>
      </c>
      <c r="CO111" s="288"/>
      <c r="CP111" s="288"/>
      <c r="CQ111" s="290" t="str">
        <f t="shared" si="360"/>
        <v>0</v>
      </c>
      <c r="CR111" s="237"/>
      <c r="CS111" s="286"/>
      <c r="CT111" s="277"/>
      <c r="CU111" s="278"/>
      <c r="CV111" s="279" t="str">
        <f t="shared" si="338"/>
        <v>0</v>
      </c>
      <c r="CW111" s="431"/>
      <c r="CX111" s="382">
        <v>44275</v>
      </c>
      <c r="CY111" s="178"/>
      <c r="CZ111" s="231">
        <f t="shared" si="382"/>
        <v>1475.8333333333333</v>
      </c>
      <c r="DA111" s="279" t="str">
        <f t="shared" si="361"/>
        <v>0</v>
      </c>
      <c r="DB111" s="383">
        <v>24</v>
      </c>
      <c r="DC111" s="127">
        <f t="shared" si="362"/>
        <v>24</v>
      </c>
      <c r="DD111" s="277"/>
      <c r="DE111" s="282">
        <f t="shared" ca="1" si="385"/>
        <v>43998</v>
      </c>
      <c r="DF111" s="279" t="str">
        <f t="shared" ca="1" si="386"/>
        <v>0</v>
      </c>
      <c r="DG111" s="277"/>
      <c r="DH111" s="295">
        <f t="shared" ca="1" si="326"/>
        <v>43998</v>
      </c>
      <c r="DI111" s="280" t="str">
        <f t="shared" ca="1" si="364"/>
        <v>0</v>
      </c>
      <c r="DJ111" s="281"/>
      <c r="DK111" s="295">
        <f t="shared" ca="1" si="320"/>
        <v>43998</v>
      </c>
      <c r="DL111" s="279" t="str">
        <f t="shared" ca="1" si="335"/>
        <v>0</v>
      </c>
      <c r="DM111" s="282"/>
      <c r="DN111" s="282">
        <f t="shared" ca="1" si="323"/>
        <v>43998</v>
      </c>
      <c r="DO111" s="279" t="str">
        <f t="shared" ca="1" si="365"/>
        <v>0</v>
      </c>
      <c r="DP111" s="283"/>
      <c r="DQ111" s="283"/>
      <c r="DR111" s="279" t="str">
        <f t="shared" si="366"/>
        <v>0</v>
      </c>
      <c r="DS111" s="282"/>
      <c r="DT111" s="282">
        <f t="shared" ca="1" si="318"/>
        <v>43998</v>
      </c>
      <c r="DU111" s="279" t="str">
        <f t="shared" ca="1" si="367"/>
        <v>0</v>
      </c>
      <c r="DV111" s="282"/>
      <c r="DW111" s="282">
        <f t="shared" ca="1" si="324"/>
        <v>43998</v>
      </c>
      <c r="DX111" s="279" t="str">
        <f t="shared" ca="1" si="368"/>
        <v>0</v>
      </c>
      <c r="DY111" s="283"/>
      <c r="DZ111" s="283"/>
      <c r="EA111" s="283"/>
      <c r="EB111" s="410">
        <f t="shared" si="369"/>
        <v>45005</v>
      </c>
      <c r="EC111" s="409">
        <f>DATE(YEAR(EB111),MONTH(EB111),DAY(EB111))</f>
        <v>45005</v>
      </c>
      <c r="ED111" s="406">
        <f t="shared" si="370"/>
        <v>0</v>
      </c>
      <c r="EE111" s="505">
        <f t="shared" ca="1" si="343"/>
        <v>33.56666666666667</v>
      </c>
      <c r="EF111" s="409">
        <f t="shared" ca="1" si="304"/>
        <v>44728</v>
      </c>
      <c r="EG111" s="457"/>
      <c r="EH111" s="448"/>
      <c r="EI111" s="458">
        <f t="shared" si="380"/>
        <v>45129</v>
      </c>
      <c r="EJ111" s="242"/>
      <c r="EK111" s="456">
        <f t="shared" si="387"/>
        <v>45036</v>
      </c>
      <c r="EL111" s="409">
        <f t="shared" si="383"/>
        <v>45036</v>
      </c>
      <c r="EM111" s="314"/>
      <c r="EN111" s="404">
        <f t="shared" si="384"/>
        <v>0</v>
      </c>
      <c r="EO111" s="394"/>
      <c r="EP111" s="131">
        <f t="shared" si="371"/>
        <v>0</v>
      </c>
      <c r="EQ111" s="60"/>
      <c r="ER111" s="60"/>
      <c r="ES111" s="742">
        <f>(Tableau6[[#This Row],[Date inauguration recalée]]-ER111)/30</f>
        <v>1501.2</v>
      </c>
      <c r="ET111" s="300"/>
      <c r="EU111" s="300"/>
      <c r="EV111" s="300"/>
      <c r="EW111" s="300"/>
      <c r="EX111" s="300"/>
      <c r="EY111" s="416">
        <f t="shared" si="344"/>
        <v>0</v>
      </c>
      <c r="EZ111" s="297"/>
      <c r="FA111" s="308"/>
      <c r="FB111" s="297"/>
      <c r="FC111" s="297" t="s">
        <v>796</v>
      </c>
      <c r="FD111" s="89">
        <f t="shared" ca="1" si="388"/>
        <v>44728</v>
      </c>
      <c r="FE111" s="63"/>
      <c r="FF111" s="63"/>
      <c r="FG111" s="63"/>
      <c r="FH111" s="63"/>
      <c r="FI111" s="63"/>
      <c r="FJ111" s="22"/>
      <c r="FK111" s="146">
        <f t="shared" si="381"/>
        <v>45371</v>
      </c>
      <c r="FL111" s="146"/>
      <c r="FM111" s="146"/>
      <c r="FN111" s="22"/>
      <c r="FO111" s="22"/>
      <c r="FP111" s="22"/>
      <c r="FQ111" s="22"/>
      <c r="FR111" s="22"/>
      <c r="FS111" s="22"/>
      <c r="FT111" s="22"/>
      <c r="FU111" s="22"/>
      <c r="FV111" s="22"/>
      <c r="FW111" s="22"/>
      <c r="FX111" s="22"/>
      <c r="FY111" s="22"/>
      <c r="FZ111" s="22"/>
      <c r="GA111" s="451"/>
      <c r="GB111" s="471">
        <f>GD111+GG111+GJ111+HF111+Tableau6[[#This Row],[PRÊT CREDIT D''IMPOT (PM)]]</f>
        <v>16409046.4</v>
      </c>
      <c r="GC111" s="645">
        <f t="shared" si="372"/>
        <v>16409046.4</v>
      </c>
      <c r="GD111" s="507">
        <f t="shared" si="379"/>
        <v>0</v>
      </c>
      <c r="GE111" s="20">
        <f t="shared" si="373"/>
        <v>2187.3449740795886</v>
      </c>
      <c r="GF111" s="20">
        <f t="shared" si="345"/>
        <v>176441.35913978494</v>
      </c>
      <c r="GG111" s="503">
        <v>5801913</v>
      </c>
      <c r="GH111" s="351"/>
      <c r="GI111" s="20">
        <f t="shared" si="336"/>
        <v>62386.161290322583</v>
      </c>
      <c r="GJ111" s="503">
        <f t="shared" si="374"/>
        <v>10607133.4</v>
      </c>
      <c r="GK111" s="5">
        <f t="shared" si="375"/>
        <v>8532704.4000000004</v>
      </c>
      <c r="GL111" s="44">
        <v>1432491.4</v>
      </c>
      <c r="GM111" s="44">
        <v>7100213</v>
      </c>
      <c r="GN111" s="346">
        <f t="shared" si="376"/>
        <v>91749.509677419352</v>
      </c>
      <c r="GO111" s="35">
        <v>2074429</v>
      </c>
      <c r="GP111" s="35"/>
      <c r="GQ111" s="35"/>
      <c r="GR111" s="45">
        <f t="shared" si="377"/>
        <v>0</v>
      </c>
      <c r="GS111" s="35"/>
      <c r="GT111" s="35"/>
      <c r="GU111" s="35"/>
      <c r="GV111" s="20">
        <f t="shared" si="331"/>
        <v>0</v>
      </c>
      <c r="GW111" s="20">
        <f t="shared" si="332"/>
        <v>62386.161290322583</v>
      </c>
      <c r="GX111" s="569"/>
      <c r="GY111" s="569"/>
      <c r="GZ111" s="569">
        <f>(GG111+GP111+GY111)/AD111</f>
        <v>62386.161290322583</v>
      </c>
      <c r="HA111" s="569"/>
      <c r="HB111" s="569">
        <f t="shared" si="333"/>
        <v>62386.161290322583</v>
      </c>
      <c r="HC111" s="568">
        <f>(GG111+GP111+GY111+HA111)/(GX111+GB111-HD111)</f>
        <v>0.35358014466946719</v>
      </c>
      <c r="HD111" s="569"/>
      <c r="HE111" s="569"/>
      <c r="HF111" s="503"/>
      <c r="HG111" s="633"/>
      <c r="HH111" s="634">
        <f t="shared" si="378"/>
        <v>0</v>
      </c>
      <c r="HI111" s="633">
        <f t="shared" si="334"/>
        <v>16409046.4</v>
      </c>
      <c r="HJ111" s="633" t="e">
        <f ca="1">IF(EE111&lt;DATEDIF(TODAY(),$HJ$1,"M"),HI111,(HI111/EE111*DATEDIF(TODAY(),$HJ$1,"M")))*0</f>
        <v>#VALUE!</v>
      </c>
      <c r="HK111" s="634" t="e">
        <f ca="1">(HG111+HJ111)/GB111</f>
        <v>#VALUE!</v>
      </c>
      <c r="HL111" s="633"/>
      <c r="HM111" s="633">
        <f t="shared" si="329"/>
        <v>0</v>
      </c>
      <c r="HN111" s="633" t="e">
        <f t="shared" si="330"/>
        <v>#DIV/0!</v>
      </c>
      <c r="HO111" s="633"/>
      <c r="HP111" s="563"/>
      <c r="HQ111" s="47"/>
      <c r="HR111" s="563"/>
      <c r="HS111" s="563">
        <f>SUM(Tableau6[[#This Row],[GO]:[CARRELAGE]])</f>
        <v>0</v>
      </c>
      <c r="HT111" s="461"/>
      <c r="HU111" s="461"/>
      <c r="HV111" s="461"/>
      <c r="HW111" s="461"/>
      <c r="HX111" s="461"/>
      <c r="HY111" s="461"/>
      <c r="HZ111" s="461"/>
      <c r="IA111" s="461"/>
      <c r="IB111" s="461"/>
      <c r="IC111" s="461"/>
      <c r="ID111" s="461"/>
      <c r="IE111" s="461"/>
      <c r="IF111" s="461"/>
      <c r="IG111" s="563"/>
      <c r="IH111" s="563"/>
      <c r="II111" s="563">
        <f>HP111+HR111+Tableau6[[#This Row],[TRAVAUX BATIS]]+Tableau6[[#This Row],[HONORAIRES]]+IH111</f>
        <v>0</v>
      </c>
      <c r="IJ111" s="654">
        <f>Tableau6[[#This Row],[TOTAL PRP HT]]-Tableau6[[#This Row],[PRP TTC HORS FRAFU]]/1.021</f>
        <v>-16071543.976493636</v>
      </c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</row>
    <row r="112" spans="1:256" ht="15" customHeight="1">
      <c r="A112" s="441" t="s">
        <v>818</v>
      </c>
      <c r="B112" s="23" t="s">
        <v>14</v>
      </c>
      <c r="C112" s="23" t="s">
        <v>86</v>
      </c>
      <c r="D112" s="22">
        <v>2021</v>
      </c>
      <c r="E112" s="23"/>
      <c r="F112" s="22" t="s">
        <v>834</v>
      </c>
      <c r="G112" s="22"/>
      <c r="H112" s="23"/>
      <c r="I112" s="22"/>
      <c r="J112" s="23"/>
      <c r="K112" s="102"/>
      <c r="L112" s="81"/>
      <c r="M112" s="82"/>
      <c r="N112" s="83"/>
      <c r="O112" s="108"/>
      <c r="P112" s="108"/>
      <c r="Q112" s="108"/>
      <c r="R112" s="103"/>
      <c r="S112" s="103"/>
      <c r="T112" s="109"/>
      <c r="U112" s="109"/>
      <c r="V112" s="109"/>
      <c r="W112" s="103"/>
      <c r="X112" s="110"/>
      <c r="Y112" s="447"/>
      <c r="Z112" s="110"/>
      <c r="AA112" s="104"/>
      <c r="AB112" s="105"/>
      <c r="AC112" s="23" t="s">
        <v>300</v>
      </c>
      <c r="AD112" s="426">
        <f t="shared" si="352"/>
        <v>57</v>
      </c>
      <c r="AE112" s="426"/>
      <c r="AF112" s="32"/>
      <c r="AG112" s="135"/>
      <c r="AH112" s="32"/>
      <c r="AI112" s="22">
        <v>57</v>
      </c>
      <c r="AJ112" s="26"/>
      <c r="AK112" s="222"/>
      <c r="AL112" s="492"/>
      <c r="AM112" s="4"/>
      <c r="AN112" s="26"/>
      <c r="AO112" s="26"/>
      <c r="AP112" s="26"/>
      <c r="AQ112" s="39"/>
      <c r="AR112" s="39"/>
      <c r="AS112" s="39"/>
      <c r="AT112" s="28"/>
      <c r="AU112" s="26"/>
      <c r="AV112" s="37"/>
      <c r="AW112" s="39"/>
      <c r="AX112" s="39"/>
      <c r="AY112" s="26"/>
      <c r="AZ112" s="22"/>
      <c r="BA112" s="22"/>
      <c r="BB112" s="57"/>
      <c r="BC112" s="586"/>
      <c r="BD112" s="587"/>
      <c r="BE112" s="588"/>
      <c r="BF112" s="122"/>
      <c r="BG112" s="122"/>
      <c r="BH112" s="22"/>
      <c r="BI112" s="22"/>
      <c r="BJ112" s="548"/>
      <c r="BK112" s="548"/>
      <c r="BL112" s="549"/>
      <c r="BM112" s="547"/>
      <c r="BN112" s="490"/>
      <c r="BO112" s="77"/>
      <c r="BP112" s="100"/>
      <c r="BQ112" s="536"/>
      <c r="BR112" s="529"/>
      <c r="BS112" s="77"/>
      <c r="BT112" s="77"/>
      <c r="BU112" s="151"/>
      <c r="BV112" s="150">
        <f t="shared" si="357"/>
        <v>1096</v>
      </c>
      <c r="BW112" s="373"/>
      <c r="BX112" s="150" t="str">
        <f>IF(Tableau6[[#This Row],[Montant des loyers perçus avant 1e échéance]]&lt;BW112,"oui","non")</f>
        <v>non</v>
      </c>
      <c r="BY112" s="475"/>
      <c r="BZ112" s="373"/>
      <c r="CA112" s="373">
        <f>IF(BW112-BZ112&lt;0,0,Tableau6[[#This Row],[Montant échéance annuelle]]-Tableau6[[#This Row],[Montant des loyers perçus avant 1e échéance]])</f>
        <v>0</v>
      </c>
      <c r="CB112" s="288"/>
      <c r="CC112" s="288"/>
      <c r="CD112" s="288"/>
      <c r="CE112" s="290"/>
      <c r="CF112" s="288"/>
      <c r="CG112" s="288"/>
      <c r="CH112" s="290"/>
      <c r="CI112" s="288"/>
      <c r="CJ112" s="288"/>
      <c r="CK112" s="290"/>
      <c r="CL112" s="291"/>
      <c r="CM112" s="288"/>
      <c r="CN112" s="290"/>
      <c r="CO112" s="288"/>
      <c r="CP112" s="288"/>
      <c r="CQ112" s="290"/>
      <c r="CR112" s="22"/>
      <c r="CS112" s="289"/>
      <c r="CT112" s="277"/>
      <c r="CU112" s="278"/>
      <c r="CV112" s="279"/>
      <c r="CW112" s="431"/>
      <c r="CX112" s="382">
        <v>44746</v>
      </c>
      <c r="CY112" s="429"/>
      <c r="CZ112" s="231">
        <f t="shared" si="382"/>
        <v>1491.5333333333333</v>
      </c>
      <c r="DA112" s="279" t="str">
        <f t="shared" si="361"/>
        <v>0</v>
      </c>
      <c r="DB112" s="383">
        <v>12</v>
      </c>
      <c r="DC112" s="127">
        <f t="shared" si="362"/>
        <v>13</v>
      </c>
      <c r="DD112" s="277"/>
      <c r="DE112" s="282">
        <f t="shared" ca="1" si="385"/>
        <v>43998</v>
      </c>
      <c r="DF112" s="279" t="str">
        <f t="shared" ca="1" si="386"/>
        <v>0</v>
      </c>
      <c r="DG112" s="277"/>
      <c r="DH112" s="295">
        <f t="shared" ca="1" si="326"/>
        <v>43998</v>
      </c>
      <c r="DI112" s="280" t="str">
        <f t="shared" ca="1" si="364"/>
        <v>0</v>
      </c>
      <c r="DJ112" s="281"/>
      <c r="DK112" s="295">
        <f t="shared" ca="1" si="320"/>
        <v>43998</v>
      </c>
      <c r="DL112" s="279" t="str">
        <f t="shared" ca="1" si="335"/>
        <v>0</v>
      </c>
      <c r="DM112" s="282">
        <v>43539</v>
      </c>
      <c r="DN112" s="282">
        <f t="shared" ca="1" si="323"/>
        <v>43998</v>
      </c>
      <c r="DO112" s="279">
        <f t="shared" ca="1" si="365"/>
        <v>459</v>
      </c>
      <c r="DP112" s="283"/>
      <c r="DQ112" s="283"/>
      <c r="DR112" s="279" t="str">
        <f t="shared" si="366"/>
        <v>0</v>
      </c>
      <c r="DS112" s="282"/>
      <c r="DT112" s="282">
        <f t="shared" ca="1" si="318"/>
        <v>43998</v>
      </c>
      <c r="DU112" s="279" t="str">
        <f t="shared" ca="1" si="367"/>
        <v>0</v>
      </c>
      <c r="DV112" s="282">
        <v>43616</v>
      </c>
      <c r="DW112" s="282">
        <f t="shared" ca="1" si="324"/>
        <v>43998</v>
      </c>
      <c r="DX112" s="279">
        <f t="shared" ca="1" si="368"/>
        <v>382</v>
      </c>
      <c r="DY112" s="283"/>
      <c r="DZ112" s="283"/>
      <c r="EA112" s="283"/>
      <c r="EB112" s="410">
        <f t="shared" si="369"/>
        <v>45111</v>
      </c>
      <c r="EC112" s="409">
        <f>DATE(YEAR(EB112),MONTH(EB112)+1,DAY(EB112))</f>
        <v>45142</v>
      </c>
      <c r="ED112" s="406">
        <f t="shared" si="370"/>
        <v>1.0333333333333334</v>
      </c>
      <c r="EE112" s="505">
        <f t="shared" ca="1" si="343"/>
        <v>38.133333333333333</v>
      </c>
      <c r="EF112" s="409">
        <f t="shared" ca="1" si="304"/>
        <v>44728</v>
      </c>
      <c r="EG112" s="457"/>
      <c r="EH112" s="448"/>
      <c r="EI112" s="458">
        <f t="shared" si="380"/>
        <v>45266</v>
      </c>
      <c r="EJ112" s="242"/>
      <c r="EK112" s="456">
        <f t="shared" si="387"/>
        <v>45142</v>
      </c>
      <c r="EL112" s="409">
        <f t="shared" si="383"/>
        <v>45173</v>
      </c>
      <c r="EM112" s="314"/>
      <c r="EN112" s="404">
        <f t="shared" si="384"/>
        <v>1.0333333333333334</v>
      </c>
      <c r="EO112" s="394"/>
      <c r="EP112" s="131">
        <f t="shared" si="371"/>
        <v>0</v>
      </c>
      <c r="EQ112" s="60"/>
      <c r="ER112" s="60"/>
      <c r="ES112" s="742"/>
      <c r="ET112" s="300"/>
      <c r="EU112" s="300"/>
      <c r="EV112" s="300"/>
      <c r="EW112" s="300"/>
      <c r="EX112" s="300"/>
      <c r="EY112" s="416">
        <f t="shared" si="344"/>
        <v>0</v>
      </c>
      <c r="EZ112" s="297"/>
      <c r="FA112" s="308"/>
      <c r="FB112" s="297"/>
      <c r="FC112" s="297"/>
      <c r="FD112" s="89">
        <f t="shared" ca="1" si="388"/>
        <v>44728</v>
      </c>
      <c r="FE112" s="63"/>
      <c r="FF112" s="63"/>
      <c r="FG112" s="63"/>
      <c r="FH112" s="63"/>
      <c r="FI112" s="63"/>
      <c r="FJ112" s="22"/>
      <c r="FK112" s="146">
        <f t="shared" si="381"/>
        <v>45508</v>
      </c>
      <c r="FL112" s="146"/>
      <c r="FM112" s="146"/>
      <c r="FN112" s="22"/>
      <c r="FO112" s="22"/>
      <c r="FP112" s="22"/>
      <c r="FQ112" s="22"/>
      <c r="FR112" s="22"/>
      <c r="FS112" s="22"/>
      <c r="FT112" s="22"/>
      <c r="FU112" s="22"/>
      <c r="FV112" s="22"/>
      <c r="FW112" s="22"/>
      <c r="FX112" s="22"/>
      <c r="FY112" s="22"/>
      <c r="FZ112" s="22"/>
      <c r="GA112" s="451"/>
      <c r="GB112" s="471">
        <f>GD112+GG112+GJ112+HF112+Tableau6[[#This Row],[PRÊT CREDIT D''IMPOT (PM)]]</f>
        <v>2867000</v>
      </c>
      <c r="GC112" s="645">
        <f t="shared" si="372"/>
        <v>2867000</v>
      </c>
      <c r="GD112" s="507">
        <f t="shared" si="379"/>
        <v>356000</v>
      </c>
      <c r="GE112" s="20" t="e">
        <f t="shared" si="373"/>
        <v>#DIV/0!</v>
      </c>
      <c r="GF112" s="20">
        <f t="shared" si="345"/>
        <v>50298.245614035084</v>
      </c>
      <c r="GG112" s="503">
        <v>587000</v>
      </c>
      <c r="GH112" s="351"/>
      <c r="GI112" s="20">
        <f t="shared" si="336"/>
        <v>10298.245614035088</v>
      </c>
      <c r="GJ112" s="503">
        <f t="shared" si="374"/>
        <v>1924000</v>
      </c>
      <c r="GK112" s="5">
        <v>1924000</v>
      </c>
      <c r="GL112" s="44"/>
      <c r="GM112" s="44"/>
      <c r="GN112" s="345">
        <f t="shared" si="376"/>
        <v>33754.385964912282</v>
      </c>
      <c r="GO112" s="35"/>
      <c r="GP112" s="35">
        <v>356000</v>
      </c>
      <c r="GQ112" s="35"/>
      <c r="GR112" s="18">
        <f t="shared" si="377"/>
        <v>0.12417160795256366</v>
      </c>
      <c r="GS112" s="35"/>
      <c r="GT112" s="35"/>
      <c r="GU112" s="35"/>
      <c r="GV112" s="20"/>
      <c r="GW112" s="20"/>
      <c r="GX112" s="569"/>
      <c r="GY112" s="569"/>
      <c r="GZ112" s="569"/>
      <c r="HA112" s="569"/>
      <c r="HB112" s="569"/>
      <c r="HC112" s="568"/>
      <c r="HD112" s="569"/>
      <c r="HE112" s="569"/>
      <c r="HF112" s="503"/>
      <c r="HG112" s="633"/>
      <c r="HH112" s="634"/>
      <c r="HI112" s="633"/>
      <c r="HJ112" s="633"/>
      <c r="HK112" s="634"/>
      <c r="HL112" s="633"/>
      <c r="HM112" s="633"/>
      <c r="HN112" s="633"/>
      <c r="HO112" s="633"/>
      <c r="HP112" s="563"/>
      <c r="HQ112" s="47"/>
      <c r="HR112" s="563"/>
      <c r="HS112" s="563">
        <f>SUM(Tableau6[[#This Row],[GO]:[CARRELAGE]])</f>
        <v>0</v>
      </c>
      <c r="HT112" s="461"/>
      <c r="HU112" s="461"/>
      <c r="HV112" s="461"/>
      <c r="HW112" s="461"/>
      <c r="HX112" s="461"/>
      <c r="HY112" s="461"/>
      <c r="HZ112" s="461"/>
      <c r="IA112" s="461"/>
      <c r="IB112" s="461"/>
      <c r="IC112" s="461"/>
      <c r="ID112" s="461"/>
      <c r="IE112" s="461"/>
      <c r="IF112" s="461"/>
      <c r="IG112" s="563"/>
      <c r="IH112" s="563"/>
      <c r="II112" s="563">
        <f>HP112+HR112+Tableau6[[#This Row],[TRAVAUX BATIS]]+Tableau6[[#This Row],[HONORAIRES]]+IH112</f>
        <v>0</v>
      </c>
      <c r="IJ112" s="654">
        <f>Tableau6[[#This Row],[TOTAL PRP HT]]-Tableau6[[#This Row],[PRP TTC HORS FRAFU]]/1.021</f>
        <v>-2808031.3418217436</v>
      </c>
      <c r="IK112" s="9"/>
      <c r="IL112" s="9"/>
      <c r="IM112" s="9"/>
      <c r="IN112" s="9"/>
      <c r="IO112" s="9"/>
      <c r="IP112" s="9"/>
      <c r="IQ112" s="9"/>
      <c r="IR112" s="9"/>
      <c r="IS112" s="9"/>
      <c r="IT112" s="9"/>
      <c r="IU112" s="9"/>
      <c r="IV112" s="9"/>
    </row>
    <row r="113" spans="1:256" ht="15" customHeight="1">
      <c r="A113" s="441" t="s">
        <v>817</v>
      </c>
      <c r="B113" s="23" t="s">
        <v>14</v>
      </c>
      <c r="C113" s="23" t="s">
        <v>86</v>
      </c>
      <c r="D113" s="22">
        <v>2021</v>
      </c>
      <c r="E113" s="23"/>
      <c r="F113" s="22" t="s">
        <v>834</v>
      </c>
      <c r="G113" s="22"/>
      <c r="H113" s="23"/>
      <c r="I113" s="22"/>
      <c r="J113" s="23"/>
      <c r="K113" s="102"/>
      <c r="L113" s="81"/>
      <c r="M113" s="82"/>
      <c r="N113" s="83"/>
      <c r="O113" s="108"/>
      <c r="P113" s="108"/>
      <c r="Q113" s="108"/>
      <c r="R113" s="103"/>
      <c r="S113" s="103"/>
      <c r="T113" s="109"/>
      <c r="U113" s="109"/>
      <c r="V113" s="109"/>
      <c r="W113" s="103"/>
      <c r="X113" s="110"/>
      <c r="Y113" s="447"/>
      <c r="Z113" s="110"/>
      <c r="AA113" s="104"/>
      <c r="AB113" s="105"/>
      <c r="AC113" s="23" t="s">
        <v>300</v>
      </c>
      <c r="AD113" s="426">
        <f t="shared" si="352"/>
        <v>40</v>
      </c>
      <c r="AE113" s="426"/>
      <c r="AF113" s="32"/>
      <c r="AG113" s="135"/>
      <c r="AH113" s="32"/>
      <c r="AI113" s="22">
        <v>40</v>
      </c>
      <c r="AJ113" s="26"/>
      <c r="AK113" s="222"/>
      <c r="AL113" s="492"/>
      <c r="AM113" s="4"/>
      <c r="AN113" s="26"/>
      <c r="AO113" s="26"/>
      <c r="AP113" s="26"/>
      <c r="AQ113" s="39"/>
      <c r="AR113" s="39"/>
      <c r="AS113" s="39"/>
      <c r="AT113" s="28"/>
      <c r="AU113" s="26"/>
      <c r="AV113" s="37"/>
      <c r="AW113" s="39"/>
      <c r="AX113" s="39"/>
      <c r="AY113" s="26"/>
      <c r="AZ113" s="22"/>
      <c r="BA113" s="22"/>
      <c r="BB113" s="57"/>
      <c r="BC113" s="586"/>
      <c r="BD113" s="587"/>
      <c r="BE113" s="588"/>
      <c r="BF113" s="122"/>
      <c r="BG113" s="122"/>
      <c r="BH113" s="22"/>
      <c r="BI113" s="22"/>
      <c r="BJ113" s="548"/>
      <c r="BK113" s="548"/>
      <c r="BL113" s="549"/>
      <c r="BM113" s="547"/>
      <c r="BN113" s="490"/>
      <c r="BO113" s="77"/>
      <c r="BP113" s="100"/>
      <c r="BQ113" s="536"/>
      <c r="BR113" s="529"/>
      <c r="BS113" s="77"/>
      <c r="BT113" s="77"/>
      <c r="BU113" s="151"/>
      <c r="BV113" s="150">
        <f t="shared" si="357"/>
        <v>1096</v>
      </c>
      <c r="BW113" s="373"/>
      <c r="BX113" s="150" t="str">
        <f>IF(Tableau6[[#This Row],[Montant des loyers perçus avant 1e échéance]]&lt;BW113,"oui","non")</f>
        <v>non</v>
      </c>
      <c r="BY113" s="475"/>
      <c r="BZ113" s="373"/>
      <c r="CA113" s="373">
        <f>IF(BW113-BZ113&lt;0,0,Tableau6[[#This Row],[Montant échéance annuelle]]-Tableau6[[#This Row],[Montant des loyers perçus avant 1e échéance]])</f>
        <v>0</v>
      </c>
      <c r="CB113" s="288"/>
      <c r="CC113" s="288"/>
      <c r="CD113" s="288"/>
      <c r="CE113" s="290"/>
      <c r="CF113" s="288"/>
      <c r="CG113" s="288"/>
      <c r="CH113" s="290"/>
      <c r="CI113" s="288"/>
      <c r="CJ113" s="288"/>
      <c r="CK113" s="290"/>
      <c r="CL113" s="291"/>
      <c r="CM113" s="288"/>
      <c r="CN113" s="290"/>
      <c r="CO113" s="288"/>
      <c r="CP113" s="288"/>
      <c r="CQ113" s="290"/>
      <c r="CR113" s="22"/>
      <c r="CS113" s="289"/>
      <c r="CT113" s="277"/>
      <c r="CU113" s="278"/>
      <c r="CV113" s="279"/>
      <c r="CW113" s="431"/>
      <c r="CX113" s="382">
        <v>44746</v>
      </c>
      <c r="CY113" s="429"/>
      <c r="CZ113" s="231">
        <f t="shared" si="382"/>
        <v>1491.5333333333333</v>
      </c>
      <c r="DA113" s="279" t="str">
        <f t="shared" si="361"/>
        <v>0</v>
      </c>
      <c r="DB113" s="383">
        <v>12</v>
      </c>
      <c r="DC113" s="127">
        <f t="shared" si="362"/>
        <v>13</v>
      </c>
      <c r="DD113" s="277"/>
      <c r="DE113" s="282">
        <f t="shared" ca="1" si="385"/>
        <v>43998</v>
      </c>
      <c r="DF113" s="279" t="str">
        <f t="shared" ca="1" si="386"/>
        <v>0</v>
      </c>
      <c r="DG113" s="277"/>
      <c r="DH113" s="295">
        <f t="shared" ca="1" si="326"/>
        <v>43998</v>
      </c>
      <c r="DI113" s="280" t="str">
        <f t="shared" ca="1" si="364"/>
        <v>0</v>
      </c>
      <c r="DJ113" s="281"/>
      <c r="DK113" s="295">
        <f t="shared" ca="1" si="320"/>
        <v>43998</v>
      </c>
      <c r="DL113" s="279" t="str">
        <f t="shared" ca="1" si="335"/>
        <v>0</v>
      </c>
      <c r="DM113" s="282">
        <v>43538</v>
      </c>
      <c r="DN113" s="282">
        <f t="shared" ca="1" si="323"/>
        <v>43998</v>
      </c>
      <c r="DO113" s="279">
        <f t="shared" ca="1" si="365"/>
        <v>460</v>
      </c>
      <c r="DP113" s="283"/>
      <c r="DQ113" s="283"/>
      <c r="DR113" s="279" t="str">
        <f t="shared" si="366"/>
        <v>0</v>
      </c>
      <c r="DS113" s="282"/>
      <c r="DT113" s="282">
        <f t="shared" ca="1" si="318"/>
        <v>43998</v>
      </c>
      <c r="DU113" s="279" t="str">
        <f t="shared" ca="1" si="367"/>
        <v>0</v>
      </c>
      <c r="DV113" s="282">
        <v>43615</v>
      </c>
      <c r="DW113" s="282">
        <f t="shared" ca="1" si="324"/>
        <v>43998</v>
      </c>
      <c r="DX113" s="279">
        <f t="shared" ca="1" si="368"/>
        <v>383</v>
      </c>
      <c r="DY113" s="283"/>
      <c r="DZ113" s="283"/>
      <c r="EA113" s="283"/>
      <c r="EB113" s="410">
        <f t="shared" si="369"/>
        <v>45111</v>
      </c>
      <c r="EC113" s="409">
        <f>DATE(YEAR(EB113),MONTH(EB113)+1,DAY(EB113))</f>
        <v>45142</v>
      </c>
      <c r="ED113" s="406">
        <f t="shared" si="370"/>
        <v>1.0333333333333334</v>
      </c>
      <c r="EE113" s="505">
        <f t="shared" ca="1" si="343"/>
        <v>38.133333333333333</v>
      </c>
      <c r="EF113" s="409">
        <f t="shared" ref="EF113:EF144" ca="1" si="389">DATE(YEAR(DH113)+2,MONTH(DH113),DAY(DH113))</f>
        <v>44728</v>
      </c>
      <c r="EG113" s="457"/>
      <c r="EH113" s="448"/>
      <c r="EI113" s="458">
        <f t="shared" si="380"/>
        <v>45266</v>
      </c>
      <c r="EJ113" s="242"/>
      <c r="EK113" s="456">
        <f t="shared" si="387"/>
        <v>45142</v>
      </c>
      <c r="EL113" s="409">
        <f t="shared" si="383"/>
        <v>45173</v>
      </c>
      <c r="EM113" s="314"/>
      <c r="EN113" s="404">
        <f t="shared" si="384"/>
        <v>1.0333333333333334</v>
      </c>
      <c r="EO113" s="394"/>
      <c r="EP113" s="131">
        <f t="shared" si="371"/>
        <v>0</v>
      </c>
      <c r="EQ113" s="60"/>
      <c r="ER113" s="60"/>
      <c r="ES113" s="742"/>
      <c r="ET113" s="300"/>
      <c r="EU113" s="300"/>
      <c r="EV113" s="300"/>
      <c r="EW113" s="300"/>
      <c r="EX113" s="300"/>
      <c r="EY113" s="416">
        <f t="shared" si="344"/>
        <v>0</v>
      </c>
      <c r="EZ113" s="297"/>
      <c r="FA113" s="308"/>
      <c r="FB113" s="297"/>
      <c r="FC113" s="297"/>
      <c r="FD113" s="89">
        <f t="shared" ca="1" si="388"/>
        <v>44728</v>
      </c>
      <c r="FE113" s="63"/>
      <c r="FF113" s="63"/>
      <c r="FG113" s="63"/>
      <c r="FH113" s="63"/>
      <c r="FI113" s="63"/>
      <c r="FJ113" s="22"/>
      <c r="FK113" s="146">
        <f t="shared" si="381"/>
        <v>45508</v>
      </c>
      <c r="FL113" s="146"/>
      <c r="FM113" s="146"/>
      <c r="FN113" s="22"/>
      <c r="FO113" s="22"/>
      <c r="FP113" s="22"/>
      <c r="FQ113" s="22"/>
      <c r="FR113" s="22"/>
      <c r="FS113" s="22"/>
      <c r="FT113" s="22"/>
      <c r="FU113" s="22"/>
      <c r="FV113" s="22"/>
      <c r="FW113" s="22"/>
      <c r="FX113" s="22"/>
      <c r="FY113" s="22"/>
      <c r="FZ113" s="22"/>
      <c r="GA113" s="451"/>
      <c r="GB113" s="471">
        <f>GD113+GG113+GJ113+HF113+Tableau6[[#This Row],[PRÊT CREDIT D''IMPOT (PM)]]</f>
        <v>1600000</v>
      </c>
      <c r="GC113" s="645">
        <f t="shared" si="372"/>
        <v>1600000</v>
      </c>
      <c r="GD113" s="507">
        <f t="shared" si="379"/>
        <v>250000</v>
      </c>
      <c r="GE113" s="20" t="e">
        <f t="shared" si="373"/>
        <v>#DIV/0!</v>
      </c>
      <c r="GF113" s="20">
        <f t="shared" si="345"/>
        <v>40000</v>
      </c>
      <c r="GG113" s="503"/>
      <c r="GH113" s="351"/>
      <c r="GI113" s="20">
        <f t="shared" si="336"/>
        <v>0</v>
      </c>
      <c r="GJ113" s="503">
        <f t="shared" si="374"/>
        <v>1350000</v>
      </c>
      <c r="GK113" s="5">
        <v>1350000</v>
      </c>
      <c r="GL113" s="44"/>
      <c r="GM113" s="44"/>
      <c r="GN113" s="345">
        <f t="shared" si="376"/>
        <v>33750</v>
      </c>
      <c r="GO113" s="35"/>
      <c r="GP113" s="35">
        <v>250000</v>
      </c>
      <c r="GQ113" s="35"/>
      <c r="GR113" s="18">
        <f t="shared" si="377"/>
        <v>0.15625</v>
      </c>
      <c r="GS113" s="35"/>
      <c r="GT113" s="35"/>
      <c r="GU113" s="35"/>
      <c r="GV113" s="20"/>
      <c r="GW113" s="20"/>
      <c r="GX113" s="569"/>
      <c r="GY113" s="569"/>
      <c r="GZ113" s="569"/>
      <c r="HA113" s="569"/>
      <c r="HB113" s="569"/>
      <c r="HC113" s="568"/>
      <c r="HD113" s="569"/>
      <c r="HE113" s="569"/>
      <c r="HF113" s="503"/>
      <c r="HG113" s="633"/>
      <c r="HH113" s="634"/>
      <c r="HI113" s="633"/>
      <c r="HJ113" s="633"/>
      <c r="HK113" s="634"/>
      <c r="HL113" s="633"/>
      <c r="HM113" s="633"/>
      <c r="HN113" s="633"/>
      <c r="HO113" s="633"/>
      <c r="HP113" s="563"/>
      <c r="HQ113" s="47"/>
      <c r="HR113" s="563"/>
      <c r="HS113" s="563">
        <f>SUM(Tableau6[[#This Row],[GO]:[CARRELAGE]])</f>
        <v>0</v>
      </c>
      <c r="HT113" s="461"/>
      <c r="HU113" s="461"/>
      <c r="HV113" s="461"/>
      <c r="HW113" s="461"/>
      <c r="HX113" s="461"/>
      <c r="HY113" s="461"/>
      <c r="HZ113" s="461"/>
      <c r="IA113" s="461"/>
      <c r="IB113" s="461"/>
      <c r="IC113" s="461"/>
      <c r="ID113" s="461"/>
      <c r="IE113" s="461"/>
      <c r="IF113" s="461"/>
      <c r="IG113" s="563"/>
      <c r="IH113" s="563"/>
      <c r="II113" s="563">
        <f>HP113+HR113+Tableau6[[#This Row],[TRAVAUX BATIS]]+Tableau6[[#This Row],[HONORAIRES]]+IH113</f>
        <v>0</v>
      </c>
      <c r="IJ113" s="654">
        <f>Tableau6[[#This Row],[TOTAL PRP HT]]-Tableau6[[#This Row],[PRP TTC HORS FRAFU]]/1.021</f>
        <v>-1567091.0871694419</v>
      </c>
      <c r="IK113" s="9"/>
      <c r="IL113" s="9"/>
      <c r="IM113" s="9"/>
      <c r="IN113" s="9"/>
      <c r="IO113" s="9"/>
      <c r="IP113" s="9"/>
      <c r="IQ113" s="9"/>
      <c r="IR113" s="9"/>
      <c r="IS113" s="9"/>
      <c r="IT113" s="9"/>
      <c r="IU113" s="9"/>
      <c r="IV113" s="9"/>
    </row>
    <row r="114" spans="1:256" ht="15" customHeight="1">
      <c r="A114" s="441" t="s">
        <v>820</v>
      </c>
      <c r="B114" s="23" t="s">
        <v>189</v>
      </c>
      <c r="C114" s="23" t="s">
        <v>88</v>
      </c>
      <c r="D114" s="22">
        <v>2021</v>
      </c>
      <c r="E114" s="23"/>
      <c r="F114" s="22" t="s">
        <v>834</v>
      </c>
      <c r="G114" s="22"/>
      <c r="H114" s="23"/>
      <c r="I114" s="22"/>
      <c r="J114" s="23"/>
      <c r="K114" s="102"/>
      <c r="L114" s="81"/>
      <c r="M114" s="82"/>
      <c r="N114" s="83"/>
      <c r="O114" s="108"/>
      <c r="P114" s="108"/>
      <c r="Q114" s="108"/>
      <c r="R114" s="103"/>
      <c r="S114" s="103"/>
      <c r="T114" s="109"/>
      <c r="U114" s="109"/>
      <c r="V114" s="109"/>
      <c r="W114" s="103"/>
      <c r="X114" s="110"/>
      <c r="Y114" s="447"/>
      <c r="Z114" s="110"/>
      <c r="AA114" s="104"/>
      <c r="AB114" s="105"/>
      <c r="AC114" s="23" t="s">
        <v>300</v>
      </c>
      <c r="AD114" s="426">
        <f t="shared" si="352"/>
        <v>10</v>
      </c>
      <c r="AE114" s="426"/>
      <c r="AF114" s="32"/>
      <c r="AG114" s="135"/>
      <c r="AH114" s="32"/>
      <c r="AI114" s="22">
        <v>10</v>
      </c>
      <c r="AJ114" s="26"/>
      <c r="AK114" s="222"/>
      <c r="AL114" s="492"/>
      <c r="AM114" s="4"/>
      <c r="AN114" s="26"/>
      <c r="AO114" s="26"/>
      <c r="AP114" s="26"/>
      <c r="AQ114" s="39"/>
      <c r="AR114" s="39"/>
      <c r="AS114" s="39"/>
      <c r="AT114" s="28"/>
      <c r="AU114" s="26"/>
      <c r="AV114" s="37"/>
      <c r="AW114" s="39"/>
      <c r="AX114" s="39"/>
      <c r="AY114" s="26"/>
      <c r="AZ114" s="22"/>
      <c r="BA114" s="22"/>
      <c r="BB114" s="57"/>
      <c r="BC114" s="586"/>
      <c r="BD114" s="587"/>
      <c r="BE114" s="588"/>
      <c r="BF114" s="122"/>
      <c r="BG114" s="122"/>
      <c r="BH114" s="22"/>
      <c r="BI114" s="22"/>
      <c r="BJ114" s="548"/>
      <c r="BK114" s="548"/>
      <c r="BL114" s="549"/>
      <c r="BM114" s="547"/>
      <c r="BN114" s="490"/>
      <c r="BO114" s="77"/>
      <c r="BP114" s="100"/>
      <c r="BQ114" s="536"/>
      <c r="BR114" s="529"/>
      <c r="BS114" s="77"/>
      <c r="BT114" s="77"/>
      <c r="BU114" s="151"/>
      <c r="BV114" s="150">
        <f t="shared" si="357"/>
        <v>1096</v>
      </c>
      <c r="BW114" s="373"/>
      <c r="BX114" s="150" t="str">
        <f>IF(Tableau6[[#This Row],[Montant des loyers perçus avant 1e échéance]]&lt;BW114,"oui","non")</f>
        <v>non</v>
      </c>
      <c r="BY114" s="475"/>
      <c r="BZ114" s="373"/>
      <c r="CA114" s="373">
        <f>IF(BW114-BZ114&lt;0,0,Tableau6[[#This Row],[Montant échéance annuelle]]-Tableau6[[#This Row],[Montant des loyers perçus avant 1e échéance]])</f>
        <v>0</v>
      </c>
      <c r="CB114" s="288"/>
      <c r="CC114" s="288"/>
      <c r="CD114" s="288"/>
      <c r="CE114" s="290"/>
      <c r="CF114" s="288"/>
      <c r="CG114" s="288"/>
      <c r="CH114" s="290"/>
      <c r="CI114" s="288"/>
      <c r="CJ114" s="288"/>
      <c r="CK114" s="290"/>
      <c r="CL114" s="291"/>
      <c r="CM114" s="288"/>
      <c r="CN114" s="290"/>
      <c r="CO114" s="288"/>
      <c r="CP114" s="288"/>
      <c r="CQ114" s="290"/>
      <c r="CR114" s="22"/>
      <c r="CS114" s="289"/>
      <c r="CT114" s="277"/>
      <c r="CU114" s="278"/>
      <c r="CV114" s="279"/>
      <c r="CW114" s="431"/>
      <c r="CX114" s="382">
        <v>44746</v>
      </c>
      <c r="CY114" s="429"/>
      <c r="CZ114" s="231">
        <f t="shared" si="382"/>
        <v>1491.5333333333333</v>
      </c>
      <c r="DA114" s="279" t="str">
        <f t="shared" si="361"/>
        <v>0</v>
      </c>
      <c r="DB114" s="383">
        <v>12</v>
      </c>
      <c r="DC114" s="127">
        <f t="shared" si="362"/>
        <v>13</v>
      </c>
      <c r="DD114" s="277"/>
      <c r="DE114" s="282">
        <f t="shared" ca="1" si="385"/>
        <v>43998</v>
      </c>
      <c r="DF114" s="279" t="str">
        <f t="shared" ca="1" si="386"/>
        <v>0</v>
      </c>
      <c r="DG114" s="277"/>
      <c r="DH114" s="295">
        <f t="shared" ca="1" si="326"/>
        <v>43998</v>
      </c>
      <c r="DI114" s="280" t="str">
        <f t="shared" ca="1" si="364"/>
        <v>0</v>
      </c>
      <c r="DJ114" s="281"/>
      <c r="DK114" s="295">
        <f t="shared" ca="1" si="320"/>
        <v>43998</v>
      </c>
      <c r="DL114" s="279" t="str">
        <f t="shared" ca="1" si="335"/>
        <v>0</v>
      </c>
      <c r="DM114" s="282">
        <v>43541</v>
      </c>
      <c r="DN114" s="282">
        <f t="shared" ca="1" si="323"/>
        <v>43998</v>
      </c>
      <c r="DO114" s="279">
        <f t="shared" ca="1" si="365"/>
        <v>457</v>
      </c>
      <c r="DP114" s="283"/>
      <c r="DQ114" s="283"/>
      <c r="DR114" s="279" t="str">
        <f t="shared" si="366"/>
        <v>0</v>
      </c>
      <c r="DS114" s="282"/>
      <c r="DT114" s="282">
        <f t="shared" ca="1" si="318"/>
        <v>43998</v>
      </c>
      <c r="DU114" s="279" t="str">
        <f t="shared" ca="1" si="367"/>
        <v>0</v>
      </c>
      <c r="DV114" s="282">
        <v>43618</v>
      </c>
      <c r="DW114" s="282">
        <f t="shared" ca="1" si="324"/>
        <v>43998</v>
      </c>
      <c r="DX114" s="279">
        <f t="shared" ca="1" si="368"/>
        <v>380</v>
      </c>
      <c r="DY114" s="283"/>
      <c r="DZ114" s="283"/>
      <c r="EA114" s="283"/>
      <c r="EB114" s="410">
        <f t="shared" si="369"/>
        <v>45111</v>
      </c>
      <c r="EC114" s="409">
        <f>DATE(YEAR(EB114),MONTH(EB114)+1,DAY(EB114))</f>
        <v>45142</v>
      </c>
      <c r="ED114" s="406">
        <f t="shared" si="370"/>
        <v>1.0333333333333334</v>
      </c>
      <c r="EE114" s="505">
        <f t="shared" ca="1" si="343"/>
        <v>38.133333333333333</v>
      </c>
      <c r="EF114" s="409">
        <f t="shared" ca="1" si="389"/>
        <v>44728</v>
      </c>
      <c r="EG114" s="457"/>
      <c r="EH114" s="448"/>
      <c r="EI114" s="458">
        <f t="shared" si="380"/>
        <v>45266</v>
      </c>
      <c r="EJ114" s="242"/>
      <c r="EK114" s="456">
        <f t="shared" si="387"/>
        <v>45142</v>
      </c>
      <c r="EL114" s="409">
        <f t="shared" si="383"/>
        <v>45173</v>
      </c>
      <c r="EM114" s="314"/>
      <c r="EN114" s="404">
        <f t="shared" si="384"/>
        <v>1.0333333333333334</v>
      </c>
      <c r="EO114" s="394"/>
      <c r="EP114" s="131">
        <f t="shared" si="371"/>
        <v>0</v>
      </c>
      <c r="EQ114" s="60"/>
      <c r="ER114" s="60"/>
      <c r="ES114" s="742"/>
      <c r="ET114" s="300"/>
      <c r="EU114" s="300"/>
      <c r="EV114" s="300"/>
      <c r="EW114" s="300"/>
      <c r="EX114" s="300"/>
      <c r="EY114" s="416">
        <f t="shared" si="344"/>
        <v>0</v>
      </c>
      <c r="EZ114" s="297"/>
      <c r="FA114" s="308"/>
      <c r="FB114" s="297"/>
      <c r="FC114" s="297"/>
      <c r="FD114" s="89">
        <f t="shared" ca="1" si="388"/>
        <v>44728</v>
      </c>
      <c r="FE114" s="63"/>
      <c r="FF114" s="63"/>
      <c r="FG114" s="63"/>
      <c r="FH114" s="63"/>
      <c r="FI114" s="63"/>
      <c r="FJ114" s="22"/>
      <c r="FK114" s="146">
        <f t="shared" si="381"/>
        <v>45508</v>
      </c>
      <c r="FL114" s="146"/>
      <c r="FM114" s="146"/>
      <c r="FN114" s="22"/>
      <c r="FO114" s="22"/>
      <c r="FP114" s="22"/>
      <c r="FQ114" s="22"/>
      <c r="FR114" s="22"/>
      <c r="FS114" s="22"/>
      <c r="FT114" s="22"/>
      <c r="FU114" s="22"/>
      <c r="FV114" s="22"/>
      <c r="FW114" s="22"/>
      <c r="FX114" s="22"/>
      <c r="FY114" s="22"/>
      <c r="FZ114" s="22"/>
      <c r="GA114" s="451"/>
      <c r="GB114" s="471">
        <f>GD114+GG114+GJ114+HF114+Tableau6[[#This Row],[PRÊT CREDIT D''IMPOT (PM)]]</f>
        <v>550000</v>
      </c>
      <c r="GC114" s="645">
        <f t="shared" si="372"/>
        <v>550000</v>
      </c>
      <c r="GD114" s="507">
        <f t="shared" si="379"/>
        <v>130000</v>
      </c>
      <c r="GE114" s="20" t="e">
        <f t="shared" si="373"/>
        <v>#DIV/0!</v>
      </c>
      <c r="GF114" s="20">
        <f t="shared" si="345"/>
        <v>55000</v>
      </c>
      <c r="GG114" s="503"/>
      <c r="GH114" s="351"/>
      <c r="GI114" s="20">
        <f t="shared" si="336"/>
        <v>0</v>
      </c>
      <c r="GJ114" s="503">
        <f t="shared" si="374"/>
        <v>420000</v>
      </c>
      <c r="GK114" s="5">
        <v>420000</v>
      </c>
      <c r="GL114" s="44"/>
      <c r="GM114" s="44"/>
      <c r="GN114" s="345">
        <f t="shared" si="376"/>
        <v>42000</v>
      </c>
      <c r="GO114" s="35"/>
      <c r="GP114" s="35">
        <v>130000</v>
      </c>
      <c r="GQ114" s="35"/>
      <c r="GR114" s="18">
        <f t="shared" si="377"/>
        <v>0.23636363636363636</v>
      </c>
      <c r="GS114" s="35"/>
      <c r="GT114" s="35"/>
      <c r="GU114" s="35"/>
      <c r="GV114" s="20"/>
      <c r="GW114" s="20"/>
      <c r="GX114" s="569"/>
      <c r="GY114" s="569"/>
      <c r="GZ114" s="567"/>
      <c r="HA114" s="569"/>
      <c r="HB114" s="569"/>
      <c r="HC114" s="568"/>
      <c r="HD114" s="569"/>
      <c r="HE114" s="569"/>
      <c r="HF114" s="503"/>
      <c r="HG114" s="633"/>
      <c r="HH114" s="634"/>
      <c r="HI114" s="633"/>
      <c r="HJ114" s="633"/>
      <c r="HK114" s="634"/>
      <c r="HL114" s="633"/>
      <c r="HM114" s="633"/>
      <c r="HN114" s="633"/>
      <c r="HO114" s="633"/>
      <c r="HP114" s="563"/>
      <c r="HQ114" s="47"/>
      <c r="HR114" s="563"/>
      <c r="HS114" s="563">
        <f>SUM(Tableau6[[#This Row],[GO]:[CARRELAGE]])</f>
        <v>0</v>
      </c>
      <c r="HT114" s="461"/>
      <c r="HU114" s="461"/>
      <c r="HV114" s="461"/>
      <c r="HW114" s="461"/>
      <c r="HX114" s="461"/>
      <c r="HY114" s="461"/>
      <c r="HZ114" s="461"/>
      <c r="IA114" s="461"/>
      <c r="IB114" s="461"/>
      <c r="IC114" s="461"/>
      <c r="ID114" s="461"/>
      <c r="IE114" s="461"/>
      <c r="IF114" s="461"/>
      <c r="IG114" s="563"/>
      <c r="IH114" s="563"/>
      <c r="II114" s="563">
        <f>HP114+HR114+Tableau6[[#This Row],[TRAVAUX BATIS]]+Tableau6[[#This Row],[HONORAIRES]]+IH114</f>
        <v>0</v>
      </c>
      <c r="IJ114" s="654">
        <f>Tableau6[[#This Row],[TOTAL PRP HT]]-Tableau6[[#This Row],[PRP TTC HORS FRAFU]]/1.021</f>
        <v>-538687.56121449568</v>
      </c>
      <c r="IK114" s="9"/>
      <c r="IL114" s="9"/>
      <c r="IM114" s="9"/>
      <c r="IN114" s="9"/>
      <c r="IO114" s="9"/>
      <c r="IP114" s="9"/>
      <c r="IQ114" s="9"/>
      <c r="IR114" s="9"/>
      <c r="IS114" s="9"/>
      <c r="IT114" s="9"/>
      <c r="IU114" s="9"/>
      <c r="IV114" s="9"/>
    </row>
    <row r="115" spans="1:256" ht="15" customHeight="1">
      <c r="A115" s="441" t="s">
        <v>816</v>
      </c>
      <c r="B115" s="23" t="s">
        <v>14</v>
      </c>
      <c r="C115" s="23" t="s">
        <v>86</v>
      </c>
      <c r="D115" s="22">
        <v>2021</v>
      </c>
      <c r="E115" s="23"/>
      <c r="F115" s="22" t="s">
        <v>834</v>
      </c>
      <c r="G115" s="22"/>
      <c r="H115" s="23"/>
      <c r="I115" s="22"/>
      <c r="J115" s="23"/>
      <c r="K115" s="102"/>
      <c r="L115" s="81"/>
      <c r="M115" s="82"/>
      <c r="N115" s="83"/>
      <c r="O115" s="108"/>
      <c r="P115" s="108"/>
      <c r="Q115" s="108"/>
      <c r="R115" s="103"/>
      <c r="S115" s="103"/>
      <c r="T115" s="109"/>
      <c r="U115" s="109"/>
      <c r="V115" s="109"/>
      <c r="W115" s="103"/>
      <c r="X115" s="110"/>
      <c r="Y115" s="447"/>
      <c r="Z115" s="110"/>
      <c r="AA115" s="104"/>
      <c r="AB115" s="105"/>
      <c r="AC115" s="23" t="s">
        <v>300</v>
      </c>
      <c r="AD115" s="426">
        <f t="shared" si="352"/>
        <v>36</v>
      </c>
      <c r="AE115" s="426"/>
      <c r="AF115" s="32"/>
      <c r="AG115" s="135"/>
      <c r="AH115" s="32"/>
      <c r="AI115" s="22">
        <v>36</v>
      </c>
      <c r="AJ115" s="26"/>
      <c r="AK115" s="222"/>
      <c r="AL115" s="492"/>
      <c r="AM115" s="4"/>
      <c r="AN115" s="26"/>
      <c r="AO115" s="26"/>
      <c r="AP115" s="26"/>
      <c r="AQ115" s="39"/>
      <c r="AR115" s="39"/>
      <c r="AS115" s="39"/>
      <c r="AT115" s="28"/>
      <c r="AU115" s="26"/>
      <c r="AV115" s="37"/>
      <c r="AW115" s="39"/>
      <c r="AX115" s="39"/>
      <c r="AY115" s="26"/>
      <c r="AZ115" s="22"/>
      <c r="BA115" s="22"/>
      <c r="BB115" s="57"/>
      <c r="BC115" s="586"/>
      <c r="BD115" s="587"/>
      <c r="BE115" s="588"/>
      <c r="BF115" s="122"/>
      <c r="BG115" s="122"/>
      <c r="BH115" s="22"/>
      <c r="BI115" s="22"/>
      <c r="BJ115" s="548"/>
      <c r="BK115" s="548"/>
      <c r="BL115" s="549"/>
      <c r="BM115" s="547"/>
      <c r="BN115" s="490"/>
      <c r="BO115" s="77"/>
      <c r="BP115" s="100"/>
      <c r="BQ115" s="536"/>
      <c r="BR115" s="529"/>
      <c r="BS115" s="77"/>
      <c r="BT115" s="77"/>
      <c r="BU115" s="151"/>
      <c r="BV115" s="150">
        <f t="shared" si="357"/>
        <v>1096</v>
      </c>
      <c r="BW115" s="373"/>
      <c r="BX115" s="150" t="str">
        <f>IF(Tableau6[[#This Row],[Montant des loyers perçus avant 1e échéance]]&lt;BW115,"oui","non")</f>
        <v>non</v>
      </c>
      <c r="BY115" s="475"/>
      <c r="BZ115" s="373"/>
      <c r="CA115" s="373">
        <f>IF(BW115-BZ115&lt;0,0,Tableau6[[#This Row],[Montant échéance annuelle]]-Tableau6[[#This Row],[Montant des loyers perçus avant 1e échéance]])</f>
        <v>0</v>
      </c>
      <c r="CB115" s="288"/>
      <c r="CC115" s="288"/>
      <c r="CD115" s="288"/>
      <c r="CE115" s="290"/>
      <c r="CF115" s="288"/>
      <c r="CG115" s="288"/>
      <c r="CH115" s="290"/>
      <c r="CI115" s="288"/>
      <c r="CJ115" s="288"/>
      <c r="CK115" s="290"/>
      <c r="CL115" s="291"/>
      <c r="CM115" s="288"/>
      <c r="CN115" s="290"/>
      <c r="CO115" s="288"/>
      <c r="CP115" s="288"/>
      <c r="CQ115" s="290"/>
      <c r="CR115" s="22"/>
      <c r="CS115" s="289"/>
      <c r="CT115" s="277"/>
      <c r="CU115" s="278"/>
      <c r="CV115" s="279"/>
      <c r="CW115" s="431"/>
      <c r="CX115" s="382">
        <v>44746</v>
      </c>
      <c r="CY115" s="429"/>
      <c r="CZ115" s="231">
        <f t="shared" si="382"/>
        <v>1491.5333333333333</v>
      </c>
      <c r="DA115" s="279" t="str">
        <f t="shared" si="361"/>
        <v>0</v>
      </c>
      <c r="DB115" s="383">
        <v>12</v>
      </c>
      <c r="DC115" s="127">
        <f t="shared" si="362"/>
        <v>13</v>
      </c>
      <c r="DD115" s="277"/>
      <c r="DE115" s="282">
        <f t="shared" ca="1" si="385"/>
        <v>43998</v>
      </c>
      <c r="DF115" s="279" t="str">
        <f t="shared" ca="1" si="386"/>
        <v>0</v>
      </c>
      <c r="DG115" s="277"/>
      <c r="DH115" s="295">
        <f t="shared" ca="1" si="326"/>
        <v>43998</v>
      </c>
      <c r="DI115" s="280" t="str">
        <f t="shared" ca="1" si="364"/>
        <v>0</v>
      </c>
      <c r="DJ115" s="281"/>
      <c r="DK115" s="295">
        <f t="shared" ca="1" si="320"/>
        <v>43998</v>
      </c>
      <c r="DL115" s="279" t="str">
        <f t="shared" ca="1" si="335"/>
        <v>0</v>
      </c>
      <c r="DM115" s="282">
        <v>43537</v>
      </c>
      <c r="DN115" s="282">
        <f t="shared" ca="1" si="323"/>
        <v>43998</v>
      </c>
      <c r="DO115" s="279">
        <f t="shared" ca="1" si="365"/>
        <v>461</v>
      </c>
      <c r="DP115" s="283"/>
      <c r="DQ115" s="283"/>
      <c r="DR115" s="279" t="str">
        <f t="shared" si="366"/>
        <v>0</v>
      </c>
      <c r="DS115" s="282"/>
      <c r="DT115" s="282">
        <f t="shared" ca="1" si="318"/>
        <v>43998</v>
      </c>
      <c r="DU115" s="279" t="str">
        <f t="shared" ca="1" si="367"/>
        <v>0</v>
      </c>
      <c r="DV115" s="282">
        <v>43614</v>
      </c>
      <c r="DW115" s="282">
        <f t="shared" ca="1" si="324"/>
        <v>43998</v>
      </c>
      <c r="DX115" s="279">
        <f t="shared" ca="1" si="368"/>
        <v>384</v>
      </c>
      <c r="DY115" s="283"/>
      <c r="DZ115" s="283"/>
      <c r="EA115" s="283"/>
      <c r="EB115" s="410">
        <f t="shared" si="369"/>
        <v>45111</v>
      </c>
      <c r="EC115" s="409">
        <f>DATE(YEAR(EB115),MONTH(EB115)+1,DAY(EB115))</f>
        <v>45142</v>
      </c>
      <c r="ED115" s="406">
        <f t="shared" si="370"/>
        <v>1.0333333333333334</v>
      </c>
      <c r="EE115" s="505">
        <f t="shared" ca="1" si="343"/>
        <v>38.133333333333333</v>
      </c>
      <c r="EF115" s="409">
        <f t="shared" ca="1" si="389"/>
        <v>44728</v>
      </c>
      <c r="EG115" s="457"/>
      <c r="EH115" s="448"/>
      <c r="EI115" s="458">
        <f t="shared" si="380"/>
        <v>45266</v>
      </c>
      <c r="EJ115" s="242"/>
      <c r="EK115" s="456">
        <f t="shared" si="387"/>
        <v>45142</v>
      </c>
      <c r="EL115" s="409">
        <f t="shared" si="383"/>
        <v>45173</v>
      </c>
      <c r="EM115" s="314"/>
      <c r="EN115" s="404">
        <f t="shared" si="384"/>
        <v>1.0333333333333334</v>
      </c>
      <c r="EO115" s="394"/>
      <c r="EP115" s="131">
        <f t="shared" si="371"/>
        <v>0</v>
      </c>
      <c r="EQ115" s="60"/>
      <c r="ER115" s="60"/>
      <c r="ES115" s="742"/>
      <c r="ET115" s="300"/>
      <c r="EU115" s="300"/>
      <c r="EV115" s="300"/>
      <c r="EW115" s="300"/>
      <c r="EX115" s="300"/>
      <c r="EY115" s="416">
        <f t="shared" si="344"/>
        <v>0</v>
      </c>
      <c r="EZ115" s="297"/>
      <c r="FA115" s="308"/>
      <c r="FB115" s="297"/>
      <c r="FC115" s="297"/>
      <c r="FD115" s="89">
        <f t="shared" ca="1" si="388"/>
        <v>44728</v>
      </c>
      <c r="FE115" s="63"/>
      <c r="FF115" s="63"/>
      <c r="FG115" s="63"/>
      <c r="FH115" s="63"/>
      <c r="FI115" s="63"/>
      <c r="FJ115" s="22"/>
      <c r="FK115" s="146">
        <f t="shared" si="381"/>
        <v>45508</v>
      </c>
      <c r="FL115" s="146"/>
      <c r="FM115" s="146"/>
      <c r="FN115" s="22"/>
      <c r="FO115" s="22"/>
      <c r="FP115" s="22"/>
      <c r="FQ115" s="22"/>
      <c r="FR115" s="22"/>
      <c r="FS115" s="22"/>
      <c r="FT115" s="22"/>
      <c r="FU115" s="22"/>
      <c r="FV115" s="22"/>
      <c r="FW115" s="22"/>
      <c r="FX115" s="22"/>
      <c r="FY115" s="22"/>
      <c r="FZ115" s="22"/>
      <c r="GA115" s="451"/>
      <c r="GB115" s="471">
        <f>GD115+GG115+GJ115+HF115+Tableau6[[#This Row],[PRÊT CREDIT D''IMPOT (PM)]]</f>
        <v>1714000</v>
      </c>
      <c r="GC115" s="645">
        <f t="shared" si="372"/>
        <v>1714000</v>
      </c>
      <c r="GD115" s="507">
        <f t="shared" si="379"/>
        <v>225000</v>
      </c>
      <c r="GE115" s="20" t="e">
        <f t="shared" si="373"/>
        <v>#DIV/0!</v>
      </c>
      <c r="GF115" s="20">
        <f t="shared" si="345"/>
        <v>47611.111111111109</v>
      </c>
      <c r="GG115" s="503">
        <v>274000</v>
      </c>
      <c r="GH115" s="351"/>
      <c r="GI115" s="20">
        <f t="shared" si="336"/>
        <v>7611.1111111111113</v>
      </c>
      <c r="GJ115" s="503">
        <f t="shared" si="374"/>
        <v>1215000</v>
      </c>
      <c r="GK115" s="5">
        <v>1215000</v>
      </c>
      <c r="GL115" s="44"/>
      <c r="GM115" s="44"/>
      <c r="GN115" s="345">
        <f t="shared" si="376"/>
        <v>33750</v>
      </c>
      <c r="GO115" s="35"/>
      <c r="GP115" s="35">
        <v>225000</v>
      </c>
      <c r="GQ115" s="35"/>
      <c r="GR115" s="18">
        <f t="shared" si="377"/>
        <v>0.13127187864644108</v>
      </c>
      <c r="GS115" s="35"/>
      <c r="GT115" s="35"/>
      <c r="GU115" s="35"/>
      <c r="GV115" s="20"/>
      <c r="GW115" s="20"/>
      <c r="GX115" s="569"/>
      <c r="GY115" s="569"/>
      <c r="GZ115" s="569"/>
      <c r="HA115" s="569"/>
      <c r="HB115" s="569"/>
      <c r="HC115" s="568"/>
      <c r="HD115" s="569"/>
      <c r="HE115" s="569"/>
      <c r="HF115" s="503"/>
      <c r="HG115" s="633"/>
      <c r="HH115" s="634"/>
      <c r="HI115" s="633"/>
      <c r="HJ115" s="633"/>
      <c r="HK115" s="634"/>
      <c r="HL115" s="633"/>
      <c r="HM115" s="633"/>
      <c r="HN115" s="633"/>
      <c r="HO115" s="633"/>
      <c r="HP115" s="563"/>
      <c r="HQ115" s="47"/>
      <c r="HR115" s="563"/>
      <c r="HS115" s="563">
        <f>SUM(Tableau6[[#This Row],[GO]:[CARRELAGE]])</f>
        <v>0</v>
      </c>
      <c r="HT115" s="461"/>
      <c r="HU115" s="461"/>
      <c r="HV115" s="461"/>
      <c r="HW115" s="461"/>
      <c r="HX115" s="461"/>
      <c r="HY115" s="461"/>
      <c r="HZ115" s="461"/>
      <c r="IA115" s="461"/>
      <c r="IB115" s="461"/>
      <c r="IC115" s="461"/>
      <c r="ID115" s="461"/>
      <c r="IE115" s="461"/>
      <c r="IF115" s="461"/>
      <c r="IG115" s="563"/>
      <c r="IH115" s="563"/>
      <c r="II115" s="563">
        <f>HP115+HR115+Tableau6[[#This Row],[TRAVAUX BATIS]]+Tableau6[[#This Row],[HONORAIRES]]+IH115</f>
        <v>0</v>
      </c>
      <c r="IJ115" s="654">
        <f>Tableau6[[#This Row],[TOTAL PRP HT]]-Tableau6[[#This Row],[PRP TTC HORS FRAFU]]/1.021</f>
        <v>-1678746.3271302646</v>
      </c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</row>
    <row r="116" spans="1:256" ht="15" customHeight="1">
      <c r="A116" s="441" t="s">
        <v>819</v>
      </c>
      <c r="B116" s="23" t="s">
        <v>189</v>
      </c>
      <c r="C116" s="23" t="s">
        <v>88</v>
      </c>
      <c r="D116" s="22">
        <v>2021</v>
      </c>
      <c r="E116" s="23"/>
      <c r="F116" s="22" t="s">
        <v>834</v>
      </c>
      <c r="G116" s="22"/>
      <c r="H116" s="23"/>
      <c r="I116" s="22"/>
      <c r="J116" s="23"/>
      <c r="K116" s="102"/>
      <c r="L116" s="81"/>
      <c r="M116" s="82"/>
      <c r="N116" s="83"/>
      <c r="O116" s="108"/>
      <c r="P116" s="108"/>
      <c r="Q116" s="108"/>
      <c r="R116" s="103"/>
      <c r="S116" s="103"/>
      <c r="T116" s="109"/>
      <c r="U116" s="109"/>
      <c r="V116" s="109"/>
      <c r="W116" s="103"/>
      <c r="X116" s="110"/>
      <c r="Y116" s="447"/>
      <c r="Z116" s="110"/>
      <c r="AA116" s="104"/>
      <c r="AB116" s="105"/>
      <c r="AC116" s="23" t="s">
        <v>300</v>
      </c>
      <c r="AD116" s="426">
        <f t="shared" si="352"/>
        <v>29</v>
      </c>
      <c r="AE116" s="427"/>
      <c r="AF116" s="32"/>
      <c r="AG116" s="135"/>
      <c r="AH116" s="32"/>
      <c r="AI116" s="22">
        <v>29</v>
      </c>
      <c r="AJ116" s="26"/>
      <c r="AK116" s="222"/>
      <c r="AL116" s="492"/>
      <c r="AM116" s="26"/>
      <c r="AN116" s="26"/>
      <c r="AO116" s="26"/>
      <c r="AP116" s="26"/>
      <c r="AQ116" s="39"/>
      <c r="AR116" s="39"/>
      <c r="AS116" s="39"/>
      <c r="AT116" s="28"/>
      <c r="AU116" s="26"/>
      <c r="AV116" s="37"/>
      <c r="AW116" s="39"/>
      <c r="AX116" s="39"/>
      <c r="AY116" s="26"/>
      <c r="AZ116" s="25"/>
      <c r="BA116" s="22"/>
      <c r="BB116" s="57"/>
      <c r="BC116" s="586"/>
      <c r="BD116" s="587"/>
      <c r="BE116" s="588"/>
      <c r="BF116" s="122"/>
      <c r="BG116" s="122"/>
      <c r="BH116" s="22"/>
      <c r="BI116" s="22"/>
      <c r="BJ116" s="548"/>
      <c r="BK116" s="548"/>
      <c r="BL116" s="549"/>
      <c r="BM116" s="547"/>
      <c r="BN116" s="490"/>
      <c r="BO116" s="77"/>
      <c r="BP116" s="100"/>
      <c r="BQ116" s="536"/>
      <c r="BR116" s="529"/>
      <c r="BS116" s="77"/>
      <c r="BT116" s="77"/>
      <c r="BU116" s="151"/>
      <c r="BV116" s="150">
        <f t="shared" si="357"/>
        <v>1096</v>
      </c>
      <c r="BW116" s="373"/>
      <c r="BX116" s="150" t="str">
        <f>IF(Tableau6[[#This Row],[Montant des loyers perçus avant 1e échéance]]&lt;BW116,"oui","non")</f>
        <v>non</v>
      </c>
      <c r="BY116" s="475"/>
      <c r="BZ116" s="373"/>
      <c r="CA116" s="373">
        <f>IF(BW116-BZ116&lt;0,0,Tableau6[[#This Row],[Montant échéance annuelle]]-Tableau6[[#This Row],[Montant des loyers perçus avant 1e échéance]])</f>
        <v>0</v>
      </c>
      <c r="CB116" s="288"/>
      <c r="CC116" s="288"/>
      <c r="CD116" s="288"/>
      <c r="CE116" s="290"/>
      <c r="CF116" s="288"/>
      <c r="CG116" s="288"/>
      <c r="CH116" s="290"/>
      <c r="CI116" s="288"/>
      <c r="CJ116" s="288"/>
      <c r="CK116" s="290"/>
      <c r="CL116" s="291"/>
      <c r="CM116" s="288"/>
      <c r="CN116" s="290"/>
      <c r="CO116" s="288"/>
      <c r="CP116" s="288"/>
      <c r="CQ116" s="290"/>
      <c r="CR116" s="22"/>
      <c r="CS116" s="289"/>
      <c r="CT116" s="277"/>
      <c r="CU116" s="278"/>
      <c r="CV116" s="279"/>
      <c r="CW116" s="431"/>
      <c r="CX116" s="382">
        <v>44746</v>
      </c>
      <c r="CY116" s="429"/>
      <c r="CZ116" s="231">
        <f t="shared" si="382"/>
        <v>1491.5333333333333</v>
      </c>
      <c r="DA116" s="279" t="str">
        <f t="shared" si="361"/>
        <v>0</v>
      </c>
      <c r="DB116" s="383">
        <v>12</v>
      </c>
      <c r="DC116" s="127">
        <f t="shared" si="362"/>
        <v>13</v>
      </c>
      <c r="DD116" s="277"/>
      <c r="DE116" s="282">
        <f t="shared" ca="1" si="385"/>
        <v>43998</v>
      </c>
      <c r="DF116" s="279" t="str">
        <f t="shared" ca="1" si="386"/>
        <v>0</v>
      </c>
      <c r="DG116" s="277"/>
      <c r="DH116" s="295">
        <f t="shared" ca="1" si="326"/>
        <v>43998</v>
      </c>
      <c r="DI116" s="280" t="str">
        <f t="shared" ca="1" si="364"/>
        <v>0</v>
      </c>
      <c r="DJ116" s="281"/>
      <c r="DK116" s="295">
        <f t="shared" ca="1" si="320"/>
        <v>43998</v>
      </c>
      <c r="DL116" s="279" t="str">
        <f t="shared" ca="1" si="335"/>
        <v>0</v>
      </c>
      <c r="DM116" s="282">
        <v>43540</v>
      </c>
      <c r="DN116" s="282">
        <f t="shared" ca="1" si="323"/>
        <v>43998</v>
      </c>
      <c r="DO116" s="279">
        <f t="shared" ca="1" si="365"/>
        <v>458</v>
      </c>
      <c r="DP116" s="283"/>
      <c r="DQ116" s="283"/>
      <c r="DR116" s="279" t="str">
        <f t="shared" si="366"/>
        <v>0</v>
      </c>
      <c r="DS116" s="282"/>
      <c r="DT116" s="282">
        <f t="shared" ca="1" si="318"/>
        <v>43998</v>
      </c>
      <c r="DU116" s="279" t="str">
        <f t="shared" ca="1" si="367"/>
        <v>0</v>
      </c>
      <c r="DV116" s="282">
        <v>43617</v>
      </c>
      <c r="DW116" s="282">
        <f t="shared" ca="1" si="324"/>
        <v>43998</v>
      </c>
      <c r="DX116" s="279">
        <f t="shared" ca="1" si="368"/>
        <v>381</v>
      </c>
      <c r="DY116" s="283"/>
      <c r="DZ116" s="283"/>
      <c r="EA116" s="283"/>
      <c r="EB116" s="410">
        <f t="shared" si="369"/>
        <v>45111</v>
      </c>
      <c r="EC116" s="409">
        <f>DATE(YEAR(EB116),MONTH(EB116)+1,DAY(EB116))</f>
        <v>45142</v>
      </c>
      <c r="ED116" s="406">
        <f t="shared" si="370"/>
        <v>1.0333333333333334</v>
      </c>
      <c r="EE116" s="505">
        <f t="shared" ca="1" si="343"/>
        <v>38.133333333333333</v>
      </c>
      <c r="EF116" s="409">
        <f t="shared" ca="1" si="389"/>
        <v>44728</v>
      </c>
      <c r="EG116" s="457"/>
      <c r="EH116" s="448"/>
      <c r="EI116" s="458">
        <f t="shared" si="380"/>
        <v>45266</v>
      </c>
      <c r="EJ116" s="242"/>
      <c r="EK116" s="456">
        <f t="shared" si="387"/>
        <v>45142</v>
      </c>
      <c r="EL116" s="409">
        <f t="shared" si="383"/>
        <v>45173</v>
      </c>
      <c r="EM116" s="314"/>
      <c r="EN116" s="404">
        <f t="shared" si="384"/>
        <v>1.0333333333333334</v>
      </c>
      <c r="EO116" s="394"/>
      <c r="EP116" s="131">
        <f t="shared" si="371"/>
        <v>0</v>
      </c>
      <c r="EQ116" s="60"/>
      <c r="ER116" s="60"/>
      <c r="ES116" s="742"/>
      <c r="ET116" s="300"/>
      <c r="EU116" s="300"/>
      <c r="EV116" s="300"/>
      <c r="EW116" s="300"/>
      <c r="EX116" s="300"/>
      <c r="EY116" s="416">
        <f t="shared" si="344"/>
        <v>0</v>
      </c>
      <c r="EZ116" s="297"/>
      <c r="FA116" s="308"/>
      <c r="FB116" s="297"/>
      <c r="FC116" s="297"/>
      <c r="FD116" s="89">
        <f t="shared" ca="1" si="388"/>
        <v>44728</v>
      </c>
      <c r="FE116" s="63"/>
      <c r="FF116" s="63"/>
      <c r="FG116" s="63"/>
      <c r="FH116" s="63"/>
      <c r="FI116" s="63"/>
      <c r="FJ116" s="22"/>
      <c r="FK116" s="146">
        <f t="shared" si="381"/>
        <v>45508</v>
      </c>
      <c r="FL116" s="146"/>
      <c r="FM116" s="146"/>
      <c r="FN116" s="22"/>
      <c r="FO116" s="22"/>
      <c r="FP116" s="22"/>
      <c r="FQ116" s="22"/>
      <c r="FR116" s="22"/>
      <c r="FS116" s="22"/>
      <c r="FT116" s="22"/>
      <c r="FU116" s="22"/>
      <c r="FV116" s="22"/>
      <c r="FW116" s="22"/>
      <c r="FX116" s="22"/>
      <c r="FY116" s="22"/>
      <c r="FZ116" s="22"/>
      <c r="GA116" s="451"/>
      <c r="GB116" s="471">
        <f>GD116+GG116+GJ116+HF116+Tableau6[[#This Row],[PRÊT CREDIT D''IMPOT (PM)]]</f>
        <v>1160000</v>
      </c>
      <c r="GC116" s="645">
        <f t="shared" si="372"/>
        <v>1160000</v>
      </c>
      <c r="GD116" s="507">
        <f t="shared" si="379"/>
        <v>181000</v>
      </c>
      <c r="GE116" s="20" t="e">
        <f t="shared" si="373"/>
        <v>#DIV/0!</v>
      </c>
      <c r="GF116" s="20">
        <f t="shared" si="345"/>
        <v>40000</v>
      </c>
      <c r="GG116" s="503"/>
      <c r="GH116" s="351"/>
      <c r="GI116" s="20">
        <f t="shared" si="336"/>
        <v>0</v>
      </c>
      <c r="GJ116" s="503">
        <f t="shared" si="374"/>
        <v>979000</v>
      </c>
      <c r="GK116" s="5">
        <v>979000</v>
      </c>
      <c r="GL116" s="44"/>
      <c r="GM116" s="44"/>
      <c r="GN116" s="345">
        <f t="shared" si="376"/>
        <v>33758.620689655174</v>
      </c>
      <c r="GO116" s="35"/>
      <c r="GP116" s="35">
        <v>181000</v>
      </c>
      <c r="GQ116" s="35"/>
      <c r="GR116" s="18">
        <f t="shared" si="377"/>
        <v>0.1560344827586207</v>
      </c>
      <c r="GS116" s="35"/>
      <c r="GT116" s="35"/>
      <c r="GU116" s="35"/>
      <c r="GV116" s="20"/>
      <c r="GW116" s="20"/>
      <c r="GX116" s="569"/>
      <c r="GY116" s="569"/>
      <c r="GZ116" s="569"/>
      <c r="HA116" s="569"/>
      <c r="HB116" s="569"/>
      <c r="HC116" s="568"/>
      <c r="HD116" s="569"/>
      <c r="HE116" s="569"/>
      <c r="HF116" s="503"/>
      <c r="HG116" s="633"/>
      <c r="HH116" s="634"/>
      <c r="HI116" s="633"/>
      <c r="HJ116" s="633"/>
      <c r="HK116" s="634"/>
      <c r="HL116" s="633"/>
      <c r="HM116" s="633"/>
      <c r="HN116" s="633"/>
      <c r="HO116" s="633"/>
      <c r="HP116" s="563"/>
      <c r="HQ116" s="47"/>
      <c r="HR116" s="563"/>
      <c r="HS116" s="563">
        <f>SUM(Tableau6[[#This Row],[GO]:[CARRELAGE]])</f>
        <v>0</v>
      </c>
      <c r="HT116" s="461"/>
      <c r="HU116" s="461"/>
      <c r="HV116" s="461"/>
      <c r="HW116" s="461"/>
      <c r="HX116" s="461"/>
      <c r="HY116" s="461"/>
      <c r="HZ116" s="461"/>
      <c r="IA116" s="461"/>
      <c r="IB116" s="461"/>
      <c r="IC116" s="461"/>
      <c r="ID116" s="461"/>
      <c r="IE116" s="461"/>
      <c r="IF116" s="461"/>
      <c r="IG116" s="563"/>
      <c r="IH116" s="563"/>
      <c r="II116" s="563">
        <f>HP116+HR116+Tableau6[[#This Row],[TRAVAUX BATIS]]+Tableau6[[#This Row],[HONORAIRES]]+IH116</f>
        <v>0</v>
      </c>
      <c r="IJ116" s="654">
        <f>Tableau6[[#This Row],[TOTAL PRP HT]]-Tableau6[[#This Row],[PRP TTC HORS FRAFU]]/1.021</f>
        <v>-1136141.0381978455</v>
      </c>
      <c r="IK116" s="9"/>
      <c r="IL116" s="9"/>
      <c r="IM116" s="9"/>
      <c r="IN116" s="9"/>
      <c r="IO116" s="9"/>
      <c r="IP116" s="9"/>
      <c r="IQ116" s="9"/>
      <c r="IR116" s="9"/>
      <c r="IS116" s="9"/>
      <c r="IT116" s="9"/>
      <c r="IU116" s="9"/>
      <c r="IV116" s="9"/>
    </row>
    <row r="117" spans="1:256" ht="15" customHeight="1">
      <c r="A117" s="477" t="s">
        <v>431</v>
      </c>
      <c r="B117" s="22" t="s">
        <v>21</v>
      </c>
      <c r="C117" s="22" t="s">
        <v>86</v>
      </c>
      <c r="D117" s="22">
        <v>2021</v>
      </c>
      <c r="E117" s="22" t="s">
        <v>673</v>
      </c>
      <c r="F117" s="22" t="s">
        <v>40</v>
      </c>
      <c r="G117" s="22" t="s">
        <v>137</v>
      </c>
      <c r="H117" s="22" t="s">
        <v>135</v>
      </c>
      <c r="I117" s="22"/>
      <c r="J117" s="22" t="s">
        <v>432</v>
      </c>
      <c r="K117" s="134" t="s">
        <v>645</v>
      </c>
      <c r="L117" s="81"/>
      <c r="M117" s="82"/>
      <c r="N117" s="83"/>
      <c r="O117" s="103">
        <v>1043</v>
      </c>
      <c r="P117" s="103">
        <v>320000</v>
      </c>
      <c r="Q117" s="103">
        <v>320000</v>
      </c>
      <c r="R117" s="103">
        <f t="shared" ref="R117:R129" si="390">P117/AD117</f>
        <v>10322.58064516129</v>
      </c>
      <c r="S117" s="103">
        <f t="shared" ref="S117:S129" si="391">P117/O117</f>
        <v>306.80728667305851</v>
      </c>
      <c r="T117" s="109">
        <f t="shared" ref="T117:T129" si="392">Q117/O117</f>
        <v>306.80728667305851</v>
      </c>
      <c r="U117" s="109">
        <f>Q117/AK117</f>
        <v>113.24827915700811</v>
      </c>
      <c r="V117" s="109">
        <f t="shared" ref="V117:V129" si="393">Q117/AD117</f>
        <v>10322.58064516129</v>
      </c>
      <c r="W117" s="103">
        <f t="shared" ref="W117:W129" si="394">O117/AD117</f>
        <v>33.645161290322584</v>
      </c>
      <c r="X117" s="104"/>
      <c r="Y117" s="447">
        <f>10000*AD117/O117</f>
        <v>297.21955896452539</v>
      </c>
      <c r="Z117" s="104" t="s">
        <v>159</v>
      </c>
      <c r="AA117" s="104">
        <v>600</v>
      </c>
      <c r="AB117" s="105">
        <v>0.2</v>
      </c>
      <c r="AC117" s="23" t="s">
        <v>293</v>
      </c>
      <c r="AD117" s="426">
        <f t="shared" si="352"/>
        <v>31</v>
      </c>
      <c r="AE117" s="427">
        <f>AD117-AI117</f>
        <v>31</v>
      </c>
      <c r="AF117" s="32"/>
      <c r="AG117" s="32"/>
      <c r="AH117" s="22">
        <v>31</v>
      </c>
      <c r="AI117" s="32"/>
      <c r="AJ117" s="615">
        <v>2393.5700000000002</v>
      </c>
      <c r="AK117" s="222">
        <v>2825.65</v>
      </c>
      <c r="AL117" s="492">
        <f>AJ117/AD117</f>
        <v>77.211935483870974</v>
      </c>
      <c r="AM117" s="26">
        <f>AK117/AD117</f>
        <v>91.15</v>
      </c>
      <c r="AN117" s="26">
        <v>7.98</v>
      </c>
      <c r="AO117" s="26">
        <v>7.5</v>
      </c>
      <c r="AP117" s="26"/>
      <c r="AQ117" s="39"/>
      <c r="AR117" s="39"/>
      <c r="AS117" s="39">
        <f>25/AD117</f>
        <v>0.80645161290322576</v>
      </c>
      <c r="AT117" s="39">
        <f>6/AD117</f>
        <v>0.19354838709677419</v>
      </c>
      <c r="AU117" s="39"/>
      <c r="AV117" s="26"/>
      <c r="AW117" s="37" t="s">
        <v>129</v>
      </c>
      <c r="AX117" s="37" t="s">
        <v>129</v>
      </c>
      <c r="AY117" s="26"/>
      <c r="AZ117" s="22" t="s">
        <v>386</v>
      </c>
      <c r="BA117" s="22" t="s">
        <v>94</v>
      </c>
      <c r="BB117" s="118"/>
      <c r="BC117" s="22"/>
      <c r="BD117" s="332">
        <f>BB117/AK117</f>
        <v>0</v>
      </c>
      <c r="BE117" s="332"/>
      <c r="BF117" s="89" t="s">
        <v>831</v>
      </c>
      <c r="BG117" s="89"/>
      <c r="BH117" s="56">
        <v>43781</v>
      </c>
      <c r="BI117" s="22"/>
      <c r="BJ117" s="548"/>
      <c r="BK117" s="548"/>
      <c r="BL117" s="549"/>
      <c r="BM117" s="547">
        <f>(DATEDIF(BJ117,BK117,"d"))/30</f>
        <v>0</v>
      </c>
      <c r="BN117" s="490" t="s">
        <v>229</v>
      </c>
      <c r="BO117" s="77"/>
      <c r="BP117" s="100"/>
      <c r="BQ117" s="536">
        <f>(DATEDIF(BO117,BP117,"d"))/30</f>
        <v>0</v>
      </c>
      <c r="BR117" s="529"/>
      <c r="BS117" s="77"/>
      <c r="BT117" s="77"/>
      <c r="BU117" s="151"/>
      <c r="BV117" s="150">
        <f t="shared" si="357"/>
        <v>1096</v>
      </c>
      <c r="BW117" s="373"/>
      <c r="BX117" s="150" t="str">
        <f>IF(Tableau6[[#This Row],[Montant des loyers perçus avant 1e échéance]]&lt;BW117,"oui","non")</f>
        <v>non</v>
      </c>
      <c r="BY117" s="475">
        <f>(BV117-EL117)/30</f>
        <v>-1463</v>
      </c>
      <c r="BZ117" s="373">
        <f>IF((BY117*EO117)&lt;0,"0",BY117*EO117)</f>
        <v>0</v>
      </c>
      <c r="CA117" s="373">
        <f>IF(BW117-BZ117&lt;0,0,Tableau6[[#This Row],[Montant échéance annuelle]]-Tableau6[[#This Row],[Montant des loyers perçus avant 1e échéance]])</f>
        <v>0</v>
      </c>
      <c r="CB117" s="64">
        <v>43437</v>
      </c>
      <c r="CC117" s="64">
        <v>43453</v>
      </c>
      <c r="CD117" s="64">
        <v>43437</v>
      </c>
      <c r="CE117" s="273">
        <f>IF(AND(CC117&gt;0,CD117&gt;0),CD117-CC117,"0")</f>
        <v>-16</v>
      </c>
      <c r="CF117" s="64">
        <v>43614</v>
      </c>
      <c r="CG117" s="64">
        <v>43614</v>
      </c>
      <c r="CH117" s="273">
        <f>IF(AND(CF117&gt;0,CG117&gt;0),CG117-CF117,"0")</f>
        <v>0</v>
      </c>
      <c r="CI117" s="64">
        <v>43631</v>
      </c>
      <c r="CJ117" s="64">
        <v>43693</v>
      </c>
      <c r="CK117" s="273">
        <f>IF(AND(CI117&gt;0,CJ117&gt;0),CJ117-CI117,"0")</f>
        <v>62</v>
      </c>
      <c r="CL117" s="159">
        <v>43731</v>
      </c>
      <c r="CM117" s="159">
        <v>43853</v>
      </c>
      <c r="CN117" s="381">
        <f>IF(AND(CL117&gt;0,CM117&gt;0),CM117-CL117,"0")</f>
        <v>122</v>
      </c>
      <c r="CO117" s="288">
        <v>43766</v>
      </c>
      <c r="CP117" s="288">
        <f ca="1">IF(CO117&lt;TODAY(),TODAY(),CO117)</f>
        <v>43998</v>
      </c>
      <c r="CQ117" s="290">
        <f ca="1">IF(AND(CO117&gt;0,CP117&gt;0),CP117-CO117,"0")</f>
        <v>232</v>
      </c>
      <c r="CR117" s="237"/>
      <c r="CS117" s="288"/>
      <c r="CT117" s="277">
        <v>43808</v>
      </c>
      <c r="CU117" s="278"/>
      <c r="CV117" s="279" t="str">
        <f>IF(AND(CT117&gt;0,CU117&gt;0),CU117-CT117,"0")</f>
        <v>0</v>
      </c>
      <c r="CW117" s="431">
        <v>44378</v>
      </c>
      <c r="CX117" s="382">
        <v>44378</v>
      </c>
      <c r="CY117" s="178"/>
      <c r="CZ117" s="231">
        <f t="shared" si="382"/>
        <v>1479.2666666666667</v>
      </c>
      <c r="DA117" s="279">
        <f t="shared" si="361"/>
        <v>0</v>
      </c>
      <c r="DB117" s="383">
        <v>16</v>
      </c>
      <c r="DC117" s="127">
        <f t="shared" si="362"/>
        <v>19</v>
      </c>
      <c r="DD117" s="277"/>
      <c r="DE117" s="282">
        <f t="shared" ca="1" si="385"/>
        <v>43998</v>
      </c>
      <c r="DF117" s="279" t="str">
        <f t="shared" ca="1" si="386"/>
        <v>0</v>
      </c>
      <c r="DG117" s="277"/>
      <c r="DH117" s="295">
        <f t="shared" ca="1" si="326"/>
        <v>43998</v>
      </c>
      <c r="DI117" s="280" t="str">
        <f t="shared" ca="1" si="364"/>
        <v>0</v>
      </c>
      <c r="DJ117" s="281"/>
      <c r="DK117" s="295">
        <f t="shared" ca="1" si="320"/>
        <v>43998</v>
      </c>
      <c r="DL117" s="279" t="str">
        <f t="shared" ca="1" si="335"/>
        <v>0</v>
      </c>
      <c r="DM117" s="282"/>
      <c r="DN117" s="282">
        <f t="shared" ca="1" si="323"/>
        <v>43998</v>
      </c>
      <c r="DO117" s="279" t="str">
        <f t="shared" ca="1" si="365"/>
        <v>0</v>
      </c>
      <c r="DP117" s="283"/>
      <c r="DQ117" s="283"/>
      <c r="DR117" s="279" t="str">
        <f t="shared" si="366"/>
        <v>0</v>
      </c>
      <c r="DS117" s="282"/>
      <c r="DT117" s="282">
        <f t="shared" ca="1" si="318"/>
        <v>43998</v>
      </c>
      <c r="DU117" s="279" t="str">
        <f t="shared" ca="1" si="367"/>
        <v>0</v>
      </c>
      <c r="DV117" s="282"/>
      <c r="DW117" s="282">
        <f t="shared" ca="1" si="324"/>
        <v>43998</v>
      </c>
      <c r="DX117" s="279" t="str">
        <f t="shared" ca="1" si="368"/>
        <v>0</v>
      </c>
      <c r="DY117" s="282"/>
      <c r="DZ117" s="282"/>
      <c r="EA117" s="282"/>
      <c r="EB117" s="410">
        <f t="shared" si="369"/>
        <v>44866</v>
      </c>
      <c r="EC117" s="409">
        <f>DATE(YEAR(EB117),MONTH(EB117)+3,DAY(EB117))</f>
        <v>44958</v>
      </c>
      <c r="ED117" s="406">
        <f t="shared" si="370"/>
        <v>3.0666666666666669</v>
      </c>
      <c r="EE117" s="505">
        <f t="shared" ca="1" si="343"/>
        <v>32</v>
      </c>
      <c r="EF117" s="409">
        <f t="shared" ca="1" si="389"/>
        <v>44728</v>
      </c>
      <c r="EG117" s="457"/>
      <c r="EH117" s="448"/>
      <c r="EI117" s="458">
        <f t="shared" si="380"/>
        <v>45080</v>
      </c>
      <c r="EJ117" s="242"/>
      <c r="EK117" s="456">
        <f t="shared" si="387"/>
        <v>44896</v>
      </c>
      <c r="EL117" s="409">
        <f t="shared" si="383"/>
        <v>44986</v>
      </c>
      <c r="EM117" s="314"/>
      <c r="EN117" s="404">
        <f t="shared" si="384"/>
        <v>3</v>
      </c>
      <c r="EO117" s="394"/>
      <c r="EP117" s="131">
        <f t="shared" si="371"/>
        <v>0</v>
      </c>
      <c r="EQ117" s="60"/>
      <c r="ER117" s="60"/>
      <c r="ES117" s="742"/>
      <c r="ET117" s="300"/>
      <c r="EU117" s="300">
        <v>0</v>
      </c>
      <c r="EV117" s="300"/>
      <c r="EW117" s="300"/>
      <c r="EX117" s="300"/>
      <c r="EY117" s="416">
        <f t="shared" si="344"/>
        <v>0</v>
      </c>
      <c r="EZ117" s="297"/>
      <c r="FA117" s="308"/>
      <c r="FB117" s="297"/>
      <c r="FC117" s="297" t="s">
        <v>793</v>
      </c>
      <c r="FD117" s="89">
        <f t="shared" ca="1" si="388"/>
        <v>44728</v>
      </c>
      <c r="FE117" s="63"/>
      <c r="FF117" s="63"/>
      <c r="FG117" s="63"/>
      <c r="FH117" s="63"/>
      <c r="FI117" s="63"/>
      <c r="FJ117" s="22"/>
      <c r="FK117" s="146">
        <f t="shared" si="381"/>
        <v>45323</v>
      </c>
      <c r="FL117" s="146"/>
      <c r="FM117" s="146"/>
      <c r="FN117" s="22"/>
      <c r="FO117" s="22"/>
      <c r="FP117" s="22"/>
      <c r="FQ117" s="22"/>
      <c r="FR117" s="22"/>
      <c r="FS117" s="22"/>
      <c r="FT117" s="22"/>
      <c r="FU117" s="22"/>
      <c r="FV117" s="22"/>
      <c r="FW117" s="22"/>
      <c r="FX117" s="22"/>
      <c r="FY117" s="22"/>
      <c r="FZ117" s="22"/>
      <c r="GA117" s="451"/>
      <c r="GB117" s="471">
        <f>GD117+GG117+GJ117+HF117+Tableau6[[#This Row],[PRÊT CREDIT D''IMPOT (PM)]]</f>
        <v>6208524.1261029691</v>
      </c>
      <c r="GC117" s="645">
        <f t="shared" si="372"/>
        <v>6208524.1261029691</v>
      </c>
      <c r="GD117" s="507">
        <f t="shared" si="379"/>
        <v>0</v>
      </c>
      <c r="GE117" s="20">
        <f t="shared" si="373"/>
        <v>2197.2021043310278</v>
      </c>
      <c r="GF117" s="20">
        <f t="shared" si="345"/>
        <v>200274.97180977318</v>
      </c>
      <c r="GG117" s="503">
        <v>2193664.23</v>
      </c>
      <c r="GH117" s="351"/>
      <c r="GI117" s="20">
        <f t="shared" si="336"/>
        <v>70763.362258064517</v>
      </c>
      <c r="GJ117" s="503">
        <f t="shared" si="374"/>
        <v>4014859.8961029695</v>
      </c>
      <c r="GK117" s="5">
        <f>GL117+GM117</f>
        <v>3228432.5414811866</v>
      </c>
      <c r="GL117" s="44">
        <v>463310.88</v>
      </c>
      <c r="GM117" s="44">
        <v>2765121.6614811867</v>
      </c>
      <c r="GN117" s="345">
        <f t="shared" si="376"/>
        <v>104142.98520907054</v>
      </c>
      <c r="GO117" s="35">
        <v>786427.3546217829</v>
      </c>
      <c r="GP117" s="35"/>
      <c r="GQ117" s="35"/>
      <c r="GR117" s="18">
        <f t="shared" si="377"/>
        <v>0</v>
      </c>
      <c r="GS117" s="35"/>
      <c r="GT117" s="35"/>
      <c r="GU117" s="35"/>
      <c r="GV117" s="20">
        <f>GP117/AD117</f>
        <v>0</v>
      </c>
      <c r="GW117" s="20">
        <f>(GG117+GP117)/AD117</f>
        <v>70763.362258064517</v>
      </c>
      <c r="GX117" s="569"/>
      <c r="GY117" s="569"/>
      <c r="GZ117" s="569">
        <f>(GG117+GP117+GY117)/AD117</f>
        <v>70763.362258064517</v>
      </c>
      <c r="HA117" s="569"/>
      <c r="HB117" s="569">
        <f>(GG117+GP117+GY117+HA117)/AD117</f>
        <v>70763.362258064517</v>
      </c>
      <c r="HC117" s="568">
        <f>(GG117+GP117+GY117+HA117)/(GX117+GB117-HD117)</f>
        <v>0.3533310309252099</v>
      </c>
      <c r="HD117" s="569"/>
      <c r="HE117" s="569"/>
      <c r="HF117" s="503">
        <f>EU117</f>
        <v>0</v>
      </c>
      <c r="HG117" s="633">
        <v>55601</v>
      </c>
      <c r="HH117" s="634">
        <f>HG117/GB117</f>
        <v>8.955590551099334E-3</v>
      </c>
      <c r="HI117" s="633">
        <f>GB117-HG117</f>
        <v>6152923.1261029691</v>
      </c>
      <c r="HJ117" s="633" t="e">
        <f ca="1">IF(EE117&lt;DATEDIF(TODAY(),$HJ$1,"M"),HI117,(HI117/EE117*DATEDIF(TODAY(),$HJ$1,"M")))*0+100000</f>
        <v>#VALUE!</v>
      </c>
      <c r="HK117" s="634" t="e">
        <f ca="1">(HG117+HJ117)/GB117</f>
        <v>#VALUE!</v>
      </c>
      <c r="HL117" s="633"/>
      <c r="HM117" s="633">
        <f>GD117-HL117</f>
        <v>0</v>
      </c>
      <c r="HN117" s="633" t="e">
        <f>HL117/GD117</f>
        <v>#DIV/0!</v>
      </c>
      <c r="HO117" s="633"/>
      <c r="HP117" s="563"/>
      <c r="HQ117" s="47"/>
      <c r="HR117" s="563"/>
      <c r="HS117" s="563">
        <f>SUM(Tableau6[[#This Row],[GO]:[CARRELAGE]])</f>
        <v>0</v>
      </c>
      <c r="HT117" s="461"/>
      <c r="HU117" s="461"/>
      <c r="HV117" s="461"/>
      <c r="HW117" s="461"/>
      <c r="HX117" s="461"/>
      <c r="HY117" s="461"/>
      <c r="HZ117" s="461"/>
      <c r="IA117" s="461"/>
      <c r="IB117" s="461"/>
      <c r="IC117" s="461"/>
      <c r="ID117" s="461"/>
      <c r="IE117" s="461"/>
      <c r="IF117" s="461"/>
      <c r="IG117" s="563"/>
      <c r="IH117" s="563"/>
      <c r="II117" s="563">
        <f>HP117+HR117+Tableau6[[#This Row],[TRAVAUX BATIS]]+Tableau6[[#This Row],[HONORAIRES]]+IH117</f>
        <v>0</v>
      </c>
      <c r="IJ117" s="654">
        <f>Tableau6[[#This Row],[TOTAL PRP HT]]-Tableau6[[#This Row],[PRP TTC HORS FRAFU]]/1.021</f>
        <v>-6080826.7640577564</v>
      </c>
      <c r="IK117" s="9"/>
      <c r="IL117" s="9"/>
      <c r="IM117" s="9"/>
      <c r="IN117" s="9"/>
      <c r="IO117" s="9"/>
      <c r="IP117" s="9"/>
      <c r="IQ117" s="9"/>
      <c r="IR117" s="9"/>
      <c r="IS117" s="9"/>
      <c r="IT117" s="9"/>
      <c r="IU117" s="9"/>
      <c r="IV117" s="9"/>
    </row>
    <row r="118" spans="1:256" s="593" customFormat="1" ht="15" customHeight="1">
      <c r="A118" s="428" t="s">
        <v>876</v>
      </c>
      <c r="B118" s="22" t="s">
        <v>21</v>
      </c>
      <c r="C118" s="22" t="s">
        <v>86</v>
      </c>
      <c r="D118" s="22">
        <v>2021</v>
      </c>
      <c r="E118" s="22" t="s">
        <v>851</v>
      </c>
      <c r="F118" s="22" t="s">
        <v>113</v>
      </c>
      <c r="G118" s="22" t="s">
        <v>139</v>
      </c>
      <c r="H118" s="24" t="s">
        <v>859</v>
      </c>
      <c r="I118" s="22"/>
      <c r="J118" s="22" t="s">
        <v>652</v>
      </c>
      <c r="K118" s="134"/>
      <c r="L118" s="81"/>
      <c r="M118" s="82"/>
      <c r="N118" s="83"/>
      <c r="O118" s="103">
        <v>33407</v>
      </c>
      <c r="P118" s="103"/>
      <c r="Q118" s="103"/>
      <c r="R118" s="103">
        <f t="shared" si="390"/>
        <v>0</v>
      </c>
      <c r="S118" s="103">
        <f t="shared" si="391"/>
        <v>0</v>
      </c>
      <c r="T118" s="109">
        <f t="shared" si="392"/>
        <v>0</v>
      </c>
      <c r="U118" s="109">
        <f>Q118/AK118</f>
        <v>0</v>
      </c>
      <c r="V118" s="109">
        <f t="shared" si="393"/>
        <v>0</v>
      </c>
      <c r="W118" s="103">
        <f t="shared" si="394"/>
        <v>273.82786885245901</v>
      </c>
      <c r="X118" s="104"/>
      <c r="Y118" s="447">
        <f>10000*AD118/O118</f>
        <v>36.519292363875834</v>
      </c>
      <c r="Z118" s="104"/>
      <c r="AA118" s="104"/>
      <c r="AB118" s="105"/>
      <c r="AC118" s="22" t="s">
        <v>9</v>
      </c>
      <c r="AD118" s="426">
        <f t="shared" si="352"/>
        <v>122</v>
      </c>
      <c r="AE118" s="427">
        <f>AD118-AI118</f>
        <v>122</v>
      </c>
      <c r="AF118" s="22">
        <v>122</v>
      </c>
      <c r="AG118" s="32"/>
      <c r="AH118" s="32"/>
      <c r="AI118" s="32"/>
      <c r="AJ118" s="615">
        <v>9271.5300000000007</v>
      </c>
      <c r="AK118" s="222">
        <v>10913.8</v>
      </c>
      <c r="AL118" s="492">
        <f>AJ118/AD118</f>
        <v>75.996147540983614</v>
      </c>
      <c r="AM118" s="26">
        <f>AK118/AD118</f>
        <v>89.457377049180323</v>
      </c>
      <c r="AN118" s="26"/>
      <c r="AO118" s="26"/>
      <c r="AP118" s="26"/>
      <c r="AQ118" s="39"/>
      <c r="AR118" s="39"/>
      <c r="AS118" s="39"/>
      <c r="AT118" s="39"/>
      <c r="AU118" s="39"/>
      <c r="AV118" s="26"/>
      <c r="AW118" s="37"/>
      <c r="AX118" s="39"/>
      <c r="AY118" s="26"/>
      <c r="AZ118" s="22"/>
      <c r="BA118" s="22"/>
      <c r="BB118" s="118">
        <v>22322488.699999999</v>
      </c>
      <c r="BC118" s="437">
        <f>BB118/AJ118</f>
        <v>2407.6380813091255</v>
      </c>
      <c r="BD118" s="332">
        <f>BB118/AK118</f>
        <v>2045.3452234785318</v>
      </c>
      <c r="BE118" s="334">
        <f>BB118/AD118</f>
        <v>182971.21885245902</v>
      </c>
      <c r="BF118" s="123">
        <v>43426</v>
      </c>
      <c r="BG118" s="123"/>
      <c r="BH118" s="56">
        <v>43816</v>
      </c>
      <c r="BI118" s="89"/>
      <c r="BJ118" s="548"/>
      <c r="BK118" s="548"/>
      <c r="BL118" s="549"/>
      <c r="BM118" s="547">
        <f>(DATEDIF(BJ118,BK118,"d"))/30</f>
        <v>0</v>
      </c>
      <c r="BN118" s="490" t="s">
        <v>229</v>
      </c>
      <c r="BO118" s="77"/>
      <c r="BP118" s="100"/>
      <c r="BQ118" s="536">
        <f>(DATEDIF(BO118,BP118,"d"))/30</f>
        <v>0</v>
      </c>
      <c r="BR118" s="529"/>
      <c r="BS118" s="77"/>
      <c r="BT118" s="77"/>
      <c r="BU118" s="151"/>
      <c r="BV118" s="150">
        <f t="shared" si="357"/>
        <v>1096</v>
      </c>
      <c r="BW118" s="373"/>
      <c r="BX118" s="150" t="str">
        <f>IF(Tableau6[[#This Row],[Montant des loyers perçus avant 1e échéance]]&lt;BW118,"oui","non")</f>
        <v>non</v>
      </c>
      <c r="BY118" s="475">
        <f>(BV118-EL118)/30</f>
        <v>-1469.7666666666667</v>
      </c>
      <c r="BZ118" s="373">
        <f>IF((BY118*EO118)&lt;0,"0",BY118*EO118)</f>
        <v>0</v>
      </c>
      <c r="CA118" s="373">
        <f>IF(BW118-BZ118&lt;0,0,Tableau6[[#This Row],[Montant échéance annuelle]]-Tableau6[[#This Row],[Montant des loyers perçus avant 1e échéance]])</f>
        <v>0</v>
      </c>
      <c r="CB118" s="286"/>
      <c r="CC118" s="288"/>
      <c r="CD118" s="288"/>
      <c r="CE118" s="290" t="str">
        <f>IF(AND(CC118&gt;0,CD118&gt;0),CD118-CC118,"0")</f>
        <v>0</v>
      </c>
      <c r="CF118" s="288"/>
      <c r="CG118" s="288"/>
      <c r="CH118" s="290" t="str">
        <f>IF(AND(CF118&gt;0,CG118&gt;0),CG118-CF118,"0")</f>
        <v>0</v>
      </c>
      <c r="CI118" s="288"/>
      <c r="CJ118" s="288">
        <f ca="1">IF(CI118&lt;TODAY(),TODAY(),CI118)</f>
        <v>43998</v>
      </c>
      <c r="CK118" s="290" t="str">
        <f ca="1">IF(AND(CI118&gt;0,CJ118&gt;0),CJ118-CI118,"0")</f>
        <v>0</v>
      </c>
      <c r="CL118" s="288"/>
      <c r="CM118" s="288">
        <f ca="1">IF(CL118&lt;TODAY(),TODAY(),CL118)</f>
        <v>43998</v>
      </c>
      <c r="CN118" s="290" t="str">
        <f ca="1">IF(AND(CL118&gt;0,CM118&gt;0),CM118-CL118,"0")</f>
        <v>0</v>
      </c>
      <c r="CO118" s="288"/>
      <c r="CP118" s="288">
        <f ca="1">IF(CO118&lt;TODAY(),TODAY(),CO118)</f>
        <v>43998</v>
      </c>
      <c r="CQ118" s="290" t="str">
        <f ca="1">IF(AND(CO118&gt;0,CP118&gt;0),CP118-CO118,"0")</f>
        <v>0</v>
      </c>
      <c r="CR118" s="237"/>
      <c r="CS118" s="286"/>
      <c r="CT118" s="277"/>
      <c r="CU118" s="278"/>
      <c r="CV118" s="279" t="str">
        <f>IF(AND(CT118&gt;0,CU118&gt;0),CU118-CT118,"0")</f>
        <v>0</v>
      </c>
      <c r="CW118" s="431">
        <v>44378</v>
      </c>
      <c r="CX118" s="382">
        <v>44489</v>
      </c>
      <c r="CY118" s="178"/>
      <c r="CZ118" s="231">
        <f t="shared" si="382"/>
        <v>1482.9666666666667</v>
      </c>
      <c r="DA118" s="279">
        <f t="shared" si="361"/>
        <v>111</v>
      </c>
      <c r="DB118" s="383">
        <v>22</v>
      </c>
      <c r="DC118" s="127">
        <f t="shared" si="362"/>
        <v>22</v>
      </c>
      <c r="DD118" s="277"/>
      <c r="DE118" s="282">
        <f t="shared" ca="1" si="385"/>
        <v>43998</v>
      </c>
      <c r="DF118" s="279" t="str">
        <f t="shared" ca="1" si="386"/>
        <v>0</v>
      </c>
      <c r="DG118" s="277"/>
      <c r="DH118" s="295">
        <f t="shared" ca="1" si="326"/>
        <v>43998</v>
      </c>
      <c r="DI118" s="280" t="str">
        <f t="shared" ca="1" si="364"/>
        <v>0</v>
      </c>
      <c r="DJ118" s="281"/>
      <c r="DK118" s="295">
        <f t="shared" ca="1" si="320"/>
        <v>43998</v>
      </c>
      <c r="DL118" s="279" t="str">
        <f t="shared" ca="1" si="335"/>
        <v>0</v>
      </c>
      <c r="DM118" s="282">
        <v>43532</v>
      </c>
      <c r="DN118" s="282">
        <f t="shared" ca="1" si="323"/>
        <v>43998</v>
      </c>
      <c r="DO118" s="279">
        <f t="shared" ca="1" si="365"/>
        <v>466</v>
      </c>
      <c r="DP118" s="283"/>
      <c r="DQ118" s="283"/>
      <c r="DR118" s="279" t="str">
        <f t="shared" si="366"/>
        <v>0</v>
      </c>
      <c r="DS118" s="282"/>
      <c r="DT118" s="282">
        <f t="shared" ca="1" si="318"/>
        <v>43998</v>
      </c>
      <c r="DU118" s="279" t="str">
        <f t="shared" ca="1" si="367"/>
        <v>0</v>
      </c>
      <c r="DV118" s="282">
        <v>43609</v>
      </c>
      <c r="DW118" s="282">
        <f t="shared" ca="1" si="324"/>
        <v>43998</v>
      </c>
      <c r="DX118" s="279">
        <f t="shared" ca="1" si="368"/>
        <v>389</v>
      </c>
      <c r="DY118" s="283"/>
      <c r="DZ118" s="283"/>
      <c r="EA118" s="283"/>
      <c r="EB118" s="410">
        <f t="shared" si="369"/>
        <v>45158</v>
      </c>
      <c r="EC118" s="409">
        <f>DATE(YEAR(EB118),MONTH(EB118),DAY(EB118))</f>
        <v>45158</v>
      </c>
      <c r="ED118" s="406">
        <f t="shared" si="370"/>
        <v>0</v>
      </c>
      <c r="EE118" s="505">
        <f t="shared" ca="1" si="343"/>
        <v>38.666666666666664</v>
      </c>
      <c r="EF118" s="409">
        <f t="shared" ca="1" si="389"/>
        <v>44728</v>
      </c>
      <c r="EG118" s="457"/>
      <c r="EH118" s="448"/>
      <c r="EI118" s="458">
        <f t="shared" si="380"/>
        <v>45282</v>
      </c>
      <c r="EJ118" s="242"/>
      <c r="EK118" s="456">
        <f t="shared" si="387"/>
        <v>45189</v>
      </c>
      <c r="EL118" s="409">
        <f t="shared" si="383"/>
        <v>45189</v>
      </c>
      <c r="EM118" s="314"/>
      <c r="EN118" s="404">
        <f t="shared" si="384"/>
        <v>0</v>
      </c>
      <c r="EO118" s="394"/>
      <c r="EP118" s="131">
        <f t="shared" si="371"/>
        <v>0</v>
      </c>
      <c r="EQ118" s="60"/>
      <c r="ER118" s="60"/>
      <c r="ES118" s="742">
        <f>(Tableau6[[#This Row],[Date inauguration recalée]]-ER118)/30</f>
        <v>1506.3</v>
      </c>
      <c r="ET118" s="300"/>
      <c r="EU118" s="300"/>
      <c r="EV118" s="300"/>
      <c r="EW118" s="300"/>
      <c r="EX118" s="300"/>
      <c r="EY118" s="416">
        <f t="shared" si="344"/>
        <v>0</v>
      </c>
      <c r="EZ118" s="297"/>
      <c r="FA118" s="308"/>
      <c r="FB118" s="297"/>
      <c r="FC118" s="297" t="s">
        <v>797</v>
      </c>
      <c r="FD118" s="89">
        <f t="shared" ca="1" si="388"/>
        <v>44728</v>
      </c>
      <c r="FE118" s="63"/>
      <c r="FF118" s="63"/>
      <c r="FG118" s="63"/>
      <c r="FH118" s="63"/>
      <c r="FI118" s="63"/>
      <c r="FJ118" s="22"/>
      <c r="FK118" s="146">
        <f t="shared" si="381"/>
        <v>45524</v>
      </c>
      <c r="FL118" s="146"/>
      <c r="FM118" s="146"/>
      <c r="FN118" s="22"/>
      <c r="FO118" s="22"/>
      <c r="FP118" s="22"/>
      <c r="FQ118" s="22"/>
      <c r="FR118" s="22"/>
      <c r="FS118" s="22"/>
      <c r="FT118" s="22"/>
      <c r="FU118" s="22"/>
      <c r="FV118" s="22"/>
      <c r="FW118" s="22"/>
      <c r="FX118" s="22"/>
      <c r="FY118" s="22"/>
      <c r="FZ118" s="22"/>
      <c r="GA118" s="451"/>
      <c r="GB118" s="471">
        <f>GD118+GG118+GJ118+HF118+Tableau6[[#This Row],[PRÊT CREDIT D''IMPOT (PM)]]</f>
        <v>23369592.526568234</v>
      </c>
      <c r="GC118" s="645">
        <f t="shared" si="372"/>
        <v>23369592.526568234</v>
      </c>
      <c r="GD118" s="507">
        <f t="shared" si="379"/>
        <v>2074000</v>
      </c>
      <c r="GE118" s="20">
        <f t="shared" si="373"/>
        <v>2141.2883254749249</v>
      </c>
      <c r="GF118" s="20">
        <f t="shared" si="345"/>
        <v>191554.03710301832</v>
      </c>
      <c r="GG118" s="503">
        <v>7437060.6698111566</v>
      </c>
      <c r="GH118" s="351"/>
      <c r="GI118" s="20">
        <f t="shared" si="336"/>
        <v>60959.513686976694</v>
      </c>
      <c r="GJ118" s="503">
        <f t="shared" si="374"/>
        <v>13858531.856757078</v>
      </c>
      <c r="GK118" s="5">
        <f>GL118+GM118</f>
        <v>13858531.856757078</v>
      </c>
      <c r="GL118" s="44">
        <v>2431703.7892606417</v>
      </c>
      <c r="GM118" s="44">
        <v>11426828.067496438</v>
      </c>
      <c r="GN118" s="345">
        <f t="shared" si="376"/>
        <v>113594.52341604163</v>
      </c>
      <c r="GO118" s="35"/>
      <c r="GP118" s="35">
        <v>2074000</v>
      </c>
      <c r="GQ118" s="35"/>
      <c r="GR118" s="18">
        <f t="shared" si="377"/>
        <v>8.8747803267948622E-2</v>
      </c>
      <c r="GS118" s="35"/>
      <c r="GT118" s="35"/>
      <c r="GU118" s="35"/>
      <c r="GV118" s="20">
        <f>GP118/AD118</f>
        <v>17000</v>
      </c>
      <c r="GW118" s="20">
        <f>(GG118+GP118)/AD118</f>
        <v>77959.513686976687</v>
      </c>
      <c r="GX118" s="569"/>
      <c r="GY118" s="569"/>
      <c r="GZ118" s="569">
        <f>(GG118+GP118+GY118)/AD118</f>
        <v>77959.513686976687</v>
      </c>
      <c r="HA118" s="569"/>
      <c r="HB118" s="569">
        <f>(GG118+GP118+GY118+HA118)/AD118</f>
        <v>77959.513686976687</v>
      </c>
      <c r="HC118" s="568">
        <f>(GG118+GP118+GY118+HA118)/(GX118+GB118-HD118)</f>
        <v>0.4069844460915738</v>
      </c>
      <c r="HD118" s="569"/>
      <c r="HE118" s="569"/>
      <c r="HF118" s="503"/>
      <c r="HG118" s="633"/>
      <c r="HH118" s="634">
        <f>HG118/GB118</f>
        <v>0</v>
      </c>
      <c r="HI118" s="633">
        <f>GB118-HG118</f>
        <v>23369592.526568234</v>
      </c>
      <c r="HJ118" s="633" t="e">
        <f ca="1">IF(EE118&lt;DATEDIF(TODAY(),$HJ$1,"M"),HI118,(HI118/EE118*DATEDIF(TODAY(),$HJ$1,"M")))*0</f>
        <v>#VALUE!</v>
      </c>
      <c r="HK118" s="634" t="e">
        <f ca="1">(HG118+HJ118)/GB118</f>
        <v>#VALUE!</v>
      </c>
      <c r="HL118" s="633"/>
      <c r="HM118" s="633">
        <f>GD118-HL118</f>
        <v>2074000</v>
      </c>
      <c r="HN118" s="633">
        <f>HL118/GD118</f>
        <v>0</v>
      </c>
      <c r="HO118" s="633"/>
      <c r="HP118" s="563"/>
      <c r="HQ118" s="47"/>
      <c r="HR118" s="563"/>
      <c r="HS118" s="563">
        <f>SUM(Tableau6[[#This Row],[GO]:[CARRELAGE]])</f>
        <v>0</v>
      </c>
      <c r="HT118" s="461"/>
      <c r="HU118" s="461"/>
      <c r="HV118" s="461"/>
      <c r="HW118" s="461"/>
      <c r="HX118" s="461"/>
      <c r="HY118" s="461"/>
      <c r="HZ118" s="461"/>
      <c r="IA118" s="461"/>
      <c r="IB118" s="461"/>
      <c r="IC118" s="461"/>
      <c r="ID118" s="461"/>
      <c r="IE118" s="461"/>
      <c r="IF118" s="461"/>
      <c r="IG118" s="563"/>
      <c r="IH118" s="563"/>
      <c r="II118" s="563">
        <f>HP118+HR118+Tableau6[[#This Row],[TRAVAUX BATIS]]+Tableau6[[#This Row],[HONORAIRES]]+IH118</f>
        <v>0</v>
      </c>
      <c r="IJ118" s="654">
        <f>Tableau6[[#This Row],[TOTAL PRP HT]]-Tableau6[[#This Row],[PRP TTC HORS FRAFU]]/1.021</f>
        <v>-22888925.099479172</v>
      </c>
    </row>
    <row r="119" spans="1:256" ht="15" customHeight="1">
      <c r="A119" s="428" t="s">
        <v>880</v>
      </c>
      <c r="B119" s="22" t="s">
        <v>21</v>
      </c>
      <c r="C119" s="22" t="s">
        <v>86</v>
      </c>
      <c r="D119" s="22">
        <v>2021</v>
      </c>
      <c r="E119" s="2" t="s">
        <v>851</v>
      </c>
      <c r="F119" s="57"/>
      <c r="G119" s="57"/>
      <c r="H119" s="220"/>
      <c r="I119" s="22"/>
      <c r="J119" s="22" t="s">
        <v>652</v>
      </c>
      <c r="K119" s="134"/>
      <c r="L119" s="81"/>
      <c r="M119" s="82"/>
      <c r="N119" s="83"/>
      <c r="O119" s="103">
        <v>33407</v>
      </c>
      <c r="P119" s="103"/>
      <c r="Q119" s="103"/>
      <c r="R119" s="103">
        <f t="shared" si="390"/>
        <v>0</v>
      </c>
      <c r="S119" s="103">
        <f t="shared" si="391"/>
        <v>0</v>
      </c>
      <c r="T119" s="109">
        <f t="shared" si="392"/>
        <v>0</v>
      </c>
      <c r="U119" s="109">
        <f>Q119/AK119</f>
        <v>0</v>
      </c>
      <c r="V119" s="109">
        <f t="shared" si="393"/>
        <v>0</v>
      </c>
      <c r="W119" s="103">
        <f t="shared" si="394"/>
        <v>6681.4</v>
      </c>
      <c r="X119" s="104"/>
      <c r="Y119" s="447">
        <f>10000*AD119/O119</f>
        <v>1.4966923099949112</v>
      </c>
      <c r="Z119" s="104"/>
      <c r="AA119" s="104"/>
      <c r="AB119" s="105"/>
      <c r="AC119" s="22" t="s">
        <v>10</v>
      </c>
      <c r="AD119" s="426">
        <f t="shared" si="352"/>
        <v>5</v>
      </c>
      <c r="AE119" s="427">
        <f>AD119-AI119</f>
        <v>5</v>
      </c>
      <c r="AF119" s="32"/>
      <c r="AG119" s="22">
        <v>5</v>
      </c>
      <c r="AH119" s="32"/>
      <c r="AI119" s="32"/>
      <c r="AJ119" s="615">
        <v>237.6</v>
      </c>
      <c r="AK119" s="222">
        <v>323.51</v>
      </c>
      <c r="AL119" s="492">
        <f>AJ119/AD119</f>
        <v>47.519999999999996</v>
      </c>
      <c r="AM119" s="26">
        <f>AK119/AD119</f>
        <v>64.701999999999998</v>
      </c>
      <c r="AN119" s="26"/>
      <c r="AO119" s="26"/>
      <c r="AP119" s="26"/>
      <c r="AQ119" s="39"/>
      <c r="AR119" s="39"/>
      <c r="AS119" s="39"/>
      <c r="AT119" s="39"/>
      <c r="AU119" s="39"/>
      <c r="AV119" s="26"/>
      <c r="AW119" s="37"/>
      <c r="AX119" s="39"/>
      <c r="AY119" s="26"/>
      <c r="AZ119" s="22"/>
      <c r="BA119" s="22"/>
      <c r="BB119" s="118">
        <v>646374.68000000005</v>
      </c>
      <c r="BC119" s="437">
        <f>BB119/AJ119</f>
        <v>2720.4321548821554</v>
      </c>
      <c r="BD119" s="332">
        <f>BB119/AK119</f>
        <v>1998.0052548607464</v>
      </c>
      <c r="BE119" s="334">
        <f>BB119/AD119</f>
        <v>129274.93600000002</v>
      </c>
      <c r="BF119" s="123">
        <v>43426</v>
      </c>
      <c r="BG119" s="123"/>
      <c r="BH119" s="56">
        <v>43816</v>
      </c>
      <c r="BI119" s="89"/>
      <c r="BJ119" s="548"/>
      <c r="BK119" s="548"/>
      <c r="BL119" s="549"/>
      <c r="BM119" s="547">
        <f>(DATEDIF(BJ119,BK119,"d"))/30</f>
        <v>0</v>
      </c>
      <c r="BN119" s="490" t="s">
        <v>229</v>
      </c>
      <c r="BO119" s="77"/>
      <c r="BP119" s="100"/>
      <c r="BQ119" s="536">
        <f>(DATEDIF(BO119,BP119,"d"))/30</f>
        <v>0</v>
      </c>
      <c r="BR119" s="529"/>
      <c r="BS119" s="77"/>
      <c r="BT119" s="77"/>
      <c r="BU119" s="151"/>
      <c r="BV119" s="150">
        <f t="shared" si="357"/>
        <v>1096</v>
      </c>
      <c r="BW119" s="373"/>
      <c r="BX119" s="150" t="str">
        <f>IF(Tableau6[[#This Row],[Montant des loyers perçus avant 1e échéance]]&lt;BW119,"oui","non")</f>
        <v>non</v>
      </c>
      <c r="BY119" s="475">
        <f>(BV119-EL119)/30</f>
        <v>-1469.7666666666667</v>
      </c>
      <c r="BZ119" s="373">
        <f>IF((BY119*EO119)&lt;0,"0",BY119*EO119)</f>
        <v>0</v>
      </c>
      <c r="CA119" s="373">
        <f>IF(BW119-BZ119&lt;0,0,Tableau6[[#This Row],[Montant échéance annuelle]]-Tableau6[[#This Row],[Montant des loyers perçus avant 1e échéance]])</f>
        <v>0</v>
      </c>
      <c r="CB119" s="286"/>
      <c r="CC119" s="288"/>
      <c r="CD119" s="288"/>
      <c r="CE119" s="290" t="str">
        <f>IF(AND(CC119&gt;0,CD119&gt;0),CD119-CC119,"0")</f>
        <v>0</v>
      </c>
      <c r="CF119" s="288"/>
      <c r="CG119" s="288"/>
      <c r="CH119" s="290" t="str">
        <f>IF(AND(CF119&gt;0,CG119&gt;0),CG119-CF119,"0")</f>
        <v>0</v>
      </c>
      <c r="CI119" s="288"/>
      <c r="CJ119" s="288">
        <f ca="1">IF(CI119&lt;TODAY(),TODAY(),CI119)</f>
        <v>43998</v>
      </c>
      <c r="CK119" s="290" t="str">
        <f ca="1">IF(AND(CI119&gt;0,CJ119&gt;0),CJ119-CI119,"0")</f>
        <v>0</v>
      </c>
      <c r="CL119" s="288"/>
      <c r="CM119" s="288">
        <f ca="1">IF(CL119&lt;TODAY(),TODAY(),CL119)</f>
        <v>43998</v>
      </c>
      <c r="CN119" s="290" t="str">
        <f ca="1">IF(AND(CL119&gt;0,CM119&gt;0),CM119-CL119,"0")</f>
        <v>0</v>
      </c>
      <c r="CO119" s="288"/>
      <c r="CP119" s="288">
        <f ca="1">IF(CO119&lt;TODAY(),TODAY(),CO119)</f>
        <v>43998</v>
      </c>
      <c r="CQ119" s="290" t="str">
        <f ca="1">IF(AND(CO119&gt;0,CP119&gt;0),CP119-CO119,"0")</f>
        <v>0</v>
      </c>
      <c r="CR119" s="237"/>
      <c r="CS119" s="286"/>
      <c r="CT119" s="277"/>
      <c r="CU119" s="278"/>
      <c r="CV119" s="279" t="str">
        <f>IF(AND(CT119&gt;0,CU119&gt;0),CU119-CT119,"0")</f>
        <v>0</v>
      </c>
      <c r="CW119" s="431">
        <v>44378</v>
      </c>
      <c r="CX119" s="382">
        <v>44489</v>
      </c>
      <c r="CY119" s="178"/>
      <c r="CZ119" s="231">
        <f t="shared" si="382"/>
        <v>1482.9666666666667</v>
      </c>
      <c r="DA119" s="279">
        <f t="shared" si="361"/>
        <v>111</v>
      </c>
      <c r="DB119" s="383">
        <v>22</v>
      </c>
      <c r="DC119" s="127">
        <f t="shared" si="362"/>
        <v>22</v>
      </c>
      <c r="DD119" s="277"/>
      <c r="DE119" s="282">
        <f t="shared" ca="1" si="385"/>
        <v>43998</v>
      </c>
      <c r="DF119" s="279" t="str">
        <f t="shared" ca="1" si="386"/>
        <v>0</v>
      </c>
      <c r="DG119" s="277"/>
      <c r="DH119" s="295">
        <f t="shared" ca="1" si="326"/>
        <v>43998</v>
      </c>
      <c r="DI119" s="280" t="str">
        <f t="shared" ca="1" si="364"/>
        <v>0</v>
      </c>
      <c r="DJ119" s="281"/>
      <c r="DK119" s="295">
        <f t="shared" ref="DK119:DK150" ca="1" si="395">IF(DJ119&lt;TODAY(),TODAY(),DJ119)</f>
        <v>43998</v>
      </c>
      <c r="DL119" s="279" t="str">
        <f t="shared" ca="1" si="335"/>
        <v>0</v>
      </c>
      <c r="DM119" s="282">
        <v>43532</v>
      </c>
      <c r="DN119" s="282">
        <f t="shared" ca="1" si="323"/>
        <v>43998</v>
      </c>
      <c r="DO119" s="279">
        <f t="shared" ca="1" si="365"/>
        <v>466</v>
      </c>
      <c r="DP119" s="283"/>
      <c r="DQ119" s="283"/>
      <c r="DR119" s="279" t="str">
        <f t="shared" si="366"/>
        <v>0</v>
      </c>
      <c r="DS119" s="282"/>
      <c r="DT119" s="282">
        <f t="shared" ca="1" si="318"/>
        <v>43998</v>
      </c>
      <c r="DU119" s="279" t="str">
        <f t="shared" ca="1" si="367"/>
        <v>0</v>
      </c>
      <c r="DV119" s="282">
        <v>43609</v>
      </c>
      <c r="DW119" s="282">
        <f t="shared" ca="1" si="324"/>
        <v>43998</v>
      </c>
      <c r="DX119" s="279">
        <f t="shared" ca="1" si="368"/>
        <v>389</v>
      </c>
      <c r="DY119" s="283"/>
      <c r="DZ119" s="283"/>
      <c r="EA119" s="283"/>
      <c r="EB119" s="410">
        <f t="shared" si="369"/>
        <v>45158</v>
      </c>
      <c r="EC119" s="409">
        <f>DATE(YEAR(EB119),MONTH(EB119),DAY(EB119))</f>
        <v>45158</v>
      </c>
      <c r="ED119" s="406">
        <f t="shared" si="370"/>
        <v>0</v>
      </c>
      <c r="EE119" s="505">
        <f t="shared" ca="1" si="343"/>
        <v>38.666666666666664</v>
      </c>
      <c r="EF119" s="409">
        <f t="shared" ca="1" si="389"/>
        <v>44728</v>
      </c>
      <c r="EG119" s="457"/>
      <c r="EH119" s="448"/>
      <c r="EI119" s="458">
        <f t="shared" si="380"/>
        <v>45282</v>
      </c>
      <c r="EJ119" s="242"/>
      <c r="EK119" s="456">
        <f t="shared" si="387"/>
        <v>45189</v>
      </c>
      <c r="EL119" s="409">
        <f t="shared" si="383"/>
        <v>45189</v>
      </c>
      <c r="EM119" s="314"/>
      <c r="EN119" s="404">
        <f t="shared" si="384"/>
        <v>0</v>
      </c>
      <c r="EO119" s="394"/>
      <c r="EP119" s="131">
        <f t="shared" si="371"/>
        <v>0</v>
      </c>
      <c r="EQ119" s="60"/>
      <c r="ER119" s="60"/>
      <c r="ES119" s="742">
        <f>(Tableau6[[#This Row],[Date inauguration recalée]]-ER119)/30</f>
        <v>1506.3</v>
      </c>
      <c r="ET119" s="300"/>
      <c r="EU119" s="300"/>
      <c r="EV119" s="300"/>
      <c r="EW119" s="300"/>
      <c r="EX119" s="300"/>
      <c r="EY119" s="416">
        <f t="shared" si="344"/>
        <v>0</v>
      </c>
      <c r="EZ119" s="297"/>
      <c r="FA119" s="308"/>
      <c r="FB119" s="297"/>
      <c r="FC119" s="297" t="s">
        <v>797</v>
      </c>
      <c r="FD119" s="89">
        <f t="shared" ca="1" si="388"/>
        <v>44728</v>
      </c>
      <c r="FE119" s="63"/>
      <c r="FF119" s="63"/>
      <c r="FG119" s="63"/>
      <c r="FH119" s="63"/>
      <c r="FI119" s="63"/>
      <c r="FJ119" s="22"/>
      <c r="FK119" s="146">
        <f t="shared" si="381"/>
        <v>45524</v>
      </c>
      <c r="FL119" s="146"/>
      <c r="FM119" s="146"/>
      <c r="FN119" s="22"/>
      <c r="FO119" s="22"/>
      <c r="FP119" s="22"/>
      <c r="FQ119" s="22"/>
      <c r="FR119" s="22"/>
      <c r="FS119" s="22"/>
      <c r="FT119" s="22"/>
      <c r="FU119" s="22"/>
      <c r="FV119" s="22"/>
      <c r="FW119" s="22"/>
      <c r="FX119" s="22"/>
      <c r="FY119" s="22"/>
      <c r="FZ119" s="22"/>
      <c r="GA119" s="451"/>
      <c r="GB119" s="471">
        <f>GD119+GG119+GJ119+HF119+Tableau6[[#This Row],[PRÊT CREDIT D''IMPOT (PM)]]</f>
        <v>615342.66955392249</v>
      </c>
      <c r="GC119" s="645">
        <f t="shared" si="372"/>
        <v>615342.66955392249</v>
      </c>
      <c r="GD119" s="507">
        <f t="shared" si="379"/>
        <v>100000</v>
      </c>
      <c r="GE119" s="20">
        <f t="shared" si="373"/>
        <v>1902.0823762910652</v>
      </c>
      <c r="GF119" s="20">
        <f t="shared" si="345"/>
        <v>123068.53391078449</v>
      </c>
      <c r="GG119" s="503">
        <v>183725.04356260493</v>
      </c>
      <c r="GH119" s="351"/>
      <c r="GI119" s="20">
        <f t="shared" si="336"/>
        <v>36745.008712520983</v>
      </c>
      <c r="GJ119" s="503">
        <f t="shared" si="374"/>
        <v>331617.62599131762</v>
      </c>
      <c r="GK119" s="5">
        <f>GL119+GM119</f>
        <v>331617.62599131762</v>
      </c>
      <c r="GL119" s="44">
        <v>63875.458446360615</v>
      </c>
      <c r="GM119" s="44">
        <v>267742.16754495702</v>
      </c>
      <c r="GN119" s="346">
        <f t="shared" si="376"/>
        <v>66323.525198263524</v>
      </c>
      <c r="GO119" s="35"/>
      <c r="GP119" s="35">
        <v>100000</v>
      </c>
      <c r="GQ119" s="35"/>
      <c r="GR119" s="45">
        <f t="shared" si="377"/>
        <v>0.16251107707595272</v>
      </c>
      <c r="GS119" s="35"/>
      <c r="GT119" s="35"/>
      <c r="GU119" s="35"/>
      <c r="GV119" s="20">
        <f>GP119/AD119</f>
        <v>20000</v>
      </c>
      <c r="GW119" s="20">
        <f>(GG119+GP119)/AD119</f>
        <v>56745.008712520983</v>
      </c>
      <c r="GX119" s="569"/>
      <c r="GY119" s="569"/>
      <c r="GZ119" s="569">
        <f>(GG119+GP119+GY119)/AD119</f>
        <v>56745.008712520983</v>
      </c>
      <c r="HA119" s="569"/>
      <c r="HB119" s="569">
        <f>(GG119+GP119+GY119+HA119)/AD119</f>
        <v>56745.008712520983</v>
      </c>
      <c r="HC119" s="568">
        <f>(GG119+GP119+GY119+HA119)/(GX119+GB119-HD119)</f>
        <v>0.46108462422780533</v>
      </c>
      <c r="HD119" s="569"/>
      <c r="HE119" s="569"/>
      <c r="HF119" s="503"/>
      <c r="HG119" s="633"/>
      <c r="HH119" s="634">
        <f>HG119/GB119</f>
        <v>0</v>
      </c>
      <c r="HI119" s="633">
        <f>GB119-HG119</f>
        <v>615342.66955392249</v>
      </c>
      <c r="HJ119" s="633" t="e">
        <f ca="1">IF(EE119&lt;DATEDIF(TODAY(),$HJ$1,"M"),HI119,(HI119/EE119*DATEDIF(TODAY(),$HJ$1,"M")))*0</f>
        <v>#VALUE!</v>
      </c>
      <c r="HK119" s="634" t="e">
        <f ca="1">(HG119+HJ119)/GB119</f>
        <v>#VALUE!</v>
      </c>
      <c r="HL119" s="633"/>
      <c r="HM119" s="633">
        <f>GD119-HL119</f>
        <v>100000</v>
      </c>
      <c r="HN119" s="633">
        <f>HL119/GD119</f>
        <v>0</v>
      </c>
      <c r="HO119" s="633"/>
      <c r="HP119" s="563"/>
      <c r="HQ119" s="47"/>
      <c r="HR119" s="563"/>
      <c r="HS119" s="563">
        <f>SUM(Tableau6[[#This Row],[GO]:[CARRELAGE]])</f>
        <v>0</v>
      </c>
      <c r="HT119" s="461"/>
      <c r="HU119" s="461"/>
      <c r="HV119" s="461"/>
      <c r="HW119" s="461"/>
      <c r="HX119" s="461"/>
      <c r="HY119" s="461"/>
      <c r="HZ119" s="461"/>
      <c r="IA119" s="461"/>
      <c r="IB119" s="461"/>
      <c r="IC119" s="461"/>
      <c r="ID119" s="461"/>
      <c r="IE119" s="461"/>
      <c r="IF119" s="461"/>
      <c r="IG119" s="563"/>
      <c r="IH119" s="563"/>
      <c r="II119" s="563">
        <f>HP119+HR119+Tableau6[[#This Row],[TRAVAUX BATIS]]+Tableau6[[#This Row],[HONORAIRES]]+IH119</f>
        <v>0</v>
      </c>
      <c r="IJ119" s="654">
        <f>Tableau6[[#This Row],[TOTAL PRP HT]]-Tableau6[[#This Row],[PRP TTC HORS FRAFU]]/1.021</f>
        <v>-602686.25813312689</v>
      </c>
      <c r="IK119" s="9"/>
      <c r="IL119" s="9"/>
      <c r="IM119" s="9"/>
      <c r="IN119" s="9"/>
      <c r="IO119" s="9"/>
      <c r="IP119" s="9"/>
      <c r="IQ119" s="9"/>
      <c r="IR119" s="9"/>
      <c r="IS119" s="9"/>
      <c r="IT119" s="9"/>
      <c r="IU119" s="9"/>
      <c r="IV119" s="9"/>
    </row>
    <row r="120" spans="1:256" ht="15" customHeight="1">
      <c r="A120" s="428" t="s">
        <v>883</v>
      </c>
      <c r="B120" s="22" t="s">
        <v>21</v>
      </c>
      <c r="C120" s="22" t="s">
        <v>86</v>
      </c>
      <c r="D120" s="22">
        <v>2021</v>
      </c>
      <c r="E120" s="22" t="s">
        <v>851</v>
      </c>
      <c r="F120" s="57"/>
      <c r="G120" s="57"/>
      <c r="H120" s="220"/>
      <c r="I120" s="22"/>
      <c r="J120" s="22" t="s">
        <v>652</v>
      </c>
      <c r="K120" s="134"/>
      <c r="L120" s="81"/>
      <c r="M120" s="82"/>
      <c r="N120" s="83"/>
      <c r="O120" s="103">
        <v>33407</v>
      </c>
      <c r="P120" s="103"/>
      <c r="Q120" s="103"/>
      <c r="R120" s="103">
        <f t="shared" si="390"/>
        <v>0</v>
      </c>
      <c r="S120" s="103">
        <f t="shared" si="391"/>
        <v>0</v>
      </c>
      <c r="T120" s="109">
        <f t="shared" si="392"/>
        <v>0</v>
      </c>
      <c r="U120" s="109">
        <f>Q120/AK120</f>
        <v>0</v>
      </c>
      <c r="V120" s="109">
        <f t="shared" si="393"/>
        <v>0</v>
      </c>
      <c r="W120" s="103">
        <f t="shared" si="394"/>
        <v>835.17499999999995</v>
      </c>
      <c r="X120" s="104"/>
      <c r="Y120" s="447">
        <f>10000*AD120/O120</f>
        <v>11.97353847995929</v>
      </c>
      <c r="Z120" s="104"/>
      <c r="AA120" s="104"/>
      <c r="AB120" s="105"/>
      <c r="AC120" s="22" t="s">
        <v>293</v>
      </c>
      <c r="AD120" s="426">
        <f t="shared" si="352"/>
        <v>40</v>
      </c>
      <c r="AE120" s="427">
        <f>AD120-AI120</f>
        <v>40</v>
      </c>
      <c r="AF120" s="32"/>
      <c r="AG120" s="32"/>
      <c r="AH120" s="22">
        <v>40</v>
      </c>
      <c r="AI120" s="32"/>
      <c r="AJ120" s="615">
        <v>3064.24</v>
      </c>
      <c r="AK120" s="222">
        <v>3514.63</v>
      </c>
      <c r="AL120" s="492">
        <f>AJ120/AD120</f>
        <v>76.605999999999995</v>
      </c>
      <c r="AM120" s="26">
        <f>AK120/AD120</f>
        <v>87.865750000000006</v>
      </c>
      <c r="AN120" s="26"/>
      <c r="AO120" s="26"/>
      <c r="AP120" s="26"/>
      <c r="AQ120" s="39"/>
      <c r="AR120" s="39"/>
      <c r="AS120" s="39"/>
      <c r="AT120" s="39"/>
      <c r="AU120" s="39"/>
      <c r="AV120" s="26"/>
      <c r="AW120" s="37"/>
      <c r="AX120" s="39"/>
      <c r="AY120" s="26"/>
      <c r="AZ120" s="22"/>
      <c r="BA120" s="22"/>
      <c r="BB120" s="118">
        <v>7677879.8799999999</v>
      </c>
      <c r="BC120" s="437">
        <f>BB120/AJ120</f>
        <v>2505.6392058063338</v>
      </c>
      <c r="BD120" s="332">
        <f>BB120/AK120</f>
        <v>2184.5485527637334</v>
      </c>
      <c r="BE120" s="334">
        <f>BB120/AD120</f>
        <v>191946.997</v>
      </c>
      <c r="BF120" s="123">
        <v>43426</v>
      </c>
      <c r="BG120" s="123"/>
      <c r="BH120" s="56">
        <v>43816</v>
      </c>
      <c r="BI120" s="89"/>
      <c r="BJ120" s="548"/>
      <c r="BK120" s="548"/>
      <c r="BL120" s="549"/>
      <c r="BM120" s="547">
        <f>(DATEDIF(BJ120,BK120,"d"))/30</f>
        <v>0</v>
      </c>
      <c r="BN120" s="490" t="s">
        <v>229</v>
      </c>
      <c r="BO120" s="77"/>
      <c r="BP120" s="100"/>
      <c r="BQ120" s="536">
        <f>(DATEDIF(BO120,BP120,"d"))/30</f>
        <v>0</v>
      </c>
      <c r="BR120" s="529"/>
      <c r="BS120" s="77"/>
      <c r="BT120" s="77"/>
      <c r="BU120" s="151"/>
      <c r="BV120" s="150">
        <f t="shared" si="357"/>
        <v>1096</v>
      </c>
      <c r="BW120" s="373"/>
      <c r="BX120" s="150" t="str">
        <f>IF(Tableau6[[#This Row],[Montant des loyers perçus avant 1e échéance]]&lt;BW120,"oui","non")</f>
        <v>non</v>
      </c>
      <c r="BY120" s="475">
        <f>(BV120-EL120)/30</f>
        <v>-1469.7666666666667</v>
      </c>
      <c r="BZ120" s="373">
        <f>IF((BY120*EO120)&lt;0,"0",BY120*EO120)</f>
        <v>0</v>
      </c>
      <c r="CA120" s="373">
        <f>IF(BW120-BZ120&lt;0,0,Tableau6[[#This Row],[Montant échéance annuelle]]-Tableau6[[#This Row],[Montant des loyers perçus avant 1e échéance]])</f>
        <v>0</v>
      </c>
      <c r="CB120" s="286"/>
      <c r="CC120" s="288"/>
      <c r="CD120" s="288"/>
      <c r="CE120" s="290" t="str">
        <f>IF(AND(CC120&gt;0,CD120&gt;0),CD120-CC120,"0")</f>
        <v>0</v>
      </c>
      <c r="CF120" s="288"/>
      <c r="CG120" s="288"/>
      <c r="CH120" s="290" t="str">
        <f>IF(AND(CF120&gt;0,CG120&gt;0),CG120-CF120,"0")</f>
        <v>0</v>
      </c>
      <c r="CI120" s="288"/>
      <c r="CJ120" s="288">
        <f ca="1">IF(CI120&lt;TODAY(),TODAY(),CI120)</f>
        <v>43998</v>
      </c>
      <c r="CK120" s="290" t="str">
        <f ca="1">IF(AND(CI120&gt;0,CJ120&gt;0),CJ120-CI120,"0")</f>
        <v>0</v>
      </c>
      <c r="CL120" s="288"/>
      <c r="CM120" s="288">
        <f ca="1">IF(CL120&lt;TODAY(),TODAY(),CL120)</f>
        <v>43998</v>
      </c>
      <c r="CN120" s="290" t="str">
        <f ca="1">IF(AND(CL120&gt;0,CM120&gt;0),CM120-CL120,"0")</f>
        <v>0</v>
      </c>
      <c r="CO120" s="288"/>
      <c r="CP120" s="288">
        <f ca="1">IF(CO120&lt;TODAY(),TODAY(),CO120)</f>
        <v>43998</v>
      </c>
      <c r="CQ120" s="290" t="str">
        <f ca="1">IF(AND(CO120&gt;0,CP120&gt;0),CP120-CO120,"0")</f>
        <v>0</v>
      </c>
      <c r="CR120" s="237"/>
      <c r="CS120" s="286"/>
      <c r="CT120" s="277"/>
      <c r="CU120" s="278"/>
      <c r="CV120" s="279" t="str">
        <f>IF(AND(CT120&gt;0,CU120&gt;0),CU120-CT120,"0")</f>
        <v>0</v>
      </c>
      <c r="CW120" s="431">
        <v>44378</v>
      </c>
      <c r="CX120" s="382">
        <v>44489</v>
      </c>
      <c r="CY120" s="178"/>
      <c r="CZ120" s="231">
        <f t="shared" si="382"/>
        <v>1482.9666666666667</v>
      </c>
      <c r="DA120" s="279">
        <f t="shared" si="361"/>
        <v>111</v>
      </c>
      <c r="DB120" s="383">
        <v>22</v>
      </c>
      <c r="DC120" s="127">
        <f t="shared" si="362"/>
        <v>22</v>
      </c>
      <c r="DD120" s="277"/>
      <c r="DE120" s="282">
        <f t="shared" ca="1" si="385"/>
        <v>43998</v>
      </c>
      <c r="DF120" s="279" t="str">
        <f t="shared" ca="1" si="386"/>
        <v>0</v>
      </c>
      <c r="DG120" s="277"/>
      <c r="DH120" s="295">
        <f t="shared" ca="1" si="326"/>
        <v>43998</v>
      </c>
      <c r="DI120" s="280" t="str">
        <f t="shared" ca="1" si="364"/>
        <v>0</v>
      </c>
      <c r="DJ120" s="281"/>
      <c r="DK120" s="295">
        <f t="shared" ca="1" si="395"/>
        <v>43998</v>
      </c>
      <c r="DL120" s="279" t="str">
        <f t="shared" ca="1" si="335"/>
        <v>0</v>
      </c>
      <c r="DM120" s="282">
        <v>43532</v>
      </c>
      <c r="DN120" s="282">
        <f t="shared" ca="1" si="323"/>
        <v>43998</v>
      </c>
      <c r="DO120" s="279">
        <f t="shared" ca="1" si="365"/>
        <v>466</v>
      </c>
      <c r="DP120" s="283"/>
      <c r="DQ120" s="283"/>
      <c r="DR120" s="279" t="str">
        <f t="shared" si="366"/>
        <v>0</v>
      </c>
      <c r="DS120" s="282"/>
      <c r="DT120" s="282">
        <f t="shared" ca="1" si="318"/>
        <v>43998</v>
      </c>
      <c r="DU120" s="279" t="str">
        <f t="shared" ca="1" si="367"/>
        <v>0</v>
      </c>
      <c r="DV120" s="282">
        <v>43609</v>
      </c>
      <c r="DW120" s="282">
        <f t="shared" ca="1" si="324"/>
        <v>43998</v>
      </c>
      <c r="DX120" s="279">
        <f t="shared" ca="1" si="368"/>
        <v>389</v>
      </c>
      <c r="DY120" s="283"/>
      <c r="DZ120" s="283"/>
      <c r="EA120" s="283"/>
      <c r="EB120" s="410">
        <f t="shared" si="369"/>
        <v>45158</v>
      </c>
      <c r="EC120" s="409">
        <f>DATE(YEAR(EB120),MONTH(EB120),DAY(EB120))</f>
        <v>45158</v>
      </c>
      <c r="ED120" s="406">
        <f t="shared" si="370"/>
        <v>0</v>
      </c>
      <c r="EE120" s="505">
        <f t="shared" ca="1" si="343"/>
        <v>38.666666666666664</v>
      </c>
      <c r="EF120" s="409">
        <f t="shared" ca="1" si="389"/>
        <v>44728</v>
      </c>
      <c r="EG120" s="457"/>
      <c r="EH120" s="448"/>
      <c r="EI120" s="458">
        <f t="shared" si="380"/>
        <v>45282</v>
      </c>
      <c r="EJ120" s="242"/>
      <c r="EK120" s="456">
        <f t="shared" si="387"/>
        <v>45189</v>
      </c>
      <c r="EL120" s="409">
        <f t="shared" si="383"/>
        <v>45189</v>
      </c>
      <c r="EM120" s="314"/>
      <c r="EN120" s="404">
        <f t="shared" si="384"/>
        <v>0</v>
      </c>
      <c r="EO120" s="394"/>
      <c r="EP120" s="131">
        <f t="shared" si="371"/>
        <v>0</v>
      </c>
      <c r="EQ120" s="60"/>
      <c r="ER120" s="60"/>
      <c r="ES120" s="742">
        <f>(Tableau6[[#This Row],[Date inauguration recalée]]-ER120)/30</f>
        <v>1506.3</v>
      </c>
      <c r="ET120" s="300"/>
      <c r="EU120" s="300"/>
      <c r="EV120" s="300"/>
      <c r="EW120" s="300"/>
      <c r="EX120" s="300"/>
      <c r="EY120" s="416">
        <f t="shared" si="344"/>
        <v>0</v>
      </c>
      <c r="EZ120" s="297"/>
      <c r="FA120" s="308"/>
      <c r="FB120" s="297"/>
      <c r="FC120" s="297" t="s">
        <v>797</v>
      </c>
      <c r="FD120" s="89">
        <f t="shared" ca="1" si="388"/>
        <v>44728</v>
      </c>
      <c r="FE120" s="63"/>
      <c r="FF120" s="63"/>
      <c r="FG120" s="63"/>
      <c r="FH120" s="63"/>
      <c r="FI120" s="63"/>
      <c r="FJ120" s="22"/>
      <c r="FK120" s="146">
        <f t="shared" si="381"/>
        <v>45524</v>
      </c>
      <c r="FL120" s="146"/>
      <c r="FM120" s="146"/>
      <c r="FN120" s="22"/>
      <c r="FO120" s="22"/>
      <c r="FP120" s="22"/>
      <c r="FQ120" s="22"/>
      <c r="FR120" s="22"/>
      <c r="FS120" s="22"/>
      <c r="FT120" s="22"/>
      <c r="FU120" s="22"/>
      <c r="FV120" s="22"/>
      <c r="FW120" s="22"/>
      <c r="FX120" s="22"/>
      <c r="FY120" s="22"/>
      <c r="FZ120" s="22"/>
      <c r="GA120" s="451"/>
      <c r="GB120" s="471">
        <f>GD120+GG120+GJ120+HF120+Tableau6[[#This Row],[PRÊT CREDIT D''IMPOT (PM)]]</f>
        <v>8012278.9241039604</v>
      </c>
      <c r="GC120" s="645">
        <f t="shared" si="372"/>
        <v>8012278.9241039604</v>
      </c>
      <c r="GD120" s="507">
        <f t="shared" si="379"/>
        <v>0</v>
      </c>
      <c r="GE120" s="20">
        <f t="shared" si="373"/>
        <v>2279.693431201566</v>
      </c>
      <c r="GF120" s="20">
        <f t="shared" si="345"/>
        <v>200306.973102599</v>
      </c>
      <c r="GG120" s="503">
        <v>2828698.9241039609</v>
      </c>
      <c r="GH120" s="351"/>
      <c r="GI120" s="20">
        <f t="shared" si="336"/>
        <v>70717.473102599019</v>
      </c>
      <c r="GJ120" s="503">
        <f t="shared" si="374"/>
        <v>5183580</v>
      </c>
      <c r="GK120" s="5">
        <f>GL120+GM120</f>
        <v>4166384</v>
      </c>
      <c r="GL120" s="44">
        <v>875247</v>
      </c>
      <c r="GM120" s="44">
        <v>3291137</v>
      </c>
      <c r="GN120" s="345">
        <f t="shared" si="376"/>
        <v>104159.6</v>
      </c>
      <c r="GO120" s="35">
        <v>1017196</v>
      </c>
      <c r="GP120" s="5">
        <v>0</v>
      </c>
      <c r="GQ120" s="35"/>
      <c r="GR120" s="18">
        <f t="shared" si="377"/>
        <v>0</v>
      </c>
      <c r="GS120" s="35"/>
      <c r="GT120" s="35"/>
      <c r="GU120" s="35"/>
      <c r="GV120" s="20">
        <f>GP120/AD120</f>
        <v>0</v>
      </c>
      <c r="GW120" s="20">
        <f>(GG120+GP120)/AD120</f>
        <v>70717.473102599019</v>
      </c>
      <c r="GX120" s="569"/>
      <c r="GY120" s="569"/>
      <c r="GZ120" s="569">
        <f>(GG120+GP120+GY120)/AD120</f>
        <v>70717.473102599019</v>
      </c>
      <c r="HA120" s="569"/>
      <c r="HB120" s="569">
        <f>(GG120+GP120+GY120+HA120)/AD120</f>
        <v>70717.473102599019</v>
      </c>
      <c r="HC120" s="568">
        <f>(GG120+GP120+GY120+HA120)/(GX120+GB120-HD120)</f>
        <v>0.35304548816868647</v>
      </c>
      <c r="HD120" s="569"/>
      <c r="HE120" s="569"/>
      <c r="HF120" s="503"/>
      <c r="HG120" s="633"/>
      <c r="HH120" s="634">
        <f>HG120/GB120</f>
        <v>0</v>
      </c>
      <c r="HI120" s="633">
        <f>GB120-HG120</f>
        <v>8012278.9241039604</v>
      </c>
      <c r="HJ120" s="633" t="e">
        <f ca="1">IF(EE120&lt;DATEDIF(TODAY(),$HJ$1,"M"),HI120,(HI120/EE120*DATEDIF(TODAY(),$HJ$1,"M")))*0</f>
        <v>#VALUE!</v>
      </c>
      <c r="HK120" s="634" t="e">
        <f ca="1">(HG120+HJ120)/GB120</f>
        <v>#VALUE!</v>
      </c>
      <c r="HL120" s="633"/>
      <c r="HM120" s="633">
        <f>GD120-HL120</f>
        <v>0</v>
      </c>
      <c r="HN120" s="633" t="e">
        <f>HL120/GD120</f>
        <v>#DIV/0!</v>
      </c>
      <c r="HO120" s="633"/>
      <c r="HP120" s="563"/>
      <c r="HQ120" s="47"/>
      <c r="HR120" s="563"/>
      <c r="HS120" s="563">
        <f>SUM(Tableau6[[#This Row],[GO]:[CARRELAGE]])</f>
        <v>0</v>
      </c>
      <c r="HT120" s="461"/>
      <c r="HU120" s="461"/>
      <c r="HV120" s="461"/>
      <c r="HW120" s="461"/>
      <c r="HX120" s="461"/>
      <c r="HY120" s="461"/>
      <c r="HZ120" s="461"/>
      <c r="IA120" s="461"/>
      <c r="IB120" s="461"/>
      <c r="IC120" s="461"/>
      <c r="ID120" s="461"/>
      <c r="IE120" s="461"/>
      <c r="IF120" s="461"/>
      <c r="IG120" s="563"/>
      <c r="IH120" s="563"/>
      <c r="II120" s="563">
        <f>HP120+HR120+Tableau6[[#This Row],[TRAVAUX BATIS]]+Tableau6[[#This Row],[HONORAIRES]]+IH120</f>
        <v>0</v>
      </c>
      <c r="IJ120" s="654">
        <f>Tableau6[[#This Row],[TOTAL PRP HT]]-Tableau6[[#This Row],[PRP TTC HORS FRAFU]]/1.021</f>
        <v>-7847481.8061743006</v>
      </c>
      <c r="IK120" s="9"/>
      <c r="IL120" s="9"/>
      <c r="IM120" s="9"/>
      <c r="IN120" s="9"/>
      <c r="IO120" s="9"/>
      <c r="IP120" s="9"/>
      <c r="IQ120" s="9"/>
      <c r="IR120" s="9"/>
      <c r="IS120" s="9"/>
      <c r="IT120" s="9"/>
      <c r="IU120" s="9"/>
      <c r="IV120" s="9"/>
    </row>
    <row r="121" spans="1:256" ht="15" customHeight="1">
      <c r="A121" s="428" t="s">
        <v>915</v>
      </c>
      <c r="B121" s="22" t="s">
        <v>21</v>
      </c>
      <c r="C121" s="22" t="s">
        <v>86</v>
      </c>
      <c r="D121" s="22">
        <v>2021</v>
      </c>
      <c r="E121" s="22"/>
      <c r="F121" s="22"/>
      <c r="G121" s="22"/>
      <c r="H121" s="24" t="s">
        <v>193</v>
      </c>
      <c r="I121" s="22"/>
      <c r="J121" s="22" t="s">
        <v>914</v>
      </c>
      <c r="K121" s="134"/>
      <c r="L121" s="81"/>
      <c r="M121" s="82"/>
      <c r="N121" s="83"/>
      <c r="O121" s="103">
        <v>4240</v>
      </c>
      <c r="P121" s="103"/>
      <c r="Q121" s="103"/>
      <c r="R121" s="103">
        <f t="shared" si="390"/>
        <v>0</v>
      </c>
      <c r="S121" s="103">
        <f t="shared" si="391"/>
        <v>0</v>
      </c>
      <c r="T121" s="109">
        <f t="shared" si="392"/>
        <v>0</v>
      </c>
      <c r="U121" s="109" t="e">
        <f>Q121/AK121</f>
        <v>#DIV/0!</v>
      </c>
      <c r="V121" s="109">
        <f t="shared" si="393"/>
        <v>0</v>
      </c>
      <c r="W121" s="103">
        <f t="shared" si="394"/>
        <v>56.533333333333331</v>
      </c>
      <c r="X121" s="104"/>
      <c r="Y121" s="444">
        <f>10000*AD121/O121</f>
        <v>176.88679245283018</v>
      </c>
      <c r="Z121" s="104"/>
      <c r="AA121" s="104"/>
      <c r="AB121" s="105"/>
      <c r="AC121" s="22" t="s">
        <v>293</v>
      </c>
      <c r="AD121" s="426">
        <f t="shared" si="352"/>
        <v>75</v>
      </c>
      <c r="AE121" s="427">
        <f>AD121-AI121</f>
        <v>75</v>
      </c>
      <c r="AF121" s="22">
        <v>25</v>
      </c>
      <c r="AG121" s="32"/>
      <c r="AH121" s="22">
        <v>50</v>
      </c>
      <c r="AI121" s="32"/>
      <c r="AJ121" s="615"/>
      <c r="AK121" s="222"/>
      <c r="AL121" s="492">
        <f>AJ121/AD121</f>
        <v>0</v>
      </c>
      <c r="AM121" s="26">
        <f>AK121/AD121</f>
        <v>0</v>
      </c>
      <c r="AN121" s="26"/>
      <c r="AO121" s="26"/>
      <c r="AP121" s="26"/>
      <c r="AQ121" s="39"/>
      <c r="AR121" s="39"/>
      <c r="AS121" s="39"/>
      <c r="AT121" s="39"/>
      <c r="AU121" s="39"/>
      <c r="AV121" s="26"/>
      <c r="AW121" s="37"/>
      <c r="AX121" s="39"/>
      <c r="AY121" s="26"/>
      <c r="AZ121" s="25"/>
      <c r="BA121" s="22"/>
      <c r="BB121" s="22"/>
      <c r="BC121" s="22"/>
      <c r="BD121" s="22"/>
      <c r="BE121" s="22"/>
      <c r="BF121" s="123"/>
      <c r="BG121" s="123"/>
      <c r="BH121" s="89"/>
      <c r="BI121" s="89"/>
      <c r="BJ121" s="548"/>
      <c r="BK121" s="548"/>
      <c r="BL121" s="549"/>
      <c r="BM121" s="547">
        <f>(DATEDIF(BJ121,BK121,"d"))/30</f>
        <v>0</v>
      </c>
      <c r="BN121" s="490" t="s">
        <v>229</v>
      </c>
      <c r="BO121" s="77"/>
      <c r="BP121" s="100"/>
      <c r="BQ121" s="536">
        <f>(DATEDIF(BO121,BP121,"d"))/30</f>
        <v>0</v>
      </c>
      <c r="BR121" s="529"/>
      <c r="BS121" s="77"/>
      <c r="BT121" s="77"/>
      <c r="BU121" s="151"/>
      <c r="BV121" s="150">
        <f t="shared" si="357"/>
        <v>1096</v>
      </c>
      <c r="BW121" s="373"/>
      <c r="BX121" s="150" t="str">
        <f>IF(Tableau6[[#This Row],[Montant des loyers perçus avant 1e échéance]]&lt;BW121,"oui","non")</f>
        <v>non</v>
      </c>
      <c r="BY121" s="475">
        <f>(BV121-EL121)/30</f>
        <v>-1489.4333333333334</v>
      </c>
      <c r="BZ121" s="373">
        <f>IF((BY121*EO121)&lt;0,"0",BY121*EO121)</f>
        <v>0</v>
      </c>
      <c r="CA121" s="373">
        <f>IF(BW121-BZ121&lt;0,0,Tableau6[[#This Row],[Montant échéance annuelle]]-Tableau6[[#This Row],[Montant des loyers perçus avant 1e échéance]])</f>
        <v>0</v>
      </c>
      <c r="CB121" s="286"/>
      <c r="CC121" s="288"/>
      <c r="CD121" s="288"/>
      <c r="CE121" s="290" t="str">
        <f>IF(AND(CC121&gt;0,CD121&gt;0),CD121-CC121,"0")</f>
        <v>0</v>
      </c>
      <c r="CF121" s="288"/>
      <c r="CG121" s="288"/>
      <c r="CH121" s="290" t="str">
        <f>IF(AND(CF121&gt;0,CG121&gt;0),CG121-CF121,"0")</f>
        <v>0</v>
      </c>
      <c r="CI121" s="288"/>
      <c r="CJ121" s="288"/>
      <c r="CK121" s="290" t="str">
        <f>IF(AND(CI121&gt;0,CJ121&gt;0),CJ121-CI121,"0")</f>
        <v>0</v>
      </c>
      <c r="CL121" s="288"/>
      <c r="CM121" s="288"/>
      <c r="CN121" s="290" t="str">
        <f>IF(AND(CL121&gt;0,CM121&gt;0),CM121-CL121,"0")</f>
        <v>0</v>
      </c>
      <c r="CO121" s="288"/>
      <c r="CP121" s="288"/>
      <c r="CQ121" s="290" t="str">
        <f>IF(AND(CO121&gt;0,CP121&gt;0),CP121-CO121,"0")</f>
        <v>0</v>
      </c>
      <c r="CR121" s="237"/>
      <c r="CS121" s="292"/>
      <c r="CT121" s="277"/>
      <c r="CU121" s="278"/>
      <c r="CV121" s="279" t="str">
        <f>IF(AND(CT121&gt;0,CU121&gt;0),CU121-CT121,"0")</f>
        <v>0</v>
      </c>
      <c r="CW121" s="431"/>
      <c r="CX121" s="382">
        <v>44744</v>
      </c>
      <c r="CY121" s="178"/>
      <c r="CZ121" s="231">
        <f t="shared" si="382"/>
        <v>1491.4666666666667</v>
      </c>
      <c r="DA121" s="279" t="str">
        <f t="shared" si="361"/>
        <v>0</v>
      </c>
      <c r="DB121" s="383">
        <v>32</v>
      </c>
      <c r="DC121" s="127">
        <f t="shared" si="362"/>
        <v>33</v>
      </c>
      <c r="DD121" s="277"/>
      <c r="DE121" s="282">
        <f t="shared" ca="1" si="385"/>
        <v>43998</v>
      </c>
      <c r="DF121" s="279" t="str">
        <f t="shared" ca="1" si="386"/>
        <v>0</v>
      </c>
      <c r="DG121" s="277"/>
      <c r="DH121" s="295">
        <f t="shared" ca="1" si="326"/>
        <v>43998</v>
      </c>
      <c r="DI121" s="280" t="str">
        <f t="shared" ca="1" si="364"/>
        <v>0</v>
      </c>
      <c r="DJ121" s="281"/>
      <c r="DK121" s="295">
        <f t="shared" ca="1" si="395"/>
        <v>43998</v>
      </c>
      <c r="DL121" s="279" t="str">
        <f t="shared" ca="1" si="335"/>
        <v>0</v>
      </c>
      <c r="DM121" s="282"/>
      <c r="DN121" s="282">
        <f t="shared" ref="DN121:DN152" ca="1" si="396">IF(DM121&lt;TODAY(),TODAY(),DM121)</f>
        <v>43998</v>
      </c>
      <c r="DO121" s="279" t="str">
        <f t="shared" ca="1" si="365"/>
        <v>0</v>
      </c>
      <c r="DP121" s="283"/>
      <c r="DQ121" s="283"/>
      <c r="DR121" s="279" t="str">
        <f t="shared" si="366"/>
        <v>0</v>
      </c>
      <c r="DS121" s="282"/>
      <c r="DT121" s="282">
        <f t="shared" ca="1" si="318"/>
        <v>43998</v>
      </c>
      <c r="DU121" s="279" t="str">
        <f t="shared" ca="1" si="367"/>
        <v>0</v>
      </c>
      <c r="DV121" s="282"/>
      <c r="DW121" s="282">
        <f t="shared" ca="1" si="324"/>
        <v>43998</v>
      </c>
      <c r="DX121" s="279" t="str">
        <f t="shared" ca="1" si="368"/>
        <v>0</v>
      </c>
      <c r="DY121" s="282"/>
      <c r="DZ121" s="282"/>
      <c r="EA121" s="282"/>
      <c r="EB121" s="410">
        <f t="shared" si="369"/>
        <v>45718</v>
      </c>
      <c r="EC121" s="409">
        <f>DATE(YEAR(EB121),MONTH(EB121)+1,DAY(EB121))</f>
        <v>45749</v>
      </c>
      <c r="ED121" s="406">
        <f t="shared" si="370"/>
        <v>1.0333333333333334</v>
      </c>
      <c r="EE121" s="505">
        <f t="shared" ca="1" si="343"/>
        <v>58.366666666666667</v>
      </c>
      <c r="EF121" s="409">
        <f t="shared" ca="1" si="389"/>
        <v>44728</v>
      </c>
      <c r="EG121" s="457"/>
      <c r="EH121" s="448"/>
      <c r="EI121" s="458">
        <f t="shared" si="380"/>
        <v>45873</v>
      </c>
      <c r="EJ121" s="242"/>
      <c r="EK121" s="456">
        <f t="shared" si="387"/>
        <v>45749</v>
      </c>
      <c r="EL121" s="409">
        <f t="shared" si="383"/>
        <v>45779</v>
      </c>
      <c r="EM121" s="314"/>
      <c r="EN121" s="404">
        <f t="shared" si="384"/>
        <v>1</v>
      </c>
      <c r="EO121" s="394"/>
      <c r="EP121" s="131">
        <f t="shared" si="371"/>
        <v>0</v>
      </c>
      <c r="EQ121" s="60"/>
      <c r="ER121" s="60"/>
      <c r="ES121" s="742">
        <f>(Tableau6[[#This Row],[Date inauguration recalée]]-ER121)/30</f>
        <v>1525.9666666666667</v>
      </c>
      <c r="ET121" s="300"/>
      <c r="EU121" s="300"/>
      <c r="EV121" s="300"/>
      <c r="EW121" s="300"/>
      <c r="EX121" s="300"/>
      <c r="EY121" s="416" t="e">
        <f t="shared" si="344"/>
        <v>#DIV/0!</v>
      </c>
      <c r="EZ121" s="297"/>
      <c r="FA121" s="308"/>
      <c r="FB121" s="297"/>
      <c r="FC121" s="297"/>
      <c r="FD121" s="89">
        <f t="shared" ca="1" si="388"/>
        <v>44728</v>
      </c>
      <c r="FE121" s="63"/>
      <c r="FF121" s="63"/>
      <c r="FG121" s="63"/>
      <c r="FH121" s="63"/>
      <c r="FI121" s="63"/>
      <c r="FJ121" s="22"/>
      <c r="FK121" s="146">
        <f t="shared" si="381"/>
        <v>46114</v>
      </c>
      <c r="FL121" s="146"/>
      <c r="FM121" s="146"/>
      <c r="FN121" s="22"/>
      <c r="FO121" s="22"/>
      <c r="FP121" s="22"/>
      <c r="FQ121" s="22"/>
      <c r="FR121" s="22"/>
      <c r="FS121" s="22"/>
      <c r="FT121" s="22"/>
      <c r="FU121" s="22"/>
      <c r="FV121" s="22"/>
      <c r="FW121" s="22"/>
      <c r="FX121" s="22"/>
      <c r="FY121" s="22"/>
      <c r="FZ121" s="22"/>
      <c r="GA121" s="451"/>
      <c r="GB121" s="471">
        <f>GD121+GG121+GJ121+HF121+Tableau6[[#This Row],[PRÊT CREDIT D''IMPOT (PM)]]</f>
        <v>0</v>
      </c>
      <c r="GC121" s="645">
        <f t="shared" si="372"/>
        <v>0</v>
      </c>
      <c r="GD121" s="507">
        <f t="shared" si="379"/>
        <v>0</v>
      </c>
      <c r="GE121" s="20" t="e">
        <f t="shared" si="373"/>
        <v>#DIV/0!</v>
      </c>
      <c r="GF121" s="20">
        <f t="shared" si="345"/>
        <v>0</v>
      </c>
      <c r="GG121" s="503"/>
      <c r="GH121" s="351"/>
      <c r="GI121" s="20"/>
      <c r="GJ121" s="503">
        <f t="shared" si="374"/>
        <v>0</v>
      </c>
      <c r="GK121" s="5">
        <f>GL121+GM121</f>
        <v>0</v>
      </c>
      <c r="GL121" s="44"/>
      <c r="GM121" s="44"/>
      <c r="GN121" s="345">
        <f t="shared" si="376"/>
        <v>0</v>
      </c>
      <c r="GO121" s="35"/>
      <c r="GP121" s="5"/>
      <c r="GQ121" s="35"/>
      <c r="GR121" s="18" t="e">
        <f t="shared" si="377"/>
        <v>#DIV/0!</v>
      </c>
      <c r="GS121" s="35"/>
      <c r="GT121" s="35"/>
      <c r="GU121" s="35"/>
      <c r="GV121" s="20">
        <f>GP121/AD121</f>
        <v>0</v>
      </c>
      <c r="GW121" s="20">
        <f>(GG121+GP121)/AD121</f>
        <v>0</v>
      </c>
      <c r="GX121" s="569"/>
      <c r="GY121" s="569"/>
      <c r="GZ121" s="569" t="e">
        <f>(#REF!+#REF!+GY121)/AD121</f>
        <v>#REF!</v>
      </c>
      <c r="HA121" s="569"/>
      <c r="HB121" s="569">
        <f>(GG121+GP121+GY121+HA121)/AD121</f>
        <v>0</v>
      </c>
      <c r="HC121" s="568" t="e">
        <f>(GG121+GP121+GY121+HA121)/(GX121+GB121-HD121)</f>
        <v>#DIV/0!</v>
      </c>
      <c r="HD121" s="569"/>
      <c r="HE121" s="569"/>
      <c r="HF121" s="503"/>
      <c r="HG121" s="633"/>
      <c r="HH121" s="634" t="e">
        <f>HG121/GB121</f>
        <v>#DIV/0!</v>
      </c>
      <c r="HI121" s="633">
        <f>GB121-HG121</f>
        <v>0</v>
      </c>
      <c r="HJ121" s="633" t="e">
        <f ca="1">IF(EE121&lt;DATEDIF(TODAY(),$HJ$1,"M"),HI121,(HI121/EE121*DATEDIF(TODAY(),$HJ$1,"M")))</f>
        <v>#VALUE!</v>
      </c>
      <c r="HK121" s="634" t="e">
        <f ca="1">(HG121+HJ121)/GB121</f>
        <v>#VALUE!</v>
      </c>
      <c r="HL121" s="633"/>
      <c r="HM121" s="633">
        <f>GD121-HL121</f>
        <v>0</v>
      </c>
      <c r="HN121" s="633" t="e">
        <f>HL121/GD121</f>
        <v>#DIV/0!</v>
      </c>
      <c r="HO121" s="633"/>
      <c r="HP121" s="563"/>
      <c r="HQ121" s="47"/>
      <c r="HR121" s="563"/>
      <c r="HS121" s="563">
        <f>SUM(Tableau6[[#This Row],[GO]:[CARRELAGE]])</f>
        <v>0</v>
      </c>
      <c r="HT121" s="461"/>
      <c r="HU121" s="461"/>
      <c r="HV121" s="461"/>
      <c r="HW121" s="461"/>
      <c r="HX121" s="461"/>
      <c r="HY121" s="461"/>
      <c r="HZ121" s="461"/>
      <c r="IA121" s="461"/>
      <c r="IB121" s="461"/>
      <c r="IC121" s="461"/>
      <c r="ID121" s="461"/>
      <c r="IE121" s="461"/>
      <c r="IF121" s="461"/>
      <c r="IG121" s="563"/>
      <c r="IH121" s="563"/>
      <c r="II121" s="563">
        <f>HP121+HR121+Tableau6[[#This Row],[TRAVAUX BATIS]]+Tableau6[[#This Row],[HONORAIRES]]+IH121</f>
        <v>0</v>
      </c>
      <c r="IJ121" s="654">
        <f>Tableau6[[#This Row],[TOTAL PRP HT]]-Tableau6[[#This Row],[PRP TTC HORS FRAFU]]/1.021</f>
        <v>0</v>
      </c>
      <c r="IK121" s="9"/>
      <c r="IL121" s="9"/>
      <c r="IM121" s="9"/>
      <c r="IN121" s="9"/>
      <c r="IO121" s="9"/>
      <c r="IP121" s="9"/>
      <c r="IQ121" s="9"/>
      <c r="IR121" s="9"/>
      <c r="IS121" s="9"/>
      <c r="IT121" s="9"/>
      <c r="IU121" s="9"/>
      <c r="IV121" s="9"/>
    </row>
    <row r="122" spans="1:256" ht="15" customHeight="1">
      <c r="A122" s="441" t="s">
        <v>821</v>
      </c>
      <c r="B122" s="23" t="s">
        <v>21</v>
      </c>
      <c r="C122" s="23" t="s">
        <v>86</v>
      </c>
      <c r="D122" s="22">
        <v>2021</v>
      </c>
      <c r="E122" s="23"/>
      <c r="F122" s="22" t="s">
        <v>834</v>
      </c>
      <c r="G122" s="22"/>
      <c r="H122" s="23"/>
      <c r="I122" s="22"/>
      <c r="J122" s="23"/>
      <c r="K122" s="102"/>
      <c r="L122" s="81"/>
      <c r="M122" s="82"/>
      <c r="N122" s="83"/>
      <c r="O122" s="108"/>
      <c r="P122" s="103"/>
      <c r="Q122" s="103"/>
      <c r="R122" s="103">
        <f t="shared" si="390"/>
        <v>0</v>
      </c>
      <c r="S122" s="103" t="e">
        <f t="shared" si="391"/>
        <v>#DIV/0!</v>
      </c>
      <c r="T122" s="109" t="e">
        <f t="shared" si="392"/>
        <v>#DIV/0!</v>
      </c>
      <c r="U122" s="109"/>
      <c r="V122" s="109">
        <f t="shared" si="393"/>
        <v>0</v>
      </c>
      <c r="W122" s="103">
        <f t="shared" si="394"/>
        <v>0</v>
      </c>
      <c r="X122" s="110"/>
      <c r="Y122" s="447"/>
      <c r="Z122" s="110"/>
      <c r="AA122" s="104"/>
      <c r="AB122" s="105"/>
      <c r="AC122" s="23" t="s">
        <v>300</v>
      </c>
      <c r="AD122" s="426">
        <f t="shared" si="352"/>
        <v>86</v>
      </c>
      <c r="AE122" s="426"/>
      <c r="AF122" s="32"/>
      <c r="AG122" s="135"/>
      <c r="AH122" s="32"/>
      <c r="AI122" s="22">
        <v>86</v>
      </c>
      <c r="AJ122" s="26"/>
      <c r="AK122" s="222"/>
      <c r="AL122" s="492"/>
      <c r="AM122" s="26"/>
      <c r="AN122" s="26"/>
      <c r="AO122" s="26"/>
      <c r="AP122" s="26"/>
      <c r="AQ122" s="39"/>
      <c r="AR122" s="39"/>
      <c r="AS122" s="39"/>
      <c r="AT122" s="28"/>
      <c r="AU122" s="26"/>
      <c r="AV122" s="37"/>
      <c r="AW122" s="39"/>
      <c r="AX122" s="39"/>
      <c r="AY122" s="26"/>
      <c r="AZ122" s="25"/>
      <c r="BA122" s="22"/>
      <c r="BB122" s="57"/>
      <c r="BC122" s="586"/>
      <c r="BD122" s="587"/>
      <c r="BE122" s="588"/>
      <c r="BF122" s="122"/>
      <c r="BG122" s="122"/>
      <c r="BH122" s="22"/>
      <c r="BI122" s="22"/>
      <c r="BJ122" s="548"/>
      <c r="BK122" s="548"/>
      <c r="BL122" s="549"/>
      <c r="BM122" s="547"/>
      <c r="BN122" s="490"/>
      <c r="BO122" s="77"/>
      <c r="BP122" s="100"/>
      <c r="BQ122" s="536"/>
      <c r="BR122" s="529"/>
      <c r="BS122" s="77"/>
      <c r="BT122" s="77"/>
      <c r="BU122" s="151"/>
      <c r="BV122" s="150">
        <f t="shared" si="357"/>
        <v>1096</v>
      </c>
      <c r="BW122" s="373"/>
      <c r="BX122" s="150" t="str">
        <f>IF(Tableau6[[#This Row],[Montant des loyers perçus avant 1e échéance]]&lt;BW122,"oui","non")</f>
        <v>non</v>
      </c>
      <c r="BY122" s="475"/>
      <c r="BZ122" s="373"/>
      <c r="CA122" s="373">
        <f>IF(BW122-BZ122&lt;0,0,Tableau6[[#This Row],[Montant échéance annuelle]]-Tableau6[[#This Row],[Montant des loyers perçus avant 1e échéance]])</f>
        <v>0</v>
      </c>
      <c r="CB122" s="288"/>
      <c r="CC122" s="288"/>
      <c r="CD122" s="288"/>
      <c r="CE122" s="290"/>
      <c r="CF122" s="288"/>
      <c r="CG122" s="288"/>
      <c r="CH122" s="290"/>
      <c r="CI122" s="288"/>
      <c r="CJ122" s="288"/>
      <c r="CK122" s="290"/>
      <c r="CL122" s="291"/>
      <c r="CM122" s="288"/>
      <c r="CN122" s="290"/>
      <c r="CO122" s="288"/>
      <c r="CP122" s="288"/>
      <c r="CQ122" s="290"/>
      <c r="CR122" s="22"/>
      <c r="CS122" s="289"/>
      <c r="CT122" s="277"/>
      <c r="CU122" s="278"/>
      <c r="CV122" s="279"/>
      <c r="CW122" s="431"/>
      <c r="CX122" s="382">
        <v>44746</v>
      </c>
      <c r="CY122" s="429"/>
      <c r="CZ122" s="231">
        <f t="shared" si="382"/>
        <v>1491.5333333333333</v>
      </c>
      <c r="DA122" s="279" t="str">
        <f t="shared" si="361"/>
        <v>0</v>
      </c>
      <c r="DB122" s="383">
        <v>12</v>
      </c>
      <c r="DC122" s="127">
        <f t="shared" si="362"/>
        <v>13</v>
      </c>
      <c r="DD122" s="277"/>
      <c r="DE122" s="282">
        <f t="shared" ca="1" si="385"/>
        <v>43998</v>
      </c>
      <c r="DF122" s="279" t="str">
        <f t="shared" ca="1" si="386"/>
        <v>0</v>
      </c>
      <c r="DG122" s="277"/>
      <c r="DH122" s="295">
        <f t="shared" ref="DH122:DH153" ca="1" si="397">IF(DG122&lt;TODAY(),TODAY(),DG122)</f>
        <v>43998</v>
      </c>
      <c r="DI122" s="280" t="str">
        <f t="shared" ca="1" si="364"/>
        <v>0</v>
      </c>
      <c r="DJ122" s="281"/>
      <c r="DK122" s="295">
        <f t="shared" ca="1" si="395"/>
        <v>43998</v>
      </c>
      <c r="DL122" s="279" t="str">
        <f t="shared" ca="1" si="335"/>
        <v>0</v>
      </c>
      <c r="DM122" s="282">
        <v>43542</v>
      </c>
      <c r="DN122" s="282">
        <f t="shared" ca="1" si="396"/>
        <v>43998</v>
      </c>
      <c r="DO122" s="279">
        <f t="shared" ca="1" si="365"/>
        <v>456</v>
      </c>
      <c r="DP122" s="283"/>
      <c r="DQ122" s="283"/>
      <c r="DR122" s="279" t="str">
        <f t="shared" si="366"/>
        <v>0</v>
      </c>
      <c r="DS122" s="282"/>
      <c r="DT122" s="282">
        <f t="shared" ca="1" si="318"/>
        <v>43998</v>
      </c>
      <c r="DU122" s="279" t="str">
        <f t="shared" ca="1" si="367"/>
        <v>0</v>
      </c>
      <c r="DV122" s="282">
        <v>43619</v>
      </c>
      <c r="DW122" s="282">
        <f t="shared" ca="1" si="324"/>
        <v>43998</v>
      </c>
      <c r="DX122" s="279">
        <f t="shared" ca="1" si="368"/>
        <v>379</v>
      </c>
      <c r="DY122" s="283"/>
      <c r="DZ122" s="283"/>
      <c r="EA122" s="283"/>
      <c r="EB122" s="410">
        <f t="shared" si="369"/>
        <v>45111</v>
      </c>
      <c r="EC122" s="409">
        <f>DATE(YEAR(EB122),MONTH(EB122)+1,DAY(EB122))</f>
        <v>45142</v>
      </c>
      <c r="ED122" s="406">
        <f t="shared" si="370"/>
        <v>1.0333333333333334</v>
      </c>
      <c r="EE122" s="505">
        <f t="shared" ca="1" si="343"/>
        <v>38.133333333333333</v>
      </c>
      <c r="EF122" s="409">
        <f t="shared" ca="1" si="389"/>
        <v>44728</v>
      </c>
      <c r="EG122" s="457"/>
      <c r="EH122" s="448"/>
      <c r="EI122" s="458">
        <f t="shared" si="380"/>
        <v>45266</v>
      </c>
      <c r="EJ122" s="242"/>
      <c r="EK122" s="456">
        <f t="shared" si="387"/>
        <v>45142</v>
      </c>
      <c r="EL122" s="409">
        <f t="shared" si="383"/>
        <v>45173</v>
      </c>
      <c r="EM122" s="314"/>
      <c r="EN122" s="404">
        <f t="shared" si="384"/>
        <v>1.0333333333333334</v>
      </c>
      <c r="EO122" s="394"/>
      <c r="EP122" s="131">
        <f t="shared" si="371"/>
        <v>0</v>
      </c>
      <c r="EQ122" s="60"/>
      <c r="ER122" s="60"/>
      <c r="ES122" s="742"/>
      <c r="ET122" s="300"/>
      <c r="EU122" s="300"/>
      <c r="EV122" s="300"/>
      <c r="EW122" s="300"/>
      <c r="EX122" s="300"/>
      <c r="EY122" s="416">
        <f t="shared" si="344"/>
        <v>0</v>
      </c>
      <c r="EZ122" s="297"/>
      <c r="FA122" s="308"/>
      <c r="FB122" s="297"/>
      <c r="FC122" s="297"/>
      <c r="FD122" s="89">
        <f t="shared" ca="1" si="388"/>
        <v>44728</v>
      </c>
      <c r="FE122" s="63"/>
      <c r="FF122" s="63"/>
      <c r="FG122" s="63"/>
      <c r="FH122" s="63"/>
      <c r="FI122" s="63"/>
      <c r="FJ122" s="22"/>
      <c r="FK122" s="146">
        <f t="shared" si="381"/>
        <v>45508</v>
      </c>
      <c r="FL122" s="146"/>
      <c r="FM122" s="146"/>
      <c r="FN122" s="22"/>
      <c r="FO122" s="22"/>
      <c r="FP122" s="22"/>
      <c r="FQ122" s="22"/>
      <c r="FR122" s="22"/>
      <c r="FS122" s="22"/>
      <c r="FT122" s="22"/>
      <c r="FU122" s="22"/>
      <c r="FV122" s="22"/>
      <c r="FW122" s="22"/>
      <c r="FX122" s="22"/>
      <c r="FY122" s="22"/>
      <c r="FZ122" s="22"/>
      <c r="GA122" s="451"/>
      <c r="GB122" s="471">
        <f>GD122+GG122+GJ122+HF122+Tableau6[[#This Row],[PRÊT CREDIT D''IMPOT (PM)]]</f>
        <v>4327000</v>
      </c>
      <c r="GC122" s="645">
        <f t="shared" si="372"/>
        <v>4327000</v>
      </c>
      <c r="GD122" s="507">
        <f t="shared" si="379"/>
        <v>538000</v>
      </c>
      <c r="GE122" s="20" t="e">
        <f t="shared" si="373"/>
        <v>#DIV/0!</v>
      </c>
      <c r="GF122" s="20">
        <f t="shared" si="345"/>
        <v>50313.953488372092</v>
      </c>
      <c r="GG122" s="503">
        <v>886000</v>
      </c>
      <c r="GH122" s="351"/>
      <c r="GI122" s="20">
        <f t="shared" ref="GI122:GI127" si="398">GG122/AD122</f>
        <v>10302.325581395349</v>
      </c>
      <c r="GJ122" s="503">
        <f t="shared" si="374"/>
        <v>2903000</v>
      </c>
      <c r="GK122" s="5">
        <v>2903000</v>
      </c>
      <c r="GL122" s="44"/>
      <c r="GM122" s="44"/>
      <c r="GN122" s="345">
        <f t="shared" si="376"/>
        <v>33755.813953488374</v>
      </c>
      <c r="GO122" s="35"/>
      <c r="GP122" s="5">
        <v>538000</v>
      </c>
      <c r="GQ122" s="35"/>
      <c r="GR122" s="18">
        <f t="shared" si="377"/>
        <v>0.12433556736769125</v>
      </c>
      <c r="GS122" s="35"/>
      <c r="GT122" s="35"/>
      <c r="GU122" s="35"/>
      <c r="GV122" s="20"/>
      <c r="GW122" s="20"/>
      <c r="GX122" s="569"/>
      <c r="GY122" s="569"/>
      <c r="GZ122" s="569"/>
      <c r="HA122" s="569"/>
      <c r="HB122" s="569"/>
      <c r="HC122" s="568"/>
      <c r="HD122" s="569"/>
      <c r="HE122" s="569"/>
      <c r="HF122" s="503"/>
      <c r="HG122" s="633"/>
      <c r="HH122" s="634"/>
      <c r="HI122" s="633"/>
      <c r="HJ122" s="633"/>
      <c r="HK122" s="634"/>
      <c r="HL122" s="633"/>
      <c r="HM122" s="633"/>
      <c r="HN122" s="633"/>
      <c r="HO122" s="633"/>
      <c r="HP122" s="563"/>
      <c r="HQ122" s="47"/>
      <c r="HR122" s="563"/>
      <c r="HS122" s="563">
        <f>SUM(Tableau6[[#This Row],[GO]:[CARRELAGE]])</f>
        <v>0</v>
      </c>
      <c r="HT122" s="461"/>
      <c r="HU122" s="461"/>
      <c r="HV122" s="461"/>
      <c r="HW122" s="461"/>
      <c r="HX122" s="461"/>
      <c r="HY122" s="461"/>
      <c r="HZ122" s="461"/>
      <c r="IA122" s="461"/>
      <c r="IB122" s="461"/>
      <c r="IC122" s="461"/>
      <c r="ID122" s="461"/>
      <c r="IE122" s="461"/>
      <c r="IF122" s="461"/>
      <c r="IG122" s="563"/>
      <c r="IH122" s="563"/>
      <c r="II122" s="563">
        <f>HP122+HR122+Tableau6[[#This Row],[TRAVAUX BATIS]]+Tableau6[[#This Row],[HONORAIRES]]+IH122</f>
        <v>0</v>
      </c>
      <c r="IJ122" s="654">
        <f>Tableau6[[#This Row],[TOTAL PRP HT]]-Tableau6[[#This Row],[PRP TTC HORS FRAFU]]/1.021</f>
        <v>-4238001.9588638591</v>
      </c>
      <c r="IK122" s="9"/>
      <c r="IL122" s="9"/>
      <c r="IM122" s="9"/>
      <c r="IN122" s="9"/>
      <c r="IO122" s="9"/>
      <c r="IP122" s="9"/>
      <c r="IQ122" s="9"/>
      <c r="IR122" s="9"/>
      <c r="IS122" s="9"/>
      <c r="IT122" s="9"/>
      <c r="IU122" s="9"/>
      <c r="IV122" s="9"/>
    </row>
    <row r="123" spans="1:256" ht="15" customHeight="1">
      <c r="A123" s="428" t="s">
        <v>926</v>
      </c>
      <c r="B123" s="22" t="s">
        <v>21</v>
      </c>
      <c r="C123" s="22" t="s">
        <v>86</v>
      </c>
      <c r="D123" s="22">
        <v>2021</v>
      </c>
      <c r="E123" s="22"/>
      <c r="F123" s="22" t="s">
        <v>870</v>
      </c>
      <c r="G123" s="22" t="s">
        <v>860</v>
      </c>
      <c r="H123" s="24" t="s">
        <v>193</v>
      </c>
      <c r="I123" s="22"/>
      <c r="J123" s="22" t="s">
        <v>927</v>
      </c>
      <c r="K123" s="134"/>
      <c r="L123" s="81"/>
      <c r="M123" s="82"/>
      <c r="N123" s="83"/>
      <c r="O123" s="103">
        <v>1450</v>
      </c>
      <c r="P123" s="103"/>
      <c r="Q123" s="103"/>
      <c r="R123" s="103">
        <f t="shared" si="390"/>
        <v>0</v>
      </c>
      <c r="S123" s="103">
        <f t="shared" si="391"/>
        <v>0</v>
      </c>
      <c r="T123" s="109">
        <f t="shared" si="392"/>
        <v>0</v>
      </c>
      <c r="U123" s="109">
        <f t="shared" ref="U123:U129" si="399">Q123/AK123</f>
        <v>0</v>
      </c>
      <c r="V123" s="109">
        <f t="shared" si="393"/>
        <v>0</v>
      </c>
      <c r="W123" s="103">
        <f t="shared" si="394"/>
        <v>36.25</v>
      </c>
      <c r="X123" s="104"/>
      <c r="Y123" s="444">
        <f t="shared" ref="Y123:Y130" si="400">10000*AD123/O123</f>
        <v>275.86206896551727</v>
      </c>
      <c r="Z123" s="104"/>
      <c r="AA123" s="104"/>
      <c r="AB123" s="105"/>
      <c r="AC123" s="22" t="s">
        <v>9</v>
      </c>
      <c r="AD123" s="426">
        <f t="shared" si="352"/>
        <v>40</v>
      </c>
      <c r="AE123" s="426">
        <f t="shared" ref="AE123:AE130" si="401">AD123-AI123</f>
        <v>40</v>
      </c>
      <c r="AF123" s="22">
        <v>40</v>
      </c>
      <c r="AG123" s="32"/>
      <c r="AH123" s="32"/>
      <c r="AI123" s="32"/>
      <c r="AJ123" s="615">
        <v>2886</v>
      </c>
      <c r="AK123" s="222">
        <v>3437.29</v>
      </c>
      <c r="AL123" s="492">
        <f t="shared" ref="AL123:AL163" si="402">AJ123/AD123</f>
        <v>72.150000000000006</v>
      </c>
      <c r="AM123" s="4">
        <f t="shared" ref="AM123:AM163" si="403">AK123/AD123</f>
        <v>85.932249999999996</v>
      </c>
      <c r="AN123" s="26"/>
      <c r="AO123" s="26"/>
      <c r="AP123" s="26"/>
      <c r="AQ123" s="39"/>
      <c r="AR123" s="39"/>
      <c r="AS123" s="39"/>
      <c r="AT123" s="39"/>
      <c r="AU123" s="39"/>
      <c r="AV123" s="26"/>
      <c r="AW123" s="37"/>
      <c r="AX123" s="39"/>
      <c r="AY123" s="26"/>
      <c r="AZ123" s="25"/>
      <c r="BA123" s="22"/>
      <c r="BB123" s="118">
        <v>6925920</v>
      </c>
      <c r="BC123" s="437">
        <f t="shared" ref="BC123:BC163" si="404">BB123/AJ123</f>
        <v>2399.83367983368</v>
      </c>
      <c r="BD123" s="332">
        <f t="shared" ref="BD123:BD163" si="405">BB123/AK123</f>
        <v>2014.9361851924045</v>
      </c>
      <c r="BE123" s="334">
        <f t="shared" ref="BE123:BE163" si="406">BB123/AD123</f>
        <v>173148</v>
      </c>
      <c r="BF123" s="123"/>
      <c r="BG123" s="123"/>
      <c r="BH123" s="89"/>
      <c r="BI123" s="89"/>
      <c r="BJ123" s="548"/>
      <c r="BK123" s="548"/>
      <c r="BL123" s="549"/>
      <c r="BM123" s="547">
        <f>(DATEDIF(BJ123,BK123,"d"))/30</f>
        <v>0</v>
      </c>
      <c r="BN123" s="490" t="s">
        <v>229</v>
      </c>
      <c r="BO123" s="77"/>
      <c r="BP123" s="100"/>
      <c r="BQ123" s="536">
        <f>(DATEDIF(BO123,BP123,"d"))/30</f>
        <v>0</v>
      </c>
      <c r="BR123" s="529"/>
      <c r="BS123" s="77"/>
      <c r="BT123" s="77"/>
      <c r="BU123" s="151"/>
      <c r="BV123" s="150">
        <f t="shared" si="357"/>
        <v>1096</v>
      </c>
      <c r="BW123" s="373"/>
      <c r="BX123" s="150" t="str">
        <f>IF(Tableau6[[#This Row],[Montant des loyers perçus avant 1e échéance]]&lt;BW123,"oui","non")</f>
        <v>non</v>
      </c>
      <c r="BY123" s="475">
        <f>(BV123-EL123)/30</f>
        <v>-1490.5</v>
      </c>
      <c r="BZ123" s="373">
        <f>IF((BY123*EO123)&lt;0,"0",BY123*EO123)</f>
        <v>0</v>
      </c>
      <c r="CA123" s="373">
        <f>IF(BW123-BZ123&lt;0,0,Tableau6[[#This Row],[Montant échéance annuelle]]-Tableau6[[#This Row],[Montant des loyers perçus avant 1e échéance]])</f>
        <v>0</v>
      </c>
      <c r="CB123" s="286"/>
      <c r="CC123" s="288"/>
      <c r="CD123" s="288"/>
      <c r="CE123" s="290" t="str">
        <f>IF(AND(CC123&gt;0,CD123&gt;0),CD123-CC123,"0")</f>
        <v>0</v>
      </c>
      <c r="CF123" s="288"/>
      <c r="CG123" s="288"/>
      <c r="CH123" s="290" t="str">
        <f>IF(AND(CF123&gt;0,CG123&gt;0),CG123-CF123,"0")</f>
        <v>0</v>
      </c>
      <c r="CI123" s="288"/>
      <c r="CJ123" s="288"/>
      <c r="CK123" s="290" t="str">
        <f>IF(AND(CI123&gt;0,CJ123&gt;0),CJ123-CI123,"0")</f>
        <v>0</v>
      </c>
      <c r="CL123" s="288"/>
      <c r="CM123" s="288"/>
      <c r="CN123" s="290" t="str">
        <f>IF(AND(CL123&gt;0,CM123&gt;0),CM123-CL123,"0")</f>
        <v>0</v>
      </c>
      <c r="CO123" s="288"/>
      <c r="CP123" s="288"/>
      <c r="CQ123" s="290" t="str">
        <f>IF(AND(CO123&gt;0,CP123&gt;0),CP123-CO123,"0")</f>
        <v>0</v>
      </c>
      <c r="CR123" s="237"/>
      <c r="CS123" s="292"/>
      <c r="CT123" s="277"/>
      <c r="CU123" s="278"/>
      <c r="CV123" s="279" t="str">
        <f t="shared" ref="CV123:CV163" si="407">IF(AND(CT123&gt;0,CU123&gt;0),CU123-CT123,"0")</f>
        <v>0</v>
      </c>
      <c r="CW123" s="431"/>
      <c r="CX123" s="382">
        <v>44745</v>
      </c>
      <c r="CY123" s="178"/>
      <c r="CZ123" s="231">
        <f t="shared" si="382"/>
        <v>1491.5</v>
      </c>
      <c r="DA123" s="279" t="str">
        <f t="shared" si="361"/>
        <v>0</v>
      </c>
      <c r="DB123" s="383">
        <v>33</v>
      </c>
      <c r="DC123" s="127">
        <f t="shared" si="362"/>
        <v>34</v>
      </c>
      <c r="DD123" s="277"/>
      <c r="DE123" s="282">
        <f t="shared" ca="1" si="385"/>
        <v>43998</v>
      </c>
      <c r="DF123" s="279" t="str">
        <f t="shared" ca="1" si="386"/>
        <v>0</v>
      </c>
      <c r="DG123" s="277"/>
      <c r="DH123" s="295">
        <f t="shared" ca="1" si="397"/>
        <v>43998</v>
      </c>
      <c r="DI123" s="280" t="str">
        <f t="shared" ca="1" si="364"/>
        <v>0</v>
      </c>
      <c r="DJ123" s="281"/>
      <c r="DK123" s="295">
        <f t="shared" ca="1" si="395"/>
        <v>43998</v>
      </c>
      <c r="DL123" s="279" t="str">
        <f t="shared" ca="1" si="335"/>
        <v>0</v>
      </c>
      <c r="DM123" s="282"/>
      <c r="DN123" s="282">
        <f t="shared" ca="1" si="396"/>
        <v>43998</v>
      </c>
      <c r="DO123" s="279" t="str">
        <f t="shared" ca="1" si="365"/>
        <v>0</v>
      </c>
      <c r="DP123" s="283"/>
      <c r="DQ123" s="283"/>
      <c r="DR123" s="279" t="str">
        <f t="shared" si="366"/>
        <v>0</v>
      </c>
      <c r="DS123" s="282"/>
      <c r="DT123" s="282">
        <f t="shared" ca="1" si="318"/>
        <v>43998</v>
      </c>
      <c r="DU123" s="279" t="str">
        <f t="shared" ca="1" si="367"/>
        <v>0</v>
      </c>
      <c r="DV123" s="282"/>
      <c r="DW123" s="282">
        <f t="shared" ca="1" si="324"/>
        <v>43998</v>
      </c>
      <c r="DX123" s="279" t="str">
        <f t="shared" ca="1" si="368"/>
        <v>0</v>
      </c>
      <c r="DY123" s="282"/>
      <c r="DZ123" s="282"/>
      <c r="EA123" s="282"/>
      <c r="EB123" s="410">
        <f t="shared" si="369"/>
        <v>45750</v>
      </c>
      <c r="EC123" s="409">
        <f>DATE(YEAR(EB123),MONTH(EB123)+1,DAY(EB123))</f>
        <v>45780</v>
      </c>
      <c r="ED123" s="406">
        <f t="shared" si="370"/>
        <v>1</v>
      </c>
      <c r="EE123" s="505">
        <f t="shared" ca="1" si="343"/>
        <v>59.4</v>
      </c>
      <c r="EF123" s="409">
        <f t="shared" ca="1" si="389"/>
        <v>44728</v>
      </c>
      <c r="EG123" s="457"/>
      <c r="EH123" s="448"/>
      <c r="EI123" s="458">
        <f t="shared" si="380"/>
        <v>45905</v>
      </c>
      <c r="EJ123" s="242"/>
      <c r="EK123" s="456">
        <f t="shared" si="387"/>
        <v>45780</v>
      </c>
      <c r="EL123" s="409">
        <f t="shared" si="383"/>
        <v>45811</v>
      </c>
      <c r="EM123" s="314"/>
      <c r="EN123" s="404">
        <f t="shared" si="384"/>
        <v>1.0333333333333334</v>
      </c>
      <c r="EO123" s="394"/>
      <c r="EP123" s="131">
        <f t="shared" si="371"/>
        <v>0</v>
      </c>
      <c r="EQ123" s="60"/>
      <c r="ER123" s="60"/>
      <c r="ES123" s="742"/>
      <c r="ET123" s="300"/>
      <c r="EU123" s="300"/>
      <c r="EV123" s="300"/>
      <c r="EW123" s="300"/>
      <c r="EX123" s="300"/>
      <c r="EY123" s="416">
        <f t="shared" si="344"/>
        <v>0</v>
      </c>
      <c r="EZ123" s="297"/>
      <c r="FA123" s="308"/>
      <c r="FB123" s="297"/>
      <c r="FC123" s="297"/>
      <c r="FD123" s="89">
        <f t="shared" ca="1" si="388"/>
        <v>44728</v>
      </c>
      <c r="FE123" s="63"/>
      <c r="FF123" s="63"/>
      <c r="FG123" s="63"/>
      <c r="FH123" s="63"/>
      <c r="FI123" s="63"/>
      <c r="FJ123" s="22"/>
      <c r="FK123" s="146">
        <f t="shared" si="381"/>
        <v>46145</v>
      </c>
      <c r="FL123" s="146"/>
      <c r="FM123" s="146"/>
      <c r="FN123" s="22"/>
      <c r="FO123" s="22"/>
      <c r="FP123" s="22"/>
      <c r="FQ123" s="22"/>
      <c r="FR123" s="22"/>
      <c r="FS123" s="22"/>
      <c r="FT123" s="22"/>
      <c r="FU123" s="22"/>
      <c r="FV123" s="22"/>
      <c r="FW123" s="22"/>
      <c r="FX123" s="22"/>
      <c r="FY123" s="22"/>
      <c r="FZ123" s="22"/>
      <c r="GA123" s="451"/>
      <c r="GB123" s="471">
        <f>GD123+GG123+GJ123+HF123+Tableau6[[#This Row],[PRÊT CREDIT D''IMPOT (PM)]]</f>
        <v>7290650.0408227239</v>
      </c>
      <c r="GC123" s="645">
        <f t="shared" si="372"/>
        <v>7290650.0408227239</v>
      </c>
      <c r="GD123" s="507">
        <f t="shared" si="379"/>
        <v>960000</v>
      </c>
      <c r="GE123" s="20">
        <f t="shared" si="373"/>
        <v>2121.0459521375046</v>
      </c>
      <c r="GF123" s="20">
        <f t="shared" si="345"/>
        <v>182266.2510205681</v>
      </c>
      <c r="GG123" s="503">
        <v>2185978.0480000004</v>
      </c>
      <c r="GH123" s="351"/>
      <c r="GI123" s="20">
        <f t="shared" si="398"/>
        <v>54649.45120000001</v>
      </c>
      <c r="GJ123" s="503">
        <f t="shared" si="374"/>
        <v>4144671.9928227235</v>
      </c>
      <c r="GK123" s="5">
        <f t="shared" ref="GK123:GK163" si="408">GL123+GM123</f>
        <v>4144671.9928227235</v>
      </c>
      <c r="GL123" s="44">
        <v>828934.39856454474</v>
      </c>
      <c r="GM123" s="44">
        <v>3315737.594258179</v>
      </c>
      <c r="GN123" s="345">
        <f t="shared" si="376"/>
        <v>103616.79982056809</v>
      </c>
      <c r="GO123" s="35"/>
      <c r="GP123" s="5">
        <v>960000</v>
      </c>
      <c r="GQ123" s="35"/>
      <c r="GR123" s="18">
        <f t="shared" si="377"/>
        <v>0.13167550144701054</v>
      </c>
      <c r="GS123" s="35"/>
      <c r="GT123" s="35"/>
      <c r="GU123" s="35"/>
      <c r="GV123" s="20"/>
      <c r="GW123" s="20"/>
      <c r="GX123" s="569"/>
      <c r="GY123" s="569"/>
      <c r="GZ123" s="567"/>
      <c r="HA123" s="569"/>
      <c r="HB123" s="569"/>
      <c r="HC123" s="568"/>
      <c r="HD123" s="569"/>
      <c r="HE123" s="569"/>
      <c r="HF123" s="503"/>
      <c r="HG123" s="633"/>
      <c r="HH123" s="634">
        <f>HG123/GB123</f>
        <v>0</v>
      </c>
      <c r="HI123" s="633">
        <f>GB123-HG123</f>
        <v>7290650.0408227239</v>
      </c>
      <c r="HJ123" s="633" t="e">
        <f ca="1">IF(EE123&lt;DATEDIF(TODAY(),$HJ$1,"M"),HI123,(HI123/EE123*DATEDIF(TODAY(),$HJ$1,"M")))</f>
        <v>#VALUE!</v>
      </c>
      <c r="HK123" s="634" t="e">
        <f ca="1">(HG123+HJ123)/GB123</f>
        <v>#VALUE!</v>
      </c>
      <c r="HL123" s="633"/>
      <c r="HM123" s="633">
        <f>GD123-HL123</f>
        <v>960000</v>
      </c>
      <c r="HN123" s="633">
        <f>HL123/GD123</f>
        <v>0</v>
      </c>
      <c r="HO123" s="633"/>
      <c r="HP123" s="563"/>
      <c r="HQ123" s="47"/>
      <c r="HR123" s="563"/>
      <c r="HS123" s="563">
        <f>SUM(Tableau6[[#This Row],[GO]:[CARRELAGE]])</f>
        <v>0</v>
      </c>
      <c r="HT123" s="461"/>
      <c r="HU123" s="461"/>
      <c r="HV123" s="461"/>
      <c r="HW123" s="461"/>
      <c r="HX123" s="461"/>
      <c r="HY123" s="461"/>
      <c r="HZ123" s="461"/>
      <c r="IA123" s="461"/>
      <c r="IB123" s="461"/>
      <c r="IC123" s="461"/>
      <c r="ID123" s="461"/>
      <c r="IE123" s="461"/>
      <c r="IF123" s="461"/>
      <c r="IG123" s="563"/>
      <c r="IH123" s="563"/>
      <c r="II123" s="563">
        <f>HP123+HR123+Tableau6[[#This Row],[TRAVAUX BATIS]]+Tableau6[[#This Row],[HONORAIRES]]+IH123</f>
        <v>0</v>
      </c>
      <c r="IJ123" s="654">
        <f>Tableau6[[#This Row],[TOTAL PRP HT]]-Tableau6[[#This Row],[PRP TTC HORS FRAFU]]/1.021</f>
        <v>-7140695.4366530115</v>
      </c>
      <c r="IK123" s="9"/>
      <c r="IL123" s="9"/>
      <c r="IM123" s="9"/>
      <c r="IN123" s="9"/>
      <c r="IO123" s="9"/>
      <c r="IP123" s="9"/>
      <c r="IQ123" s="9"/>
      <c r="IR123" s="9"/>
      <c r="IS123" s="9"/>
      <c r="IT123" s="9"/>
      <c r="IU123" s="9"/>
      <c r="IV123" s="9"/>
    </row>
    <row r="124" spans="1:256" ht="15" customHeight="1">
      <c r="A124" s="428" t="s">
        <v>885</v>
      </c>
      <c r="B124" s="22" t="s">
        <v>21</v>
      </c>
      <c r="C124" s="22" t="s">
        <v>86</v>
      </c>
      <c r="D124" s="22">
        <v>2021</v>
      </c>
      <c r="E124" s="22" t="s">
        <v>853</v>
      </c>
      <c r="F124" s="57"/>
      <c r="G124" s="57"/>
      <c r="H124" s="24" t="s">
        <v>859</v>
      </c>
      <c r="I124" s="22"/>
      <c r="J124" s="22" t="s">
        <v>652</v>
      </c>
      <c r="K124" s="134"/>
      <c r="L124" s="81"/>
      <c r="M124" s="82"/>
      <c r="N124" s="83"/>
      <c r="O124" s="103">
        <v>33407</v>
      </c>
      <c r="P124" s="103"/>
      <c r="Q124" s="103"/>
      <c r="R124" s="103">
        <f t="shared" si="390"/>
        <v>0</v>
      </c>
      <c r="S124" s="103">
        <f t="shared" si="391"/>
        <v>0</v>
      </c>
      <c r="T124" s="109">
        <f t="shared" si="392"/>
        <v>0</v>
      </c>
      <c r="U124" s="109">
        <f t="shared" si="399"/>
        <v>0</v>
      </c>
      <c r="V124" s="109">
        <f t="shared" si="393"/>
        <v>0</v>
      </c>
      <c r="W124" s="103">
        <f t="shared" si="394"/>
        <v>513.95384615384614</v>
      </c>
      <c r="X124" s="104"/>
      <c r="Y124" s="447">
        <f t="shared" si="400"/>
        <v>19.457000029933845</v>
      </c>
      <c r="Z124" s="104"/>
      <c r="AA124" s="104"/>
      <c r="AB124" s="105"/>
      <c r="AC124" s="22" t="s">
        <v>9</v>
      </c>
      <c r="AD124" s="426">
        <f t="shared" si="352"/>
        <v>65</v>
      </c>
      <c r="AE124" s="426">
        <f t="shared" si="401"/>
        <v>65</v>
      </c>
      <c r="AF124" s="22">
        <v>65</v>
      </c>
      <c r="AG124" s="32"/>
      <c r="AH124" s="32"/>
      <c r="AI124" s="32"/>
      <c r="AJ124" s="615">
        <v>5076.42</v>
      </c>
      <c r="AK124" s="222">
        <v>5900.6</v>
      </c>
      <c r="AL124" s="492">
        <f t="shared" si="402"/>
        <v>78.098769230769236</v>
      </c>
      <c r="AM124" s="4">
        <f t="shared" si="403"/>
        <v>90.778461538461542</v>
      </c>
      <c r="AN124" s="26"/>
      <c r="AO124" s="26"/>
      <c r="AP124" s="26"/>
      <c r="AQ124" s="39"/>
      <c r="AR124" s="39"/>
      <c r="AS124" s="39"/>
      <c r="AT124" s="39"/>
      <c r="AU124" s="39"/>
      <c r="AV124" s="26"/>
      <c r="AW124" s="37"/>
      <c r="AX124" s="39"/>
      <c r="AY124" s="26"/>
      <c r="AZ124" s="22"/>
      <c r="BA124" s="22"/>
      <c r="BB124" s="118">
        <v>12005233.51</v>
      </c>
      <c r="BC124" s="437">
        <f t="shared" si="404"/>
        <v>2364.9015467593304</v>
      </c>
      <c r="BD124" s="332">
        <f t="shared" si="405"/>
        <v>2034.578434396502</v>
      </c>
      <c r="BE124" s="334">
        <f t="shared" si="406"/>
        <v>184695.90015384616</v>
      </c>
      <c r="BF124" s="123"/>
      <c r="BG124" s="123"/>
      <c r="BH124" s="89"/>
      <c r="BI124" s="89"/>
      <c r="BJ124" s="548"/>
      <c r="BK124" s="548"/>
      <c r="BL124" s="549"/>
      <c r="BM124" s="547">
        <f>(DATEDIF(BJ124,BK124,"d"))/30</f>
        <v>0</v>
      </c>
      <c r="BN124" s="490" t="s">
        <v>229</v>
      </c>
      <c r="BO124" s="77"/>
      <c r="BP124" s="100"/>
      <c r="BQ124" s="536">
        <f>(DATEDIF(BO124,BP124,"d"))/30</f>
        <v>0</v>
      </c>
      <c r="BR124" s="529"/>
      <c r="BS124" s="77"/>
      <c r="BT124" s="77"/>
      <c r="BU124" s="151"/>
      <c r="BV124" s="150">
        <f t="shared" si="357"/>
        <v>1096</v>
      </c>
      <c r="BW124" s="373"/>
      <c r="BX124" s="150" t="str">
        <f>IF(Tableau6[[#This Row],[Montant des loyers perçus avant 1e échéance]]&lt;BW124,"oui","non")</f>
        <v>non</v>
      </c>
      <c r="BY124" s="475">
        <f>(BV124-EL124)/30</f>
        <v>-1474.2333333333333</v>
      </c>
      <c r="BZ124" s="373">
        <f>IF((BY124*EO124)&lt;0,"0",BY124*EO124)</f>
        <v>0</v>
      </c>
      <c r="CA124" s="373">
        <f>IF(BW124-BZ124&lt;0,0,Tableau6[[#This Row],[Montant échéance annuelle]]-Tableau6[[#This Row],[Montant des loyers perçus avant 1e échéance]])</f>
        <v>0</v>
      </c>
      <c r="CB124" s="286"/>
      <c r="CC124" s="288"/>
      <c r="CD124" s="288"/>
      <c r="CE124" s="290" t="str">
        <f>IF(AND(CC124&gt;0,CD124&gt;0),CD124-CC124,"0")</f>
        <v>0</v>
      </c>
      <c r="CF124" s="288"/>
      <c r="CG124" s="288"/>
      <c r="CH124" s="290" t="str">
        <f>IF(AND(CF124&gt;0,CG124&gt;0),CG124-CF124,"0")</f>
        <v>0</v>
      </c>
      <c r="CI124" s="288"/>
      <c r="CJ124" s="288"/>
      <c r="CK124" s="290" t="str">
        <f>IF(AND(CI124&gt;0,CJ124&gt;0),CJ124-CI124,"0")</f>
        <v>0</v>
      </c>
      <c r="CL124" s="288"/>
      <c r="CM124" s="288"/>
      <c r="CN124" s="290" t="str">
        <f>IF(AND(CL124&gt;0,CM124&gt;0),CM124-CL124,"0")</f>
        <v>0</v>
      </c>
      <c r="CO124" s="288"/>
      <c r="CP124" s="288"/>
      <c r="CQ124" s="290" t="str">
        <f>IF(AND(CO124&gt;0,CP124&gt;0),CP124-CO124,"0")</f>
        <v>0</v>
      </c>
      <c r="CR124" s="237"/>
      <c r="CS124" s="292"/>
      <c r="CT124" s="277"/>
      <c r="CU124" s="278"/>
      <c r="CV124" s="279" t="str">
        <f t="shared" si="407"/>
        <v>0</v>
      </c>
      <c r="CW124" s="277"/>
      <c r="CX124" s="382">
        <v>44743</v>
      </c>
      <c r="CY124" s="178"/>
      <c r="CZ124" s="231">
        <f t="shared" si="382"/>
        <v>1491.4333333333334</v>
      </c>
      <c r="DA124" s="279" t="str">
        <f t="shared" si="361"/>
        <v>0</v>
      </c>
      <c r="DB124" s="383">
        <v>18</v>
      </c>
      <c r="DC124" s="127">
        <f t="shared" si="362"/>
        <v>18</v>
      </c>
      <c r="DD124" s="277"/>
      <c r="DE124" s="282">
        <f t="shared" ca="1" si="385"/>
        <v>43998</v>
      </c>
      <c r="DF124" s="279" t="str">
        <f t="shared" ca="1" si="386"/>
        <v>0</v>
      </c>
      <c r="DG124" s="277"/>
      <c r="DH124" s="295">
        <f t="shared" ca="1" si="397"/>
        <v>43998</v>
      </c>
      <c r="DI124" s="280" t="str">
        <f t="shared" ca="1" si="364"/>
        <v>0</v>
      </c>
      <c r="DJ124" s="281"/>
      <c r="DK124" s="295">
        <f t="shared" ca="1" si="395"/>
        <v>43998</v>
      </c>
      <c r="DL124" s="279" t="str">
        <f t="shared" ca="1" si="335"/>
        <v>0</v>
      </c>
      <c r="DM124" s="282">
        <v>43534</v>
      </c>
      <c r="DN124" s="282">
        <f t="shared" ca="1" si="396"/>
        <v>43998</v>
      </c>
      <c r="DO124" s="279">
        <f t="shared" ca="1" si="365"/>
        <v>464</v>
      </c>
      <c r="DP124" s="283"/>
      <c r="DQ124" s="283"/>
      <c r="DR124" s="279" t="str">
        <f t="shared" si="366"/>
        <v>0</v>
      </c>
      <c r="DS124" s="282"/>
      <c r="DT124" s="282">
        <f t="shared" ca="1" si="318"/>
        <v>43998</v>
      </c>
      <c r="DU124" s="279" t="str">
        <f t="shared" ca="1" si="367"/>
        <v>0</v>
      </c>
      <c r="DV124" s="282">
        <v>43611</v>
      </c>
      <c r="DW124" s="282">
        <f t="shared" ca="1" si="324"/>
        <v>43998</v>
      </c>
      <c r="DX124" s="279">
        <f t="shared" ca="1" si="368"/>
        <v>387</v>
      </c>
      <c r="DY124" s="283"/>
      <c r="DZ124" s="283"/>
      <c r="EA124" s="283"/>
      <c r="EB124" s="410">
        <f t="shared" si="369"/>
        <v>45292</v>
      </c>
      <c r="EC124" s="409">
        <f>DATE(YEAR(EB124),MONTH(EB124),DAY(EB124))</f>
        <v>45292</v>
      </c>
      <c r="ED124" s="406">
        <f t="shared" si="370"/>
        <v>0</v>
      </c>
      <c r="EE124" s="505">
        <f t="shared" ca="1" si="343"/>
        <v>43.133333333333333</v>
      </c>
      <c r="EF124" s="409">
        <f t="shared" ca="1" si="389"/>
        <v>44728</v>
      </c>
      <c r="EG124" s="457"/>
      <c r="EH124" s="448"/>
      <c r="EI124" s="458">
        <f t="shared" si="380"/>
        <v>45415</v>
      </c>
      <c r="EJ124" s="242"/>
      <c r="EK124" s="456">
        <f t="shared" si="387"/>
        <v>45323</v>
      </c>
      <c r="EL124" s="409">
        <f t="shared" si="383"/>
        <v>45323</v>
      </c>
      <c r="EM124" s="314"/>
      <c r="EN124" s="404">
        <f t="shared" si="384"/>
        <v>0</v>
      </c>
      <c r="EO124" s="394"/>
      <c r="EP124" s="131">
        <f t="shared" si="371"/>
        <v>0</v>
      </c>
      <c r="EQ124" s="60"/>
      <c r="ER124" s="60"/>
      <c r="ES124" s="742">
        <f>(Tableau6[[#This Row],[Date inauguration recalée]]-ER124)/30</f>
        <v>1510.7666666666667</v>
      </c>
      <c r="ET124" s="300"/>
      <c r="EU124" s="300"/>
      <c r="EV124" s="300"/>
      <c r="EW124" s="300"/>
      <c r="EX124" s="300"/>
      <c r="EY124" s="416">
        <f t="shared" si="344"/>
        <v>0</v>
      </c>
      <c r="EZ124" s="297"/>
      <c r="FA124" s="308"/>
      <c r="FB124" s="297"/>
      <c r="FC124" s="297"/>
      <c r="FD124" s="89">
        <f t="shared" ca="1" si="388"/>
        <v>44728</v>
      </c>
      <c r="FE124" s="63"/>
      <c r="FF124" s="63"/>
      <c r="FG124" s="63"/>
      <c r="FH124" s="63"/>
      <c r="FI124" s="63"/>
      <c r="FJ124" s="22"/>
      <c r="FK124" s="146">
        <f t="shared" si="381"/>
        <v>45658</v>
      </c>
      <c r="FL124" s="146"/>
      <c r="FM124" s="146"/>
      <c r="FN124" s="22"/>
      <c r="FO124" s="22"/>
      <c r="FP124" s="22"/>
      <c r="FQ124" s="22"/>
      <c r="FR124" s="22"/>
      <c r="FS124" s="22"/>
      <c r="FT124" s="22"/>
      <c r="FU124" s="22"/>
      <c r="FV124" s="22"/>
      <c r="FW124" s="22"/>
      <c r="FX124" s="22"/>
      <c r="FY124" s="22"/>
      <c r="FZ124" s="22"/>
      <c r="GA124" s="451"/>
      <c r="GB124" s="471">
        <f>GD124+GG124+GJ124+HF124+Tableau6[[#This Row],[PRÊT CREDIT D''IMPOT (PM)]]</f>
        <v>12530536</v>
      </c>
      <c r="GC124" s="645">
        <f t="shared" si="372"/>
        <v>12530536</v>
      </c>
      <c r="GD124" s="507">
        <f t="shared" si="379"/>
        <v>975000</v>
      </c>
      <c r="GE124" s="20">
        <f t="shared" si="373"/>
        <v>2123.60370131851</v>
      </c>
      <c r="GF124" s="20">
        <f t="shared" si="345"/>
        <v>192777.47692307693</v>
      </c>
      <c r="GG124" s="503">
        <v>4133852</v>
      </c>
      <c r="GH124" s="351"/>
      <c r="GI124" s="20">
        <f t="shared" si="398"/>
        <v>63597.723076923074</v>
      </c>
      <c r="GJ124" s="503">
        <f t="shared" si="374"/>
        <v>7421684</v>
      </c>
      <c r="GK124" s="5">
        <f t="shared" si="408"/>
        <v>7421684</v>
      </c>
      <c r="GL124" s="44">
        <v>1328883</v>
      </c>
      <c r="GM124" s="44">
        <v>6092801</v>
      </c>
      <c r="GN124" s="346">
        <f t="shared" si="376"/>
        <v>114179.75384615385</v>
      </c>
      <c r="GO124" s="35"/>
      <c r="GP124" s="5">
        <v>975000</v>
      </c>
      <c r="GQ124" s="35"/>
      <c r="GR124" s="18">
        <f t="shared" si="377"/>
        <v>7.7809919703355074E-2</v>
      </c>
      <c r="GS124" s="35"/>
      <c r="GT124" s="35"/>
      <c r="GU124" s="35"/>
      <c r="GV124" s="20">
        <f>GP124/AD124</f>
        <v>15000</v>
      </c>
      <c r="GW124" s="20">
        <f>(GG124+GP124)/AD124</f>
        <v>78597.723076923081</v>
      </c>
      <c r="GX124" s="569"/>
      <c r="GY124" s="569"/>
      <c r="GZ124" s="569" t="e">
        <f>(#REF!+#REF!+GY124)/AD124</f>
        <v>#REF!</v>
      </c>
      <c r="HA124" s="569"/>
      <c r="HB124" s="569">
        <f>(GG124+GP124+GY124+HA124)/AD124</f>
        <v>78597.723076923081</v>
      </c>
      <c r="HC124" s="568">
        <f>(GG124+GP124+GY124+HA124)/(GX124+GB124-HD124)</f>
        <v>0.40771216809879479</v>
      </c>
      <c r="HD124" s="569"/>
      <c r="HE124" s="569"/>
      <c r="HF124" s="503"/>
      <c r="HG124" s="633"/>
      <c r="HH124" s="634">
        <f>HG124/GB124</f>
        <v>0</v>
      </c>
      <c r="HI124" s="633">
        <f>GB124-HG124</f>
        <v>12530536</v>
      </c>
      <c r="HJ124" s="633" t="e">
        <f ca="1">IF(EE124&lt;DATEDIF(TODAY(),$HJ$1,"M"),HI124,(HI124/EE124*DATEDIF(TODAY(),$HJ$1,"M")))</f>
        <v>#VALUE!</v>
      </c>
      <c r="HK124" s="634" t="e">
        <f ca="1">(HG124+HJ124)/GB124</f>
        <v>#VALUE!</v>
      </c>
      <c r="HL124" s="633"/>
      <c r="HM124" s="633">
        <f>GD124-HL124</f>
        <v>975000</v>
      </c>
      <c r="HN124" s="633">
        <f>HL124/GD124</f>
        <v>0</v>
      </c>
      <c r="HO124" s="633"/>
      <c r="HP124" s="563"/>
      <c r="HQ124" s="47"/>
      <c r="HR124" s="563"/>
      <c r="HS124" s="563">
        <f>SUM(Tableau6[[#This Row],[GO]:[CARRELAGE]])</f>
        <v>0</v>
      </c>
      <c r="HT124" s="461"/>
      <c r="HU124" s="461"/>
      <c r="HV124" s="461"/>
      <c r="HW124" s="461"/>
      <c r="HX124" s="461"/>
      <c r="HY124" s="461"/>
      <c r="HZ124" s="461"/>
      <c r="IA124" s="461"/>
      <c r="IB124" s="461"/>
      <c r="IC124" s="461"/>
      <c r="ID124" s="461"/>
      <c r="IE124" s="461"/>
      <c r="IF124" s="461"/>
      <c r="IG124" s="563"/>
      <c r="IH124" s="563"/>
      <c r="II124" s="563">
        <f>HP124+HR124+Tableau6[[#This Row],[TRAVAUX BATIS]]+Tableau6[[#This Row],[HONORAIRES]]+IH124</f>
        <v>0</v>
      </c>
      <c r="IJ124" s="654">
        <f>Tableau6[[#This Row],[TOTAL PRP HT]]-Tableau6[[#This Row],[PRP TTC HORS FRAFU]]/1.021</f>
        <v>-12272807.051909894</v>
      </c>
      <c r="IK124" s="9"/>
      <c r="IL124" s="9"/>
      <c r="IM124" s="9"/>
      <c r="IN124" s="9"/>
      <c r="IO124" s="9"/>
      <c r="IP124" s="9"/>
      <c r="IQ124" s="9"/>
      <c r="IR124" s="9"/>
      <c r="IS124" s="9"/>
      <c r="IT124" s="9"/>
      <c r="IU124" s="9"/>
      <c r="IV124" s="9"/>
    </row>
    <row r="125" spans="1:256" ht="15" customHeight="1">
      <c r="A125" s="428" t="s">
        <v>886</v>
      </c>
      <c r="B125" s="22" t="s">
        <v>21</v>
      </c>
      <c r="C125" s="22" t="s">
        <v>86</v>
      </c>
      <c r="D125" s="22">
        <v>2021</v>
      </c>
      <c r="E125" s="22" t="s">
        <v>853</v>
      </c>
      <c r="F125" s="57"/>
      <c r="G125" s="57"/>
      <c r="H125" s="220"/>
      <c r="I125" s="22"/>
      <c r="J125" s="22" t="s">
        <v>652</v>
      </c>
      <c r="K125" s="134"/>
      <c r="L125" s="81"/>
      <c r="M125" s="82"/>
      <c r="N125" s="83"/>
      <c r="O125" s="103">
        <v>33407</v>
      </c>
      <c r="P125" s="103"/>
      <c r="Q125" s="103"/>
      <c r="R125" s="103">
        <f t="shared" si="390"/>
        <v>0</v>
      </c>
      <c r="S125" s="103">
        <f t="shared" si="391"/>
        <v>0</v>
      </c>
      <c r="T125" s="109">
        <f t="shared" si="392"/>
        <v>0</v>
      </c>
      <c r="U125" s="109">
        <f t="shared" si="399"/>
        <v>0</v>
      </c>
      <c r="V125" s="109">
        <f t="shared" si="393"/>
        <v>0</v>
      </c>
      <c r="W125" s="103">
        <f t="shared" si="394"/>
        <v>470.52112676056339</v>
      </c>
      <c r="X125" s="104"/>
      <c r="Y125" s="447">
        <f t="shared" si="400"/>
        <v>21.253030801927739</v>
      </c>
      <c r="Z125" s="104"/>
      <c r="AA125" s="104"/>
      <c r="AB125" s="105"/>
      <c r="AC125" s="22" t="s">
        <v>10</v>
      </c>
      <c r="AD125" s="426">
        <f t="shared" si="352"/>
        <v>71</v>
      </c>
      <c r="AE125" s="426">
        <f t="shared" si="401"/>
        <v>71</v>
      </c>
      <c r="AF125" s="32"/>
      <c r="AG125" s="22">
        <v>71</v>
      </c>
      <c r="AH125" s="32"/>
      <c r="AI125" s="32"/>
      <c r="AJ125" s="615">
        <v>3275.65</v>
      </c>
      <c r="AK125" s="222">
        <v>3704.78</v>
      </c>
      <c r="AL125" s="492">
        <f t="shared" si="402"/>
        <v>46.13591549295775</v>
      </c>
      <c r="AM125" s="4">
        <f t="shared" si="403"/>
        <v>52.18</v>
      </c>
      <c r="AN125" s="26"/>
      <c r="AO125" s="26"/>
      <c r="AP125" s="26"/>
      <c r="AQ125" s="39"/>
      <c r="AR125" s="39"/>
      <c r="AS125" s="39"/>
      <c r="AT125" s="39"/>
      <c r="AU125" s="39"/>
      <c r="AV125" s="26"/>
      <c r="AW125" s="37"/>
      <c r="AX125" s="39"/>
      <c r="AY125" s="26"/>
      <c r="AZ125" s="22"/>
      <c r="BA125" s="22"/>
      <c r="BB125" s="118">
        <v>7544213.4900000002</v>
      </c>
      <c r="BC125" s="437">
        <f t="shared" si="404"/>
        <v>2303.1195304748676</v>
      </c>
      <c r="BD125" s="332">
        <f t="shared" si="405"/>
        <v>2036.3458801872175</v>
      </c>
      <c r="BE125" s="334">
        <f t="shared" si="406"/>
        <v>106256.52802816902</v>
      </c>
      <c r="BF125" s="123"/>
      <c r="BG125" s="123"/>
      <c r="BH125" s="89"/>
      <c r="BI125" s="89"/>
      <c r="BJ125" s="548"/>
      <c r="BK125" s="548"/>
      <c r="BL125" s="549"/>
      <c r="BM125" s="547">
        <f>(DATEDIF(BJ125,BK125,"d"))/30</f>
        <v>0</v>
      </c>
      <c r="BN125" s="490" t="s">
        <v>229</v>
      </c>
      <c r="BO125" s="77"/>
      <c r="BP125" s="100"/>
      <c r="BQ125" s="536">
        <f>(DATEDIF(BO125,BP125,"d"))/30</f>
        <v>0</v>
      </c>
      <c r="BR125" s="529"/>
      <c r="BS125" s="77"/>
      <c r="BT125" s="77"/>
      <c r="BU125" s="151"/>
      <c r="BV125" s="150">
        <f t="shared" si="357"/>
        <v>1096</v>
      </c>
      <c r="BW125" s="373"/>
      <c r="BX125" s="150" t="str">
        <f>IF(Tableau6[[#This Row],[Montant des loyers perçus avant 1e échéance]]&lt;BW125,"oui","non")</f>
        <v>non</v>
      </c>
      <c r="BY125" s="475">
        <f>(BV125-EL125)/30</f>
        <v>-1474.2333333333333</v>
      </c>
      <c r="BZ125" s="373">
        <f>IF((BY125*EO125)&lt;0,"0",BY125*EO125)</f>
        <v>0</v>
      </c>
      <c r="CA125" s="373">
        <f>IF(BW125-BZ125&lt;0,0,Tableau6[[#This Row],[Montant échéance annuelle]]-Tableau6[[#This Row],[Montant des loyers perçus avant 1e échéance]])</f>
        <v>0</v>
      </c>
      <c r="CB125" s="286"/>
      <c r="CC125" s="288"/>
      <c r="CD125" s="288"/>
      <c r="CE125" s="290" t="str">
        <f>IF(AND(CC125&gt;0,CD125&gt;0),CD125-CC125,"0")</f>
        <v>0</v>
      </c>
      <c r="CF125" s="288"/>
      <c r="CG125" s="288"/>
      <c r="CH125" s="290" t="str">
        <f>IF(AND(CF125&gt;0,CG125&gt;0),CG125-CF125,"0")</f>
        <v>0</v>
      </c>
      <c r="CI125" s="288"/>
      <c r="CJ125" s="288"/>
      <c r="CK125" s="290" t="str">
        <f>IF(AND(CI125&gt;0,CJ125&gt;0),CJ125-CI125,"0")</f>
        <v>0</v>
      </c>
      <c r="CL125" s="288"/>
      <c r="CM125" s="288"/>
      <c r="CN125" s="290" t="str">
        <f>IF(AND(CL125&gt;0,CM125&gt;0),CM125-CL125,"0")</f>
        <v>0</v>
      </c>
      <c r="CO125" s="288"/>
      <c r="CP125" s="288"/>
      <c r="CQ125" s="290" t="str">
        <f>IF(AND(CO125&gt;0,CP125&gt;0),CP125-CO125,"0")</f>
        <v>0</v>
      </c>
      <c r="CR125" s="237"/>
      <c r="CS125" s="292"/>
      <c r="CT125" s="277"/>
      <c r="CU125" s="278"/>
      <c r="CV125" s="279" t="str">
        <f t="shared" si="407"/>
        <v>0</v>
      </c>
      <c r="CW125" s="277"/>
      <c r="CX125" s="382">
        <v>44743</v>
      </c>
      <c r="CY125" s="178"/>
      <c r="CZ125" s="231">
        <f t="shared" si="382"/>
        <v>1491.4333333333334</v>
      </c>
      <c r="DA125" s="279" t="str">
        <f t="shared" si="361"/>
        <v>0</v>
      </c>
      <c r="DB125" s="383">
        <v>18</v>
      </c>
      <c r="DC125" s="127">
        <f t="shared" si="362"/>
        <v>18</v>
      </c>
      <c r="DD125" s="277"/>
      <c r="DE125" s="282">
        <f t="shared" ca="1" si="385"/>
        <v>43998</v>
      </c>
      <c r="DF125" s="279" t="str">
        <f t="shared" ca="1" si="386"/>
        <v>0</v>
      </c>
      <c r="DG125" s="277"/>
      <c r="DH125" s="295">
        <f t="shared" ca="1" si="397"/>
        <v>43998</v>
      </c>
      <c r="DI125" s="280" t="str">
        <f t="shared" ca="1" si="364"/>
        <v>0</v>
      </c>
      <c r="DJ125" s="281"/>
      <c r="DK125" s="295">
        <f t="shared" ca="1" si="395"/>
        <v>43998</v>
      </c>
      <c r="DL125" s="279" t="str">
        <f t="shared" ca="1" si="335"/>
        <v>0</v>
      </c>
      <c r="DM125" s="282">
        <v>43534</v>
      </c>
      <c r="DN125" s="282">
        <f t="shared" ca="1" si="396"/>
        <v>43998</v>
      </c>
      <c r="DO125" s="279">
        <f t="shared" ca="1" si="365"/>
        <v>464</v>
      </c>
      <c r="DP125" s="283"/>
      <c r="DQ125" s="283"/>
      <c r="DR125" s="279" t="str">
        <f t="shared" si="366"/>
        <v>0</v>
      </c>
      <c r="DS125" s="282"/>
      <c r="DT125" s="282">
        <f t="shared" ca="1" si="318"/>
        <v>43998</v>
      </c>
      <c r="DU125" s="279" t="str">
        <f t="shared" ca="1" si="367"/>
        <v>0</v>
      </c>
      <c r="DV125" s="282">
        <v>43611</v>
      </c>
      <c r="DW125" s="282">
        <f t="shared" ca="1" si="324"/>
        <v>43998</v>
      </c>
      <c r="DX125" s="279">
        <f t="shared" ca="1" si="368"/>
        <v>387</v>
      </c>
      <c r="DY125" s="283"/>
      <c r="DZ125" s="283"/>
      <c r="EA125" s="283"/>
      <c r="EB125" s="410">
        <f t="shared" si="369"/>
        <v>45292</v>
      </c>
      <c r="EC125" s="409">
        <f>DATE(YEAR(EB125),MONTH(EB125),DAY(EB125))</f>
        <v>45292</v>
      </c>
      <c r="ED125" s="406">
        <f t="shared" si="370"/>
        <v>0</v>
      </c>
      <c r="EE125" s="505">
        <f t="shared" ca="1" si="343"/>
        <v>43.133333333333333</v>
      </c>
      <c r="EF125" s="409">
        <f t="shared" ca="1" si="389"/>
        <v>44728</v>
      </c>
      <c r="EG125" s="457"/>
      <c r="EH125" s="448"/>
      <c r="EI125" s="458">
        <f t="shared" si="380"/>
        <v>45415</v>
      </c>
      <c r="EJ125" s="242"/>
      <c r="EK125" s="456">
        <f t="shared" si="387"/>
        <v>45323</v>
      </c>
      <c r="EL125" s="409">
        <f t="shared" si="383"/>
        <v>45323</v>
      </c>
      <c r="EM125" s="314"/>
      <c r="EN125" s="404">
        <f t="shared" si="384"/>
        <v>0</v>
      </c>
      <c r="EO125" s="394"/>
      <c r="EP125" s="131">
        <f t="shared" si="371"/>
        <v>0</v>
      </c>
      <c r="EQ125" s="60"/>
      <c r="ER125" s="60"/>
      <c r="ES125" s="742">
        <f>(Tableau6[[#This Row],[Date inauguration recalée]]-ER125)/30</f>
        <v>1510.7666666666667</v>
      </c>
      <c r="ET125" s="300"/>
      <c r="EU125" s="300"/>
      <c r="EV125" s="300"/>
      <c r="EW125" s="300"/>
      <c r="EX125" s="300"/>
      <c r="EY125" s="416">
        <f t="shared" si="344"/>
        <v>0</v>
      </c>
      <c r="EZ125" s="297"/>
      <c r="FA125" s="308"/>
      <c r="FB125" s="297"/>
      <c r="FC125" s="297"/>
      <c r="FD125" s="89">
        <f t="shared" ca="1" si="388"/>
        <v>44728</v>
      </c>
      <c r="FE125" s="63"/>
      <c r="FF125" s="63"/>
      <c r="FG125" s="63"/>
      <c r="FH125" s="63"/>
      <c r="FI125" s="63"/>
      <c r="FJ125" s="22"/>
      <c r="FK125" s="146">
        <f t="shared" si="381"/>
        <v>45658</v>
      </c>
      <c r="FL125" s="146"/>
      <c r="FM125" s="146"/>
      <c r="FN125" s="22"/>
      <c r="FO125" s="22"/>
      <c r="FP125" s="22"/>
      <c r="FQ125" s="22"/>
      <c r="FR125" s="22"/>
      <c r="FS125" s="22"/>
      <c r="FT125" s="22"/>
      <c r="FU125" s="22"/>
      <c r="FV125" s="22"/>
      <c r="FW125" s="22"/>
      <c r="FX125" s="22"/>
      <c r="FY125" s="22"/>
      <c r="FZ125" s="22"/>
      <c r="GA125" s="451"/>
      <c r="GB125" s="471">
        <f>GD125+GG125+GJ125+HF125+Tableau6[[#This Row],[PRÊT CREDIT D''IMPOT (PM)]]</f>
        <v>7893783</v>
      </c>
      <c r="GC125" s="645">
        <f t="shared" si="372"/>
        <v>7893783</v>
      </c>
      <c r="GD125" s="507">
        <f t="shared" si="379"/>
        <v>1847200</v>
      </c>
      <c r="GE125" s="20">
        <f t="shared" si="373"/>
        <v>2130.7022279325629</v>
      </c>
      <c r="GF125" s="20">
        <f t="shared" si="345"/>
        <v>111180.04225352113</v>
      </c>
      <c r="GG125" s="503">
        <v>2182175</v>
      </c>
      <c r="GH125" s="351"/>
      <c r="GI125" s="20">
        <f t="shared" si="398"/>
        <v>30734.859154929578</v>
      </c>
      <c r="GJ125" s="503">
        <f t="shared" si="374"/>
        <v>3864408</v>
      </c>
      <c r="GK125" s="5">
        <f t="shared" si="408"/>
        <v>3864408</v>
      </c>
      <c r="GL125" s="44">
        <v>818268</v>
      </c>
      <c r="GM125" s="44">
        <v>3046140</v>
      </c>
      <c r="GN125" s="346">
        <f t="shared" si="376"/>
        <v>54428.281690140844</v>
      </c>
      <c r="GO125" s="35"/>
      <c r="GP125" s="5">
        <v>1847200</v>
      </c>
      <c r="GQ125" s="35"/>
      <c r="GR125" s="18">
        <f t="shared" si="377"/>
        <v>0.23400693938508318</v>
      </c>
      <c r="GS125" s="35"/>
      <c r="GT125" s="35"/>
      <c r="GU125" s="35"/>
      <c r="GV125" s="20">
        <f>GP125/AD125</f>
        <v>26016.901408450703</v>
      </c>
      <c r="GW125" s="20">
        <f>(GG125+GP125)/AD125</f>
        <v>56751.760563380281</v>
      </c>
      <c r="GX125" s="569"/>
      <c r="GY125" s="569"/>
      <c r="GZ125" s="569" t="e">
        <f>(#REF!+#REF!+GY125)/AD125</f>
        <v>#REF!</v>
      </c>
      <c r="HA125" s="569"/>
      <c r="HB125" s="569">
        <f>(GG125+GP125+GY125+HA125)/AD125</f>
        <v>56751.760563380281</v>
      </c>
      <c r="HC125" s="568">
        <f>(GG125+GP125+GY125+HA125)/(GX125+GB125-HD125)</f>
        <v>0.51044917246901766</v>
      </c>
      <c r="HD125" s="569"/>
      <c r="HE125" s="569"/>
      <c r="HF125" s="503"/>
      <c r="HG125" s="633"/>
      <c r="HH125" s="634">
        <f>HG125/GB125</f>
        <v>0</v>
      </c>
      <c r="HI125" s="633">
        <f>GB125-HG125</f>
        <v>7893783</v>
      </c>
      <c r="HJ125" s="633" t="e">
        <f ca="1">IF(EE125&lt;DATEDIF(TODAY(),$HJ$1,"M"),HI125,(HI125/EE125*DATEDIF(TODAY(),$HJ$1,"M")))</f>
        <v>#VALUE!</v>
      </c>
      <c r="HK125" s="634" t="e">
        <f ca="1">(HG125+HJ125)/GB125</f>
        <v>#VALUE!</v>
      </c>
      <c r="HL125" s="633"/>
      <c r="HM125" s="633">
        <f>GD125-HL125</f>
        <v>1847200</v>
      </c>
      <c r="HN125" s="633">
        <f>HL125/GD125</f>
        <v>0</v>
      </c>
      <c r="HO125" s="633"/>
      <c r="HP125" s="563"/>
      <c r="HQ125" s="47"/>
      <c r="HR125" s="563"/>
      <c r="HS125" s="563">
        <f>SUM(Tableau6[[#This Row],[GO]:[CARRELAGE]])</f>
        <v>0</v>
      </c>
      <c r="HT125" s="461"/>
      <c r="HU125" s="461"/>
      <c r="HV125" s="461"/>
      <c r="HW125" s="461"/>
      <c r="HX125" s="461"/>
      <c r="HY125" s="461"/>
      <c r="HZ125" s="461"/>
      <c r="IA125" s="461"/>
      <c r="IB125" s="461"/>
      <c r="IC125" s="461"/>
      <c r="ID125" s="461"/>
      <c r="IE125" s="461"/>
      <c r="IF125" s="461"/>
      <c r="IG125" s="563"/>
      <c r="IH125" s="563"/>
      <c r="II125" s="563">
        <f>HP125+HR125+Tableau6[[#This Row],[TRAVAUX BATIS]]+Tableau6[[#This Row],[HONORAIRES]]+IH125</f>
        <v>0</v>
      </c>
      <c r="IJ125" s="654">
        <f>Tableau6[[#This Row],[TOTAL PRP HT]]-Tableau6[[#This Row],[PRP TTC HORS FRAFU]]/1.021</f>
        <v>-7731423.1145935366</v>
      </c>
      <c r="IK125" s="9"/>
      <c r="IL125" s="9"/>
      <c r="IM125" s="9"/>
      <c r="IN125" s="9"/>
      <c r="IO125" s="9"/>
      <c r="IP125" s="9"/>
      <c r="IQ125" s="9"/>
      <c r="IR125" s="9"/>
      <c r="IS125" s="9"/>
      <c r="IT125" s="9"/>
      <c r="IU125" s="9"/>
      <c r="IV125" s="9"/>
    </row>
    <row r="126" spans="1:256" ht="15" customHeight="1">
      <c r="A126" s="428" t="s">
        <v>887</v>
      </c>
      <c r="B126" s="22" t="s">
        <v>21</v>
      </c>
      <c r="C126" s="22" t="s">
        <v>86</v>
      </c>
      <c r="D126" s="22">
        <v>2021</v>
      </c>
      <c r="E126" s="22" t="s">
        <v>853</v>
      </c>
      <c r="F126" s="57"/>
      <c r="G126" s="57"/>
      <c r="H126" s="220"/>
      <c r="I126" s="22"/>
      <c r="J126" s="22" t="s">
        <v>652</v>
      </c>
      <c r="K126" s="134"/>
      <c r="L126" s="81"/>
      <c r="M126" s="82"/>
      <c r="N126" s="83"/>
      <c r="O126" s="103">
        <v>33407</v>
      </c>
      <c r="P126" s="103"/>
      <c r="Q126" s="103"/>
      <c r="R126" s="103">
        <f t="shared" si="390"/>
        <v>0</v>
      </c>
      <c r="S126" s="103">
        <f t="shared" si="391"/>
        <v>0</v>
      </c>
      <c r="T126" s="109">
        <f t="shared" si="392"/>
        <v>0</v>
      </c>
      <c r="U126" s="109">
        <f t="shared" si="399"/>
        <v>0</v>
      </c>
      <c r="V126" s="109">
        <f t="shared" si="393"/>
        <v>0</v>
      </c>
      <c r="W126" s="103">
        <f t="shared" si="394"/>
        <v>477.24285714285713</v>
      </c>
      <c r="X126" s="104"/>
      <c r="Y126" s="447">
        <f t="shared" si="400"/>
        <v>20.953692339928757</v>
      </c>
      <c r="Z126" s="104"/>
      <c r="AA126" s="104"/>
      <c r="AB126" s="105"/>
      <c r="AC126" s="22" t="s">
        <v>293</v>
      </c>
      <c r="AD126" s="426">
        <f t="shared" si="352"/>
        <v>70</v>
      </c>
      <c r="AE126" s="426">
        <f t="shared" si="401"/>
        <v>70</v>
      </c>
      <c r="AF126" s="32"/>
      <c r="AG126" s="32"/>
      <c r="AH126" s="22">
        <v>70</v>
      </c>
      <c r="AI126" s="32"/>
      <c r="AJ126" s="615">
        <v>5235.24</v>
      </c>
      <c r="AK126" s="222">
        <v>6088.24</v>
      </c>
      <c r="AL126" s="492">
        <f t="shared" si="402"/>
        <v>74.789142857142849</v>
      </c>
      <c r="AM126" s="4">
        <f t="shared" si="403"/>
        <v>86.974857142857147</v>
      </c>
      <c r="AN126" s="26"/>
      <c r="AO126" s="26"/>
      <c r="AP126" s="26"/>
      <c r="AQ126" s="39"/>
      <c r="AR126" s="39"/>
      <c r="AS126" s="39"/>
      <c r="AT126" s="39"/>
      <c r="AU126" s="39"/>
      <c r="AV126" s="26"/>
      <c r="AW126" s="37"/>
      <c r="AX126" s="39"/>
      <c r="AY126" s="26"/>
      <c r="AZ126" s="22"/>
      <c r="BA126" s="22"/>
      <c r="BB126" s="118">
        <v>13238405.42</v>
      </c>
      <c r="BC126" s="437">
        <f t="shared" si="404"/>
        <v>2528.7103208257886</v>
      </c>
      <c r="BD126" s="332">
        <f t="shared" si="405"/>
        <v>2174.4223979343783</v>
      </c>
      <c r="BE126" s="334">
        <f t="shared" si="406"/>
        <v>189120.07742857141</v>
      </c>
      <c r="BF126" s="123"/>
      <c r="BG126" s="123"/>
      <c r="BH126" s="89"/>
      <c r="BI126" s="89"/>
      <c r="BJ126" s="548"/>
      <c r="BK126" s="548"/>
      <c r="BL126" s="549"/>
      <c r="BM126" s="547">
        <f>(DATEDIF(BJ126,BK126,"d"))/30</f>
        <v>0</v>
      </c>
      <c r="BN126" s="490" t="s">
        <v>229</v>
      </c>
      <c r="BO126" s="77"/>
      <c r="BP126" s="100"/>
      <c r="BQ126" s="536">
        <f>(DATEDIF(BO126,BP126,"d"))/30</f>
        <v>0</v>
      </c>
      <c r="BR126" s="529"/>
      <c r="BS126" s="77"/>
      <c r="BT126" s="77"/>
      <c r="BU126" s="151"/>
      <c r="BV126" s="150">
        <f t="shared" si="357"/>
        <v>1096</v>
      </c>
      <c r="BW126" s="373"/>
      <c r="BX126" s="150" t="str">
        <f>IF(Tableau6[[#This Row],[Montant des loyers perçus avant 1e échéance]]&lt;BW126,"oui","non")</f>
        <v>non</v>
      </c>
      <c r="BY126" s="475">
        <f>(BV126-EL126)/30</f>
        <v>-1474.2333333333333</v>
      </c>
      <c r="BZ126" s="373">
        <f>IF((BY126*EO126)&lt;0,"0",BY126*EO126)</f>
        <v>0</v>
      </c>
      <c r="CA126" s="373">
        <f>IF(BW126-BZ126&lt;0,0,Tableau6[[#This Row],[Montant échéance annuelle]]-Tableau6[[#This Row],[Montant des loyers perçus avant 1e échéance]])</f>
        <v>0</v>
      </c>
      <c r="CB126" s="286"/>
      <c r="CC126" s="288"/>
      <c r="CD126" s="288"/>
      <c r="CE126" s="290" t="str">
        <f>IF(AND(CC126&gt;0,CD126&gt;0),CD126-CC126,"0")</f>
        <v>0</v>
      </c>
      <c r="CF126" s="288"/>
      <c r="CG126" s="288"/>
      <c r="CH126" s="290" t="str">
        <f>IF(AND(CF126&gt;0,CG126&gt;0),CG126-CF126,"0")</f>
        <v>0</v>
      </c>
      <c r="CI126" s="288"/>
      <c r="CJ126" s="288"/>
      <c r="CK126" s="290" t="str">
        <f>IF(AND(CI126&gt;0,CJ126&gt;0),CJ126-CI126,"0")</f>
        <v>0</v>
      </c>
      <c r="CL126" s="288"/>
      <c r="CM126" s="288"/>
      <c r="CN126" s="290" t="str">
        <f>IF(AND(CL126&gt;0,CM126&gt;0),CM126-CL126,"0")</f>
        <v>0</v>
      </c>
      <c r="CO126" s="288"/>
      <c r="CP126" s="288"/>
      <c r="CQ126" s="290" t="str">
        <f>IF(AND(CO126&gt;0,CP126&gt;0),CP126-CO126,"0")</f>
        <v>0</v>
      </c>
      <c r="CR126" s="237"/>
      <c r="CS126" s="292"/>
      <c r="CT126" s="277"/>
      <c r="CU126" s="278"/>
      <c r="CV126" s="279" t="str">
        <f t="shared" si="407"/>
        <v>0</v>
      </c>
      <c r="CW126" s="277"/>
      <c r="CX126" s="382">
        <v>44743</v>
      </c>
      <c r="CY126" s="178"/>
      <c r="CZ126" s="231">
        <f t="shared" si="382"/>
        <v>1491.4333333333334</v>
      </c>
      <c r="DA126" s="279" t="str">
        <f t="shared" si="361"/>
        <v>0</v>
      </c>
      <c r="DB126" s="383">
        <v>18</v>
      </c>
      <c r="DC126" s="127">
        <f t="shared" si="362"/>
        <v>18</v>
      </c>
      <c r="DD126" s="277"/>
      <c r="DE126" s="282">
        <f t="shared" ca="1" si="385"/>
        <v>43998</v>
      </c>
      <c r="DF126" s="279" t="str">
        <f t="shared" ca="1" si="386"/>
        <v>0</v>
      </c>
      <c r="DG126" s="277"/>
      <c r="DH126" s="295">
        <f t="shared" ca="1" si="397"/>
        <v>43998</v>
      </c>
      <c r="DI126" s="280" t="str">
        <f t="shared" ca="1" si="364"/>
        <v>0</v>
      </c>
      <c r="DJ126" s="281"/>
      <c r="DK126" s="295">
        <f t="shared" ca="1" si="395"/>
        <v>43998</v>
      </c>
      <c r="DL126" s="279" t="str">
        <f t="shared" ca="1" si="335"/>
        <v>0</v>
      </c>
      <c r="DM126" s="282">
        <v>43534</v>
      </c>
      <c r="DN126" s="282">
        <f t="shared" ca="1" si="396"/>
        <v>43998</v>
      </c>
      <c r="DO126" s="279">
        <f t="shared" ca="1" si="365"/>
        <v>464</v>
      </c>
      <c r="DP126" s="283"/>
      <c r="DQ126" s="283"/>
      <c r="DR126" s="279" t="str">
        <f t="shared" si="366"/>
        <v>0</v>
      </c>
      <c r="DS126" s="282"/>
      <c r="DT126" s="282">
        <f t="shared" ca="1" si="318"/>
        <v>43998</v>
      </c>
      <c r="DU126" s="279" t="str">
        <f t="shared" ca="1" si="367"/>
        <v>0</v>
      </c>
      <c r="DV126" s="282">
        <v>43611</v>
      </c>
      <c r="DW126" s="282">
        <f t="shared" ca="1" si="324"/>
        <v>43998</v>
      </c>
      <c r="DX126" s="279">
        <f t="shared" ca="1" si="368"/>
        <v>387</v>
      </c>
      <c r="DY126" s="283"/>
      <c r="DZ126" s="283"/>
      <c r="EA126" s="283"/>
      <c r="EB126" s="410">
        <f t="shared" si="369"/>
        <v>45292</v>
      </c>
      <c r="EC126" s="409">
        <f>DATE(YEAR(EB126),MONTH(EB126),DAY(EB126))</f>
        <v>45292</v>
      </c>
      <c r="ED126" s="406">
        <f t="shared" si="370"/>
        <v>0</v>
      </c>
      <c r="EE126" s="505">
        <f t="shared" ca="1" si="343"/>
        <v>43.133333333333333</v>
      </c>
      <c r="EF126" s="409">
        <f t="shared" ca="1" si="389"/>
        <v>44728</v>
      </c>
      <c r="EG126" s="457"/>
      <c r="EH126" s="448"/>
      <c r="EI126" s="458">
        <f t="shared" si="380"/>
        <v>45415</v>
      </c>
      <c r="EJ126" s="242"/>
      <c r="EK126" s="456">
        <f t="shared" si="387"/>
        <v>45323</v>
      </c>
      <c r="EL126" s="409">
        <f t="shared" si="383"/>
        <v>45323</v>
      </c>
      <c r="EM126" s="314"/>
      <c r="EN126" s="404">
        <f t="shared" si="384"/>
        <v>0</v>
      </c>
      <c r="EO126" s="394"/>
      <c r="EP126" s="131">
        <f t="shared" si="371"/>
        <v>0</v>
      </c>
      <c r="EQ126" s="573"/>
      <c r="ER126" s="573"/>
      <c r="ES126" s="744">
        <f>(Tableau6[[#This Row],[Date inauguration recalée]]-ER126)/30</f>
        <v>1510.7666666666667</v>
      </c>
      <c r="ET126" s="300"/>
      <c r="EU126" s="300"/>
      <c r="EV126" s="300"/>
      <c r="EW126" s="300"/>
      <c r="EX126" s="300"/>
      <c r="EY126" s="416">
        <f t="shared" si="344"/>
        <v>0</v>
      </c>
      <c r="EZ126" s="297"/>
      <c r="FA126" s="308"/>
      <c r="FB126" s="297"/>
      <c r="FC126" s="297"/>
      <c r="FD126" s="89">
        <f t="shared" ca="1" si="388"/>
        <v>44728</v>
      </c>
      <c r="FE126" s="63"/>
      <c r="FF126" s="63"/>
      <c r="FG126" s="63"/>
      <c r="FH126" s="63"/>
      <c r="FI126" s="63"/>
      <c r="FJ126" s="22"/>
      <c r="FK126" s="146">
        <f t="shared" si="381"/>
        <v>45658</v>
      </c>
      <c r="FL126" s="146"/>
      <c r="FM126" s="146"/>
      <c r="FN126" s="22"/>
      <c r="FO126" s="22"/>
      <c r="FP126" s="22"/>
      <c r="FQ126" s="22"/>
      <c r="FR126" s="22"/>
      <c r="FS126" s="22"/>
      <c r="FT126" s="22"/>
      <c r="FU126" s="22"/>
      <c r="FV126" s="22"/>
      <c r="FW126" s="22"/>
      <c r="FX126" s="22"/>
      <c r="FY126" s="22"/>
      <c r="FZ126" s="22"/>
      <c r="GA126" s="451"/>
      <c r="GB126" s="471">
        <f>GD126+GG126+GJ126+HF126+Tableau6[[#This Row],[PRÊT CREDIT D''IMPOT (PM)]]</f>
        <v>13817428.800000001</v>
      </c>
      <c r="GC126" s="645">
        <f t="shared" si="372"/>
        <v>13817428.800000001</v>
      </c>
      <c r="GD126" s="507">
        <f t="shared" si="379"/>
        <v>0</v>
      </c>
      <c r="GE126" s="20">
        <f t="shared" si="373"/>
        <v>2269.5276138916997</v>
      </c>
      <c r="GF126" s="20">
        <f t="shared" si="345"/>
        <v>197391.84</v>
      </c>
      <c r="GG126" s="503">
        <v>4921943.9800000004</v>
      </c>
      <c r="GH126" s="351"/>
      <c r="GI126" s="20">
        <f t="shared" si="398"/>
        <v>70313.485428571439</v>
      </c>
      <c r="GJ126" s="503">
        <f t="shared" si="374"/>
        <v>8895484.8200000003</v>
      </c>
      <c r="GK126" s="5">
        <f t="shared" si="408"/>
        <v>7185063</v>
      </c>
      <c r="GL126" s="44">
        <v>1497278</v>
      </c>
      <c r="GM126" s="44">
        <v>5687785</v>
      </c>
      <c r="GN126" s="345">
        <f t="shared" si="376"/>
        <v>102643.75714285714</v>
      </c>
      <c r="GO126" s="35">
        <v>1710421.82</v>
      </c>
      <c r="GP126" s="5">
        <v>0</v>
      </c>
      <c r="GQ126" s="35"/>
      <c r="GR126" s="18">
        <f t="shared" si="377"/>
        <v>0</v>
      </c>
      <c r="GS126" s="35"/>
      <c r="GT126" s="35"/>
      <c r="GU126" s="35"/>
      <c r="GV126" s="20">
        <f>GP126/AD126</f>
        <v>0</v>
      </c>
      <c r="GW126" s="20">
        <f>(GG126+GP126)/AD126</f>
        <v>70313.485428571439</v>
      </c>
      <c r="GX126" s="569"/>
      <c r="GY126" s="569"/>
      <c r="GZ126" s="569" t="e">
        <f>(#REF!+#REF!+GY126)/AD126</f>
        <v>#REF!</v>
      </c>
      <c r="HA126" s="569"/>
      <c r="HB126" s="569">
        <f>(GG126+GP126+GY126+HA126)/AD126</f>
        <v>70313.485428571439</v>
      </c>
      <c r="HC126" s="568">
        <f>(GG126+GP126+GY126+HA126)/(GX126+GB126-HD126)</f>
        <v>0.35621272606087179</v>
      </c>
      <c r="HD126" s="569"/>
      <c r="HE126" s="569"/>
      <c r="HF126" s="503"/>
      <c r="HG126" s="633"/>
      <c r="HH126" s="634">
        <f>HG126/GB126</f>
        <v>0</v>
      </c>
      <c r="HI126" s="633">
        <f>GB126-HG126</f>
        <v>13817428.800000001</v>
      </c>
      <c r="HJ126" s="633" t="e">
        <f ca="1">IF(EE126&lt;DATEDIF(TODAY(),$HJ$1,"M"),HI126,(HI126/EE126*DATEDIF(TODAY(),$HJ$1,"M")))</f>
        <v>#VALUE!</v>
      </c>
      <c r="HK126" s="634" t="e">
        <f ca="1">(HG126+HJ126)/GB126</f>
        <v>#VALUE!</v>
      </c>
      <c r="HL126" s="633"/>
      <c r="HM126" s="633">
        <f>GD126-HL126</f>
        <v>0</v>
      </c>
      <c r="HN126" s="633" t="e">
        <f>HL126/GD126</f>
        <v>#DIV/0!</v>
      </c>
      <c r="HO126" s="633"/>
      <c r="HP126" s="563"/>
      <c r="HQ126" s="47"/>
      <c r="HR126" s="563"/>
      <c r="HS126" s="563">
        <f>SUM(Tableau6[[#This Row],[GO]:[CARRELAGE]])</f>
        <v>0</v>
      </c>
      <c r="HT126" s="461"/>
      <c r="HU126" s="461"/>
      <c r="HV126" s="461"/>
      <c r="HW126" s="461"/>
      <c r="HX126" s="461"/>
      <c r="HY126" s="461"/>
      <c r="HZ126" s="461"/>
      <c r="IA126" s="461"/>
      <c r="IB126" s="461"/>
      <c r="IC126" s="461"/>
      <c r="ID126" s="461"/>
      <c r="IE126" s="461"/>
      <c r="IF126" s="461"/>
      <c r="IG126" s="563"/>
      <c r="IH126" s="563"/>
      <c r="II126" s="563">
        <f>HP126+HR126+Tableau6[[#This Row],[TRAVAUX BATIS]]+Tableau6[[#This Row],[HONORAIRES]]+IH126</f>
        <v>0</v>
      </c>
      <c r="IJ126" s="654">
        <f>Tableau6[[#This Row],[TOTAL PRP HT]]-Tableau6[[#This Row],[PRP TTC HORS FRAFU]]/1.021</f>
        <v>-13533230.950048974</v>
      </c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</row>
    <row r="127" spans="1:256" ht="15" customHeight="1">
      <c r="A127" s="43" t="s">
        <v>888</v>
      </c>
      <c r="B127" s="22" t="s">
        <v>21</v>
      </c>
      <c r="C127" s="22" t="s">
        <v>86</v>
      </c>
      <c r="D127" s="22">
        <v>2020</v>
      </c>
      <c r="E127" s="2" t="s">
        <v>850</v>
      </c>
      <c r="F127" s="22" t="s">
        <v>686</v>
      </c>
      <c r="G127" s="22"/>
      <c r="H127" s="22" t="s">
        <v>859</v>
      </c>
      <c r="I127" s="22"/>
      <c r="J127" s="57"/>
      <c r="K127" s="134"/>
      <c r="L127" s="81"/>
      <c r="M127" s="82"/>
      <c r="N127" s="83"/>
      <c r="O127" s="103"/>
      <c r="P127" s="103"/>
      <c r="Q127" s="103"/>
      <c r="R127" s="103">
        <f t="shared" si="390"/>
        <v>0</v>
      </c>
      <c r="S127" s="103" t="e">
        <f t="shared" si="391"/>
        <v>#DIV/0!</v>
      </c>
      <c r="T127" s="109" t="e">
        <f t="shared" si="392"/>
        <v>#DIV/0!</v>
      </c>
      <c r="U127" s="109">
        <f t="shared" si="399"/>
        <v>0</v>
      </c>
      <c r="V127" s="109">
        <f t="shared" si="393"/>
        <v>0</v>
      </c>
      <c r="W127" s="103">
        <f t="shared" si="394"/>
        <v>0</v>
      </c>
      <c r="X127" s="104"/>
      <c r="Y127" s="447" t="e">
        <f t="shared" si="400"/>
        <v>#DIV/0!</v>
      </c>
      <c r="Z127" s="104"/>
      <c r="AA127" s="104"/>
      <c r="AB127" s="105">
        <v>0.1</v>
      </c>
      <c r="AC127" s="22" t="s">
        <v>9</v>
      </c>
      <c r="AD127" s="426">
        <f t="shared" si="352"/>
        <v>31</v>
      </c>
      <c r="AE127" s="426">
        <f t="shared" si="401"/>
        <v>31</v>
      </c>
      <c r="AF127" s="22">
        <v>31</v>
      </c>
      <c r="AG127" s="32"/>
      <c r="AH127" s="32"/>
      <c r="AI127" s="362"/>
      <c r="AJ127" s="614">
        <v>2253.29</v>
      </c>
      <c r="AK127" s="222">
        <v>2728.47</v>
      </c>
      <c r="AL127" s="492">
        <f t="shared" si="402"/>
        <v>72.686774193548388</v>
      </c>
      <c r="AM127" s="4">
        <f t="shared" si="403"/>
        <v>88.015161290322581</v>
      </c>
      <c r="AN127" s="26"/>
      <c r="AO127" s="26"/>
      <c r="AP127" s="26"/>
      <c r="AQ127" s="39"/>
      <c r="AR127" s="39"/>
      <c r="AS127" s="39"/>
      <c r="AT127" s="39"/>
      <c r="AU127" s="39"/>
      <c r="AV127" s="26"/>
      <c r="AW127" s="37"/>
      <c r="AX127" s="39"/>
      <c r="AY127" s="26"/>
      <c r="AZ127" s="22"/>
      <c r="BA127" s="22"/>
      <c r="BB127" s="118">
        <v>5261432.1499999994</v>
      </c>
      <c r="BC127" s="437">
        <f t="shared" si="404"/>
        <v>2335</v>
      </c>
      <c r="BD127" s="332">
        <f t="shared" si="405"/>
        <v>1928.3452447708789</v>
      </c>
      <c r="BE127" s="334">
        <f t="shared" si="406"/>
        <v>169723.61774193548</v>
      </c>
      <c r="BF127" s="123"/>
      <c r="BG127" s="123"/>
      <c r="BH127" s="56"/>
      <c r="BI127" s="56"/>
      <c r="BJ127" s="548"/>
      <c r="BK127" s="548"/>
      <c r="BL127" s="549"/>
      <c r="BM127" s="547"/>
      <c r="BN127" s="490" t="s">
        <v>229</v>
      </c>
      <c r="BO127" s="77"/>
      <c r="BP127" s="100"/>
      <c r="BQ127" s="536"/>
      <c r="BR127" s="529"/>
      <c r="BS127" s="77"/>
      <c r="BT127" s="77"/>
      <c r="BU127" s="151"/>
      <c r="BV127" s="150">
        <f t="shared" si="357"/>
        <v>1096</v>
      </c>
      <c r="BW127" s="373"/>
      <c r="BX127" s="150" t="str">
        <f>IF(Tableau6[[#This Row],[Montant des loyers perçus avant 1e échéance]]&lt;BW127,"oui","non")</f>
        <v>non</v>
      </c>
      <c r="BY127" s="475"/>
      <c r="BZ127" s="373"/>
      <c r="CA127" s="373">
        <f>IF(BW127-BZ127&lt;0,0,Tableau6[[#This Row],[Montant échéance annuelle]]-Tableau6[[#This Row],[Montant des loyers perçus avant 1e échéance]])</f>
        <v>0</v>
      </c>
      <c r="CB127" s="159"/>
      <c r="CC127" s="64"/>
      <c r="CD127" s="64"/>
      <c r="CE127" s="273"/>
      <c r="CF127" s="64"/>
      <c r="CG127" s="64"/>
      <c r="CH127" s="273"/>
      <c r="CI127" s="288"/>
      <c r="CJ127" s="288"/>
      <c r="CK127" s="290"/>
      <c r="CL127" s="288"/>
      <c r="CM127" s="288"/>
      <c r="CN127" s="290"/>
      <c r="CO127" s="288"/>
      <c r="CP127" s="288"/>
      <c r="CQ127" s="290"/>
      <c r="CR127" s="237"/>
      <c r="CS127" s="286"/>
      <c r="CT127" s="277"/>
      <c r="CU127" s="282"/>
      <c r="CV127" s="279" t="str">
        <f t="shared" si="407"/>
        <v>0</v>
      </c>
      <c r="CW127" s="277"/>
      <c r="CX127" s="382">
        <v>44744</v>
      </c>
      <c r="CY127" s="178"/>
      <c r="CZ127" s="231">
        <f t="shared" si="382"/>
        <v>1491.4666666666667</v>
      </c>
      <c r="DA127" s="279" t="str">
        <f t="shared" si="361"/>
        <v>0</v>
      </c>
      <c r="DB127" s="383">
        <v>19</v>
      </c>
      <c r="DC127" s="127">
        <f t="shared" si="362"/>
        <v>19</v>
      </c>
      <c r="DD127" s="277"/>
      <c r="DE127" s="282">
        <f t="shared" ca="1" si="385"/>
        <v>43998</v>
      </c>
      <c r="DF127" s="279" t="str">
        <f t="shared" ca="1" si="386"/>
        <v>0</v>
      </c>
      <c r="DG127" s="277"/>
      <c r="DH127" s="295">
        <f t="shared" ca="1" si="397"/>
        <v>43998</v>
      </c>
      <c r="DI127" s="280" t="str">
        <f t="shared" ca="1" si="364"/>
        <v>0</v>
      </c>
      <c r="DJ127" s="281"/>
      <c r="DK127" s="295">
        <f t="shared" ca="1" si="395"/>
        <v>43998</v>
      </c>
      <c r="DL127" s="279" t="str">
        <f t="shared" ca="1" si="335"/>
        <v>0</v>
      </c>
      <c r="DM127" s="282">
        <v>43535</v>
      </c>
      <c r="DN127" s="282">
        <f t="shared" ca="1" si="396"/>
        <v>43998</v>
      </c>
      <c r="DO127" s="279">
        <f t="shared" ca="1" si="365"/>
        <v>463</v>
      </c>
      <c r="DP127" s="283"/>
      <c r="DQ127" s="283"/>
      <c r="DR127" s="279" t="str">
        <f t="shared" si="366"/>
        <v>0</v>
      </c>
      <c r="DS127" s="282"/>
      <c r="DT127" s="282">
        <f t="shared" ca="1" si="318"/>
        <v>43998</v>
      </c>
      <c r="DU127" s="279" t="str">
        <f t="shared" ca="1" si="367"/>
        <v>0</v>
      </c>
      <c r="DV127" s="282">
        <v>43612</v>
      </c>
      <c r="DW127" s="282">
        <f t="shared" ca="1" si="324"/>
        <v>43998</v>
      </c>
      <c r="DX127" s="279">
        <f t="shared" ca="1" si="368"/>
        <v>386</v>
      </c>
      <c r="DY127" s="283"/>
      <c r="DZ127" s="283"/>
      <c r="EA127" s="283"/>
      <c r="EB127" s="410">
        <f t="shared" si="369"/>
        <v>45324</v>
      </c>
      <c r="EC127" s="409">
        <f>DATE(YEAR(EB127),MONTH(EB127),DAY(EB127))</f>
        <v>45324</v>
      </c>
      <c r="ED127" s="406">
        <f t="shared" si="370"/>
        <v>0</v>
      </c>
      <c r="EE127" s="505">
        <f t="shared" ca="1" si="343"/>
        <v>44.2</v>
      </c>
      <c r="EF127" s="409">
        <f t="shared" ca="1" si="389"/>
        <v>44728</v>
      </c>
      <c r="EG127" s="457"/>
      <c r="EH127" s="448"/>
      <c r="EI127" s="458">
        <f t="shared" si="380"/>
        <v>45447</v>
      </c>
      <c r="EJ127" s="242"/>
      <c r="EK127" s="456">
        <f t="shared" si="387"/>
        <v>45353</v>
      </c>
      <c r="EL127" s="409">
        <f t="shared" si="383"/>
        <v>45353</v>
      </c>
      <c r="EM127" s="314"/>
      <c r="EN127" s="404">
        <f t="shared" si="384"/>
        <v>0</v>
      </c>
      <c r="EO127" s="394"/>
      <c r="EP127" s="131">
        <f t="shared" si="371"/>
        <v>0</v>
      </c>
      <c r="EQ127" s="60"/>
      <c r="ER127" s="60"/>
      <c r="ES127" s="742">
        <f>(Tableau6[[#This Row],[Date inauguration recalée]]-ER127)/30</f>
        <v>1511.7666666666667</v>
      </c>
      <c r="ET127" s="300"/>
      <c r="EU127" s="300"/>
      <c r="EV127" s="300"/>
      <c r="EW127" s="300"/>
      <c r="EX127" s="415"/>
      <c r="EY127" s="416">
        <f t="shared" si="344"/>
        <v>0</v>
      </c>
      <c r="EZ127" s="297"/>
      <c r="FA127" s="308"/>
      <c r="FB127" s="302"/>
      <c r="FC127" s="302"/>
      <c r="FD127" s="89">
        <f t="shared" ca="1" si="388"/>
        <v>44728</v>
      </c>
      <c r="FE127" s="63"/>
      <c r="FF127" s="63"/>
      <c r="FG127" s="63"/>
      <c r="FH127" s="63"/>
      <c r="FI127" s="63"/>
      <c r="FJ127" s="22"/>
      <c r="FK127" s="146">
        <f t="shared" si="381"/>
        <v>45690</v>
      </c>
      <c r="FL127" s="146"/>
      <c r="FM127" s="146"/>
      <c r="FN127" s="22"/>
      <c r="FO127" s="22"/>
      <c r="FP127" s="22"/>
      <c r="FQ127" s="22"/>
      <c r="FR127" s="22"/>
      <c r="FS127" s="22"/>
      <c r="FT127" s="22"/>
      <c r="FU127" s="22"/>
      <c r="FV127" s="22"/>
      <c r="FW127" s="22"/>
      <c r="FX127" s="22"/>
      <c r="FY127" s="22"/>
      <c r="FZ127" s="22"/>
      <c r="GA127" s="451"/>
      <c r="GB127" s="471">
        <f>GD127+GG127+GJ127+HF127+Tableau6[[#This Row],[PRÊT CREDIT D''IMPOT (PM)]]</f>
        <v>5496019</v>
      </c>
      <c r="GC127" s="645">
        <f t="shared" si="372"/>
        <v>5496019</v>
      </c>
      <c r="GD127" s="507">
        <f t="shared" si="379"/>
        <v>620000</v>
      </c>
      <c r="GE127" s="20">
        <f t="shared" si="373"/>
        <v>2014.3226790105812</v>
      </c>
      <c r="GF127" s="20">
        <f t="shared" si="345"/>
        <v>177290.93548387097</v>
      </c>
      <c r="GG127" s="503">
        <v>1735047</v>
      </c>
      <c r="GH127" s="351"/>
      <c r="GI127" s="20">
        <f t="shared" si="398"/>
        <v>55969.258064516129</v>
      </c>
      <c r="GJ127" s="503">
        <f t="shared" si="374"/>
        <v>3140972</v>
      </c>
      <c r="GK127" s="5">
        <f t="shared" si="408"/>
        <v>3140972</v>
      </c>
      <c r="GL127" s="44">
        <v>549145</v>
      </c>
      <c r="GM127" s="44">
        <v>2591827</v>
      </c>
      <c r="GN127" s="346">
        <f t="shared" si="376"/>
        <v>101321.67741935483</v>
      </c>
      <c r="GO127" s="35"/>
      <c r="GP127" s="5">
        <v>620000</v>
      </c>
      <c r="GQ127" s="35"/>
      <c r="GR127" s="18">
        <f t="shared" si="377"/>
        <v>0.11280892587889525</v>
      </c>
      <c r="GS127" s="35"/>
      <c r="GT127" s="35"/>
      <c r="GU127" s="35"/>
      <c r="GV127" s="20"/>
      <c r="GW127" s="20"/>
      <c r="GX127" s="569"/>
      <c r="GY127" s="569"/>
      <c r="GZ127" s="569"/>
      <c r="HA127" s="569"/>
      <c r="HB127" s="569"/>
      <c r="HC127" s="568"/>
      <c r="HD127" s="569"/>
      <c r="HE127" s="569"/>
      <c r="HF127" s="503"/>
      <c r="HG127" s="633"/>
      <c r="HH127" s="634"/>
      <c r="HI127" s="633"/>
      <c r="HJ127" s="633"/>
      <c r="HK127" s="634"/>
      <c r="HL127" s="633"/>
      <c r="HM127" s="633"/>
      <c r="HN127" s="633"/>
      <c r="HO127" s="633"/>
      <c r="HP127" s="563"/>
      <c r="HQ127" s="47"/>
      <c r="HR127" s="563"/>
      <c r="HS127" s="563">
        <f>SUM(Tableau6[[#This Row],[GO]:[CARRELAGE]])</f>
        <v>0</v>
      </c>
      <c r="HT127" s="461"/>
      <c r="HU127" s="461"/>
      <c r="HV127" s="461"/>
      <c r="HW127" s="461"/>
      <c r="HX127" s="461"/>
      <c r="HY127" s="461"/>
      <c r="HZ127" s="461"/>
      <c r="IA127" s="461"/>
      <c r="IB127" s="461"/>
      <c r="IC127" s="461"/>
      <c r="ID127" s="461"/>
      <c r="IE127" s="461"/>
      <c r="IF127" s="461"/>
      <c r="IG127" s="563"/>
      <c r="IH127" s="563"/>
      <c r="II127" s="563">
        <f>HP127+HR127+Tableau6[[#This Row],[TRAVAUX BATIS]]+Tableau6[[#This Row],[HONORAIRES]]+IH127</f>
        <v>0</v>
      </c>
      <c r="IJ127" s="654">
        <f>Tableau6[[#This Row],[TOTAL PRP HT]]-Tableau6[[#This Row],[PRP TTC HORS FRAFU]]/1.021</f>
        <v>-5382976.4936336931</v>
      </c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</row>
    <row r="128" spans="1:256" ht="15" customHeight="1">
      <c r="A128" s="428" t="s">
        <v>919</v>
      </c>
      <c r="B128" s="22" t="s">
        <v>33</v>
      </c>
      <c r="C128" s="22" t="s">
        <v>87</v>
      </c>
      <c r="D128" s="22">
        <v>2021</v>
      </c>
      <c r="E128" s="22"/>
      <c r="F128" s="22"/>
      <c r="G128" s="22"/>
      <c r="H128" s="24" t="s">
        <v>193</v>
      </c>
      <c r="I128" s="22"/>
      <c r="J128" s="22" t="s">
        <v>916</v>
      </c>
      <c r="K128" s="134"/>
      <c r="L128" s="81"/>
      <c r="M128" s="82"/>
      <c r="N128" s="83"/>
      <c r="O128" s="103">
        <v>11475</v>
      </c>
      <c r="P128" s="103"/>
      <c r="Q128" s="103"/>
      <c r="R128" s="103">
        <f t="shared" si="390"/>
        <v>0</v>
      </c>
      <c r="S128" s="103">
        <f t="shared" si="391"/>
        <v>0</v>
      </c>
      <c r="T128" s="109">
        <f t="shared" si="392"/>
        <v>0</v>
      </c>
      <c r="U128" s="109" t="e">
        <f t="shared" si="399"/>
        <v>#DIV/0!</v>
      </c>
      <c r="V128" s="109">
        <f t="shared" si="393"/>
        <v>0</v>
      </c>
      <c r="W128" s="103">
        <f t="shared" si="394"/>
        <v>166.30434782608697</v>
      </c>
      <c r="X128" s="104"/>
      <c r="Y128" s="444">
        <f t="shared" si="400"/>
        <v>60.130718954248366</v>
      </c>
      <c r="Z128" s="104"/>
      <c r="AA128" s="104"/>
      <c r="AB128" s="105"/>
      <c r="AC128" s="22" t="s">
        <v>9</v>
      </c>
      <c r="AD128" s="426">
        <f t="shared" si="352"/>
        <v>69</v>
      </c>
      <c r="AE128" s="426">
        <f t="shared" si="401"/>
        <v>69</v>
      </c>
      <c r="AF128" s="22">
        <v>69</v>
      </c>
      <c r="AG128" s="32"/>
      <c r="AH128" s="32"/>
      <c r="AI128" s="32"/>
      <c r="AJ128" s="615"/>
      <c r="AK128" s="222"/>
      <c r="AL128" s="492">
        <f t="shared" si="402"/>
        <v>0</v>
      </c>
      <c r="AM128" s="4">
        <f t="shared" si="403"/>
        <v>0</v>
      </c>
      <c r="AN128" s="26"/>
      <c r="AO128" s="26"/>
      <c r="AP128" s="26"/>
      <c r="AQ128" s="39"/>
      <c r="AR128" s="39"/>
      <c r="AS128" s="39"/>
      <c r="AT128" s="39"/>
      <c r="AU128" s="39"/>
      <c r="AV128" s="26"/>
      <c r="AW128" s="37"/>
      <c r="AX128" s="39"/>
      <c r="AY128" s="26"/>
      <c r="AZ128" s="25"/>
      <c r="BA128" s="22"/>
      <c r="BB128" s="22"/>
      <c r="BC128" s="437" t="e">
        <f t="shared" si="404"/>
        <v>#DIV/0!</v>
      </c>
      <c r="BD128" s="332" t="e">
        <f t="shared" si="405"/>
        <v>#DIV/0!</v>
      </c>
      <c r="BE128" s="334">
        <f t="shared" si="406"/>
        <v>0</v>
      </c>
      <c r="BF128" s="123"/>
      <c r="BG128" s="123"/>
      <c r="BH128" s="89"/>
      <c r="BI128" s="89"/>
      <c r="BJ128" s="548"/>
      <c r="BK128" s="548"/>
      <c r="BL128" s="549"/>
      <c r="BM128" s="547">
        <f>(DATEDIF(BJ128,BK128,"d"))/30</f>
        <v>0</v>
      </c>
      <c r="BN128" s="490" t="s">
        <v>229</v>
      </c>
      <c r="BO128" s="77"/>
      <c r="BP128" s="100"/>
      <c r="BQ128" s="536">
        <f>(DATEDIF(BO128,BP128,"d"))/30</f>
        <v>0</v>
      </c>
      <c r="BR128" s="529"/>
      <c r="BS128" s="77"/>
      <c r="BT128" s="77"/>
      <c r="BU128" s="151"/>
      <c r="BV128" s="150">
        <f t="shared" si="357"/>
        <v>1096</v>
      </c>
      <c r="BW128" s="373"/>
      <c r="BX128" s="150" t="str">
        <f>IF(Tableau6[[#This Row],[Montant des loyers perçus avant 1e échéance]]&lt;BW128,"oui","non")</f>
        <v>non</v>
      </c>
      <c r="BY128" s="475">
        <f>(BV128-EL128)/30</f>
        <v>-1490.5</v>
      </c>
      <c r="BZ128" s="373">
        <f>IF((BY128*EO128)&lt;0,"0",BY128*EO128)</f>
        <v>0</v>
      </c>
      <c r="CA128" s="373">
        <f>IF(BW128-BZ128&lt;0,0,Tableau6[[#This Row],[Montant échéance annuelle]]-Tableau6[[#This Row],[Montant des loyers perçus avant 1e échéance]])</f>
        <v>0</v>
      </c>
      <c r="CB128" s="286"/>
      <c r="CC128" s="288"/>
      <c r="CD128" s="288"/>
      <c r="CE128" s="290" t="str">
        <f>IF(AND(CC128&gt;0,CD128&gt;0),CD128-CC128,"0")</f>
        <v>0</v>
      </c>
      <c r="CF128" s="288"/>
      <c r="CG128" s="288"/>
      <c r="CH128" s="290" t="str">
        <f>IF(AND(CF128&gt;0,CG128&gt;0),CG128-CF128,"0")</f>
        <v>0</v>
      </c>
      <c r="CI128" s="288"/>
      <c r="CJ128" s="288"/>
      <c r="CK128" s="290" t="str">
        <f>IF(AND(CI128&gt;0,CJ128&gt;0),CJ128-CI128,"0")</f>
        <v>0</v>
      </c>
      <c r="CL128" s="288"/>
      <c r="CM128" s="288"/>
      <c r="CN128" s="290" t="str">
        <f>IF(AND(CL128&gt;0,CM128&gt;0),CM128-CL128,"0")</f>
        <v>0</v>
      </c>
      <c r="CO128" s="288"/>
      <c r="CP128" s="288"/>
      <c r="CQ128" s="290" t="str">
        <f>IF(AND(CO128&gt;0,CP128&gt;0),CP128-CO128,"0")</f>
        <v>0</v>
      </c>
      <c r="CR128" s="237"/>
      <c r="CS128" s="292"/>
      <c r="CT128" s="277"/>
      <c r="CU128" s="278"/>
      <c r="CV128" s="279" t="str">
        <f t="shared" si="407"/>
        <v>0</v>
      </c>
      <c r="CW128" s="277"/>
      <c r="CX128" s="382">
        <v>44745</v>
      </c>
      <c r="CY128" s="178"/>
      <c r="CZ128" s="231">
        <f t="shared" si="382"/>
        <v>1491.5</v>
      </c>
      <c r="DA128" s="279" t="str">
        <f t="shared" si="361"/>
        <v>0</v>
      </c>
      <c r="DB128" s="383">
        <v>33</v>
      </c>
      <c r="DC128" s="127">
        <f t="shared" si="362"/>
        <v>34</v>
      </c>
      <c r="DD128" s="277"/>
      <c r="DE128" s="282">
        <f t="shared" ca="1" si="385"/>
        <v>43998</v>
      </c>
      <c r="DF128" s="279" t="str">
        <f t="shared" ca="1" si="386"/>
        <v>0</v>
      </c>
      <c r="DG128" s="277"/>
      <c r="DH128" s="295">
        <f t="shared" ca="1" si="397"/>
        <v>43998</v>
      </c>
      <c r="DI128" s="280" t="str">
        <f t="shared" ca="1" si="364"/>
        <v>0</v>
      </c>
      <c r="DJ128" s="281"/>
      <c r="DK128" s="295">
        <f t="shared" ca="1" si="395"/>
        <v>43998</v>
      </c>
      <c r="DL128" s="279" t="str">
        <f t="shared" ca="1" si="335"/>
        <v>0</v>
      </c>
      <c r="DM128" s="282"/>
      <c r="DN128" s="282">
        <f t="shared" ca="1" si="396"/>
        <v>43998</v>
      </c>
      <c r="DO128" s="279" t="str">
        <f t="shared" ca="1" si="365"/>
        <v>0</v>
      </c>
      <c r="DP128" s="283"/>
      <c r="DQ128" s="283"/>
      <c r="DR128" s="279" t="str">
        <f t="shared" si="366"/>
        <v>0</v>
      </c>
      <c r="DS128" s="282"/>
      <c r="DT128" s="282">
        <f t="shared" ca="1" si="318"/>
        <v>43998</v>
      </c>
      <c r="DU128" s="279" t="str">
        <f t="shared" ca="1" si="367"/>
        <v>0</v>
      </c>
      <c r="DV128" s="282"/>
      <c r="DW128" s="282">
        <f t="shared" ca="1" si="324"/>
        <v>43998</v>
      </c>
      <c r="DX128" s="279" t="str">
        <f t="shared" ca="1" si="368"/>
        <v>0</v>
      </c>
      <c r="DY128" s="282"/>
      <c r="DZ128" s="282"/>
      <c r="EA128" s="282"/>
      <c r="EB128" s="410">
        <f t="shared" si="369"/>
        <v>45750</v>
      </c>
      <c r="EC128" s="409">
        <f>DATE(YEAR(EB128),MONTH(EB128)+1,DAY(EB128))</f>
        <v>45780</v>
      </c>
      <c r="ED128" s="406">
        <f t="shared" si="370"/>
        <v>1</v>
      </c>
      <c r="EE128" s="505">
        <f t="shared" ca="1" si="343"/>
        <v>59.4</v>
      </c>
      <c r="EF128" s="409">
        <f t="shared" ca="1" si="389"/>
        <v>44728</v>
      </c>
      <c r="EG128" s="457"/>
      <c r="EH128" s="448"/>
      <c r="EI128" s="458">
        <f t="shared" si="380"/>
        <v>45905</v>
      </c>
      <c r="EJ128" s="242"/>
      <c r="EK128" s="456">
        <f t="shared" si="387"/>
        <v>45780</v>
      </c>
      <c r="EL128" s="409">
        <f t="shared" si="383"/>
        <v>45811</v>
      </c>
      <c r="EM128" s="314"/>
      <c r="EN128" s="404">
        <f t="shared" si="384"/>
        <v>1.0333333333333334</v>
      </c>
      <c r="EO128" s="394"/>
      <c r="EP128" s="131">
        <f t="shared" si="371"/>
        <v>0</v>
      </c>
      <c r="EQ128" s="60"/>
      <c r="ER128" s="60"/>
      <c r="ES128" s="742">
        <f>(Tableau6[[#This Row],[Date inauguration recalée]]-ER128)/30</f>
        <v>1527.0333333333333</v>
      </c>
      <c r="ET128" s="300"/>
      <c r="EU128" s="300"/>
      <c r="EV128" s="300"/>
      <c r="EW128" s="300"/>
      <c r="EX128" s="415"/>
      <c r="EY128" s="416" t="e">
        <f t="shared" si="344"/>
        <v>#DIV/0!</v>
      </c>
      <c r="EZ128" s="297"/>
      <c r="FA128" s="308"/>
      <c r="FB128" s="302"/>
      <c r="FC128" s="302"/>
      <c r="FD128" s="89">
        <f t="shared" ca="1" si="388"/>
        <v>44728</v>
      </c>
      <c r="FE128" s="63"/>
      <c r="FF128" s="63"/>
      <c r="FG128" s="63"/>
      <c r="FH128" s="63"/>
      <c r="FI128" s="63"/>
      <c r="FJ128" s="22"/>
      <c r="FK128" s="146">
        <f t="shared" si="381"/>
        <v>46145</v>
      </c>
      <c r="FL128" s="146"/>
      <c r="FM128" s="146"/>
      <c r="FN128" s="22"/>
      <c r="FO128" s="22"/>
      <c r="FP128" s="22"/>
      <c r="FQ128" s="22"/>
      <c r="FR128" s="22"/>
      <c r="FS128" s="22"/>
      <c r="FT128" s="22"/>
      <c r="FU128" s="22"/>
      <c r="FV128" s="22"/>
      <c r="FW128" s="22"/>
      <c r="FX128" s="22"/>
      <c r="FY128" s="22"/>
      <c r="FZ128" s="22"/>
      <c r="GA128" s="451"/>
      <c r="GB128" s="471">
        <f>GD128+GG128+GJ128+HF128+Tableau6[[#This Row],[PRÊT CREDIT D''IMPOT (PM)]]</f>
        <v>0</v>
      </c>
      <c r="GC128" s="645">
        <f t="shared" si="372"/>
        <v>0</v>
      </c>
      <c r="GD128" s="507">
        <f t="shared" si="379"/>
        <v>0</v>
      </c>
      <c r="GE128" s="20" t="e">
        <f t="shared" si="373"/>
        <v>#DIV/0!</v>
      </c>
      <c r="GF128" s="20">
        <f t="shared" si="345"/>
        <v>0</v>
      </c>
      <c r="GG128" s="503"/>
      <c r="GH128" s="351"/>
      <c r="GI128" s="20"/>
      <c r="GJ128" s="503">
        <f t="shared" si="374"/>
        <v>0</v>
      </c>
      <c r="GK128" s="5">
        <f t="shared" si="408"/>
        <v>0</v>
      </c>
      <c r="GL128" s="44"/>
      <c r="GM128" s="44"/>
      <c r="GN128" s="346">
        <f t="shared" si="376"/>
        <v>0</v>
      </c>
      <c r="GO128" s="35"/>
      <c r="GP128" s="5"/>
      <c r="GQ128" s="35"/>
      <c r="GR128" s="18" t="e">
        <f t="shared" si="377"/>
        <v>#DIV/0!</v>
      </c>
      <c r="GS128" s="35"/>
      <c r="GT128" s="35"/>
      <c r="GU128" s="35"/>
      <c r="GV128" s="20">
        <f>GP128/AD128</f>
        <v>0</v>
      </c>
      <c r="GW128" s="20">
        <f>(GG128+GP128)/AD128</f>
        <v>0</v>
      </c>
      <c r="GX128" s="569"/>
      <c r="GY128" s="569"/>
      <c r="GZ128" s="569" t="e">
        <f>(#REF!+#REF!+GY128)/AD128</f>
        <v>#REF!</v>
      </c>
      <c r="HA128" s="569"/>
      <c r="HB128" s="569">
        <f>(GG128+GP128+GY128+HA128)/AD128</f>
        <v>0</v>
      </c>
      <c r="HC128" s="568" t="e">
        <f>(GG128+GP128+GY128+HA128)/(GX128+GB128-HD128)</f>
        <v>#DIV/0!</v>
      </c>
      <c r="HD128" s="569"/>
      <c r="HE128" s="569"/>
      <c r="HF128" s="503"/>
      <c r="HG128" s="633"/>
      <c r="HH128" s="634" t="e">
        <f>HG128/GB128</f>
        <v>#DIV/0!</v>
      </c>
      <c r="HI128" s="633">
        <f>GB128-HG128</f>
        <v>0</v>
      </c>
      <c r="HJ128" s="633" t="e">
        <f ca="1">IF(EE128&lt;DATEDIF(TODAY(),$HJ$1,"M"),HI128,(HI128/EE128*DATEDIF(TODAY(),$HJ$1,"M")))</f>
        <v>#VALUE!</v>
      </c>
      <c r="HK128" s="634" t="e">
        <f ca="1">(HG128+HJ128)/GB128</f>
        <v>#VALUE!</v>
      </c>
      <c r="HL128" s="633"/>
      <c r="HM128" s="633">
        <f>GD128-HL128</f>
        <v>0</v>
      </c>
      <c r="HN128" s="633" t="e">
        <f>HL128/GD128</f>
        <v>#DIV/0!</v>
      </c>
      <c r="HO128" s="633"/>
      <c r="HP128" s="563"/>
      <c r="HQ128" s="47"/>
      <c r="HR128" s="563"/>
      <c r="HS128" s="563">
        <f>SUM(Tableau6[[#This Row],[GO]:[CARRELAGE]])</f>
        <v>0</v>
      </c>
      <c r="HT128" s="461"/>
      <c r="HU128" s="461"/>
      <c r="HV128" s="461"/>
      <c r="HW128" s="461"/>
      <c r="HX128" s="461"/>
      <c r="HY128" s="461"/>
      <c r="HZ128" s="461"/>
      <c r="IA128" s="461"/>
      <c r="IB128" s="461"/>
      <c r="IC128" s="461"/>
      <c r="ID128" s="461"/>
      <c r="IE128" s="461"/>
      <c r="IF128" s="461"/>
      <c r="IG128" s="563"/>
      <c r="IH128" s="563"/>
      <c r="II128" s="563">
        <f>HP128+HR128+Tableau6[[#This Row],[TRAVAUX BATIS]]+Tableau6[[#This Row],[HONORAIRES]]+IH128</f>
        <v>0</v>
      </c>
      <c r="IJ128" s="654">
        <f>Tableau6[[#This Row],[TOTAL PRP HT]]-Tableau6[[#This Row],[PRP TTC HORS FRAFU]]/1.021</f>
        <v>0</v>
      </c>
      <c r="IK128" s="9"/>
      <c r="IL128" s="9"/>
      <c r="IM128" s="9"/>
      <c r="IN128" s="9"/>
      <c r="IO128" s="9"/>
      <c r="IP128" s="9"/>
      <c r="IQ128" s="9"/>
      <c r="IR128" s="9"/>
      <c r="IS128" s="9"/>
      <c r="IT128" s="9"/>
      <c r="IU128" s="9"/>
      <c r="IV128" s="9"/>
    </row>
    <row r="129" spans="1:256 16329:16329" ht="15" customHeight="1">
      <c r="A129" s="43" t="s">
        <v>889</v>
      </c>
      <c r="B129" s="22" t="s">
        <v>21</v>
      </c>
      <c r="C129" s="22" t="s">
        <v>86</v>
      </c>
      <c r="D129" s="22">
        <v>2020</v>
      </c>
      <c r="E129" s="22" t="s">
        <v>850</v>
      </c>
      <c r="F129" s="57"/>
      <c r="G129" s="22"/>
      <c r="H129" s="57"/>
      <c r="I129" s="22"/>
      <c r="J129" s="57"/>
      <c r="K129" s="134"/>
      <c r="L129" s="81"/>
      <c r="M129" s="82"/>
      <c r="N129" s="83"/>
      <c r="O129" s="103"/>
      <c r="P129" s="103"/>
      <c r="Q129" s="103"/>
      <c r="R129" s="103">
        <f t="shared" si="390"/>
        <v>0</v>
      </c>
      <c r="S129" s="103" t="e">
        <f t="shared" si="391"/>
        <v>#DIV/0!</v>
      </c>
      <c r="T129" s="109" t="e">
        <f t="shared" si="392"/>
        <v>#DIV/0!</v>
      </c>
      <c r="U129" s="109">
        <f t="shared" si="399"/>
        <v>0</v>
      </c>
      <c r="V129" s="109">
        <f t="shared" si="393"/>
        <v>0</v>
      </c>
      <c r="W129" s="103">
        <f t="shared" si="394"/>
        <v>0</v>
      </c>
      <c r="X129" s="104"/>
      <c r="Y129" s="447" t="e">
        <f t="shared" si="400"/>
        <v>#DIV/0!</v>
      </c>
      <c r="Z129" s="104"/>
      <c r="AA129" s="104"/>
      <c r="AB129" s="105">
        <v>0.1</v>
      </c>
      <c r="AC129" s="22" t="s">
        <v>10</v>
      </c>
      <c r="AD129" s="426">
        <f t="shared" si="352"/>
        <v>18</v>
      </c>
      <c r="AE129" s="426">
        <f t="shared" si="401"/>
        <v>18</v>
      </c>
      <c r="AF129" s="32"/>
      <c r="AG129" s="22">
        <v>18</v>
      </c>
      <c r="AH129" s="32"/>
      <c r="AI129" s="362"/>
      <c r="AJ129" s="614">
        <v>1013.32</v>
      </c>
      <c r="AK129" s="222">
        <v>1186.42</v>
      </c>
      <c r="AL129" s="492">
        <f t="shared" si="402"/>
        <v>56.295555555555559</v>
      </c>
      <c r="AM129" s="4">
        <f t="shared" si="403"/>
        <v>65.912222222222226</v>
      </c>
      <c r="AN129" s="26"/>
      <c r="AO129" s="26"/>
      <c r="AP129" s="26"/>
      <c r="AQ129" s="39"/>
      <c r="AR129" s="39"/>
      <c r="AS129" s="39"/>
      <c r="AT129" s="39"/>
      <c r="AU129" s="39"/>
      <c r="AV129" s="26"/>
      <c r="AW129" s="37"/>
      <c r="AX129" s="39"/>
      <c r="AY129" s="26"/>
      <c r="AZ129" s="22"/>
      <c r="BA129" s="22"/>
      <c r="BB129" s="118">
        <v>2229304</v>
      </c>
      <c r="BC129" s="437">
        <f t="shared" si="404"/>
        <v>2200</v>
      </c>
      <c r="BD129" s="332">
        <f t="shared" si="405"/>
        <v>1879.0175485915611</v>
      </c>
      <c r="BE129" s="334">
        <f t="shared" si="406"/>
        <v>123850.22222222222</v>
      </c>
      <c r="BF129" s="123"/>
      <c r="BG129" s="123"/>
      <c r="BH129" s="56"/>
      <c r="BI129" s="56"/>
      <c r="BJ129" s="548"/>
      <c r="BK129" s="548"/>
      <c r="BL129" s="549"/>
      <c r="BM129" s="547"/>
      <c r="BN129" s="490" t="s">
        <v>229</v>
      </c>
      <c r="BO129" s="77"/>
      <c r="BP129" s="100"/>
      <c r="BQ129" s="536"/>
      <c r="BR129" s="529"/>
      <c r="BS129" s="77"/>
      <c r="BT129" s="77"/>
      <c r="BU129" s="151"/>
      <c r="BV129" s="150">
        <f t="shared" si="357"/>
        <v>1096</v>
      </c>
      <c r="BW129" s="373"/>
      <c r="BX129" s="150" t="str">
        <f>IF(Tableau6[[#This Row],[Montant des loyers perçus avant 1e échéance]]&lt;BW129,"oui","non")</f>
        <v>non</v>
      </c>
      <c r="BY129" s="475"/>
      <c r="BZ129" s="373"/>
      <c r="CA129" s="373">
        <f>IF(BW129-BZ129&lt;0,0,Tableau6[[#This Row],[Montant échéance annuelle]]-Tableau6[[#This Row],[Montant des loyers perçus avant 1e échéance]])</f>
        <v>0</v>
      </c>
      <c r="CB129" s="159"/>
      <c r="CC129" s="64"/>
      <c r="CD129" s="64"/>
      <c r="CE129" s="273"/>
      <c r="CF129" s="64"/>
      <c r="CG129" s="64"/>
      <c r="CH129" s="273"/>
      <c r="CI129" s="288"/>
      <c r="CJ129" s="288"/>
      <c r="CK129" s="290"/>
      <c r="CL129" s="288"/>
      <c r="CM129" s="288"/>
      <c r="CN129" s="290"/>
      <c r="CO129" s="288"/>
      <c r="CP129" s="288"/>
      <c r="CQ129" s="290"/>
      <c r="CR129" s="237"/>
      <c r="CS129" s="286"/>
      <c r="CT129" s="277"/>
      <c r="CU129" s="282"/>
      <c r="CV129" s="279" t="str">
        <f t="shared" si="407"/>
        <v>0</v>
      </c>
      <c r="CW129" s="277"/>
      <c r="CX129" s="382">
        <v>44744</v>
      </c>
      <c r="CY129" s="178"/>
      <c r="CZ129" s="231">
        <f t="shared" si="382"/>
        <v>1491.4666666666667</v>
      </c>
      <c r="DA129" s="279" t="str">
        <f t="shared" si="361"/>
        <v>0</v>
      </c>
      <c r="DB129" s="383">
        <v>19</v>
      </c>
      <c r="DC129" s="127">
        <f t="shared" si="362"/>
        <v>19</v>
      </c>
      <c r="DD129" s="277"/>
      <c r="DE129" s="282">
        <f t="shared" ca="1" si="385"/>
        <v>43998</v>
      </c>
      <c r="DF129" s="279" t="str">
        <f t="shared" ca="1" si="386"/>
        <v>0</v>
      </c>
      <c r="DG129" s="277"/>
      <c r="DH129" s="295">
        <f t="shared" ca="1" si="397"/>
        <v>43998</v>
      </c>
      <c r="DI129" s="280" t="str">
        <f t="shared" ca="1" si="364"/>
        <v>0</v>
      </c>
      <c r="DJ129" s="281"/>
      <c r="DK129" s="295">
        <f t="shared" ca="1" si="395"/>
        <v>43998</v>
      </c>
      <c r="DL129" s="279" t="str">
        <f t="shared" ca="1" si="335"/>
        <v>0</v>
      </c>
      <c r="DM129" s="282">
        <v>43535</v>
      </c>
      <c r="DN129" s="282">
        <f t="shared" ca="1" si="396"/>
        <v>43998</v>
      </c>
      <c r="DO129" s="279">
        <f t="shared" ca="1" si="365"/>
        <v>463</v>
      </c>
      <c r="DP129" s="283"/>
      <c r="DQ129" s="283"/>
      <c r="DR129" s="279" t="str">
        <f t="shared" si="366"/>
        <v>0</v>
      </c>
      <c r="DS129" s="282"/>
      <c r="DT129" s="282">
        <f t="shared" ca="1" si="318"/>
        <v>43998</v>
      </c>
      <c r="DU129" s="279" t="str">
        <f t="shared" ca="1" si="367"/>
        <v>0</v>
      </c>
      <c r="DV129" s="282">
        <v>43612</v>
      </c>
      <c r="DW129" s="282">
        <f t="shared" ca="1" si="324"/>
        <v>43998</v>
      </c>
      <c r="DX129" s="279">
        <f t="shared" ca="1" si="368"/>
        <v>386</v>
      </c>
      <c r="DY129" s="283"/>
      <c r="DZ129" s="283"/>
      <c r="EA129" s="283"/>
      <c r="EB129" s="410">
        <f t="shared" si="369"/>
        <v>45324</v>
      </c>
      <c r="EC129" s="409">
        <f>DATE(YEAR(EB129),MONTH(EB129),DAY(EB129))</f>
        <v>45324</v>
      </c>
      <c r="ED129" s="406">
        <f t="shared" si="370"/>
        <v>0</v>
      </c>
      <c r="EE129" s="505">
        <f t="shared" ca="1" si="343"/>
        <v>44.2</v>
      </c>
      <c r="EF129" s="409">
        <f t="shared" ca="1" si="389"/>
        <v>44728</v>
      </c>
      <c r="EG129" s="457"/>
      <c r="EH129" s="448"/>
      <c r="EI129" s="458">
        <f t="shared" si="380"/>
        <v>45447</v>
      </c>
      <c r="EJ129" s="242"/>
      <c r="EK129" s="456">
        <f t="shared" si="387"/>
        <v>45353</v>
      </c>
      <c r="EL129" s="409">
        <f t="shared" si="383"/>
        <v>45353</v>
      </c>
      <c r="EM129" s="314"/>
      <c r="EN129" s="404">
        <f t="shared" si="384"/>
        <v>0</v>
      </c>
      <c r="EO129" s="394"/>
      <c r="EP129" s="131">
        <f t="shared" si="371"/>
        <v>0</v>
      </c>
      <c r="EQ129" s="60"/>
      <c r="ER129" s="60"/>
      <c r="ES129" s="742">
        <f>(Tableau6[[#This Row],[Date inauguration recalée]]-ER129)/30</f>
        <v>1511.7666666666667</v>
      </c>
      <c r="ET129" s="300"/>
      <c r="EU129" s="300"/>
      <c r="EV129" s="300"/>
      <c r="EW129" s="300"/>
      <c r="EX129" s="415"/>
      <c r="EY129" s="416">
        <f t="shared" si="344"/>
        <v>0</v>
      </c>
      <c r="EZ129" s="297"/>
      <c r="FA129" s="308"/>
      <c r="FB129" s="302"/>
      <c r="FC129" s="302"/>
      <c r="FD129" s="89">
        <f t="shared" ca="1" si="388"/>
        <v>44728</v>
      </c>
      <c r="FE129" s="63"/>
      <c r="FF129" s="63"/>
      <c r="FG129" s="63"/>
      <c r="FH129" s="63"/>
      <c r="FI129" s="63"/>
      <c r="FJ129" s="22"/>
      <c r="FK129" s="146">
        <f t="shared" si="381"/>
        <v>45690</v>
      </c>
      <c r="FL129" s="146"/>
      <c r="FM129" s="146"/>
      <c r="FN129" s="22"/>
      <c r="FO129" s="22"/>
      <c r="FP129" s="22"/>
      <c r="FQ129" s="22"/>
      <c r="FR129" s="22"/>
      <c r="FS129" s="22"/>
      <c r="FT129" s="22"/>
      <c r="FU129" s="22"/>
      <c r="FV129" s="22"/>
      <c r="FW129" s="22"/>
      <c r="FX129" s="22"/>
      <c r="FY129" s="22"/>
      <c r="FZ129" s="22"/>
      <c r="GA129" s="451"/>
      <c r="GB129" s="471">
        <f>GD129+GG129+GJ129+HF129+Tableau6[[#This Row],[PRÊT CREDIT D''IMPOT (PM)]]</f>
        <v>2332416.52</v>
      </c>
      <c r="GC129" s="645">
        <f t="shared" si="372"/>
        <v>2332416.52</v>
      </c>
      <c r="GD129" s="507">
        <f t="shared" si="379"/>
        <v>450000</v>
      </c>
      <c r="GE129" s="20">
        <f t="shared" si="373"/>
        <v>1965.9281873198361</v>
      </c>
      <c r="GF129" s="20">
        <f t="shared" si="345"/>
        <v>129578.69555555556</v>
      </c>
      <c r="GG129" s="503">
        <v>664193.96</v>
      </c>
      <c r="GH129" s="351"/>
      <c r="GI129" s="20">
        <f t="shared" ref="GI129:GI163" si="409">GG129/AD129</f>
        <v>36899.664444444439</v>
      </c>
      <c r="GJ129" s="503">
        <f t="shared" si="374"/>
        <v>1218222.56</v>
      </c>
      <c r="GK129" s="5">
        <f t="shared" si="408"/>
        <v>1218222.56</v>
      </c>
      <c r="GL129" s="44">
        <v>157815.60999999999</v>
      </c>
      <c r="GM129" s="44">
        <v>1060406.95</v>
      </c>
      <c r="GN129" s="346">
        <f t="shared" si="376"/>
        <v>67679.031111111108</v>
      </c>
      <c r="GO129" s="35"/>
      <c r="GP129" s="5">
        <v>450000</v>
      </c>
      <c r="GQ129" s="35"/>
      <c r="GR129" s="45">
        <f t="shared" si="377"/>
        <v>0.1929329500718851</v>
      </c>
      <c r="GS129" s="35"/>
      <c r="GT129" s="35"/>
      <c r="GU129" s="35"/>
      <c r="GV129" s="20"/>
      <c r="GW129" s="20"/>
      <c r="GX129" s="569"/>
      <c r="GY129" s="569"/>
      <c r="GZ129" s="569"/>
      <c r="HA129" s="569"/>
      <c r="HB129" s="569"/>
      <c r="HC129" s="568"/>
      <c r="HD129" s="569"/>
      <c r="HE129" s="569"/>
      <c r="HF129" s="503"/>
      <c r="HG129" s="633"/>
      <c r="HH129" s="634"/>
      <c r="HI129" s="633"/>
      <c r="HJ129" s="633"/>
      <c r="HK129" s="634"/>
      <c r="HL129" s="633"/>
      <c r="HM129" s="633"/>
      <c r="HN129" s="633"/>
      <c r="HO129" s="633"/>
      <c r="HP129" s="563"/>
      <c r="HQ129" s="47"/>
      <c r="HR129" s="563"/>
      <c r="HS129" s="563">
        <f>SUM(Tableau6[[#This Row],[GO]:[CARRELAGE]])</f>
        <v>0</v>
      </c>
      <c r="HT129" s="461"/>
      <c r="HU129" s="461"/>
      <c r="HV129" s="461"/>
      <c r="HW129" s="461"/>
      <c r="HX129" s="461"/>
      <c r="HY129" s="461"/>
      <c r="HZ129" s="461"/>
      <c r="IA129" s="461"/>
      <c r="IB129" s="461"/>
      <c r="IC129" s="461"/>
      <c r="ID129" s="461"/>
      <c r="IE129" s="461"/>
      <c r="IF129" s="461"/>
      <c r="IG129" s="563"/>
      <c r="IH129" s="563"/>
      <c r="II129" s="563">
        <f>HP129+HR129+Tableau6[[#This Row],[TRAVAUX BATIS]]+Tableau6[[#This Row],[HONORAIRES]]+IH129</f>
        <v>0</v>
      </c>
      <c r="IJ129" s="654">
        <f>Tableau6[[#This Row],[TOTAL PRP HT]]-Tableau6[[#This Row],[PRP TTC HORS FRAFU]]/1.021</f>
        <v>-2284443.2125367289</v>
      </c>
      <c r="IK129" s="9"/>
      <c r="IL129" s="9"/>
      <c r="IM129" s="9"/>
      <c r="IN129" s="9"/>
      <c r="IO129" s="9"/>
      <c r="IP129" s="9"/>
      <c r="IQ129" s="9"/>
      <c r="IR129" s="9"/>
      <c r="IS129" s="9"/>
      <c r="IT129" s="9"/>
      <c r="IU129" s="9"/>
      <c r="IV129" s="9"/>
    </row>
    <row r="130" spans="1:256 16329:16329" ht="15" customHeight="1">
      <c r="A130" s="428" t="s">
        <v>716</v>
      </c>
      <c r="B130" s="22" t="s">
        <v>14</v>
      </c>
      <c r="C130" s="22" t="s">
        <v>86</v>
      </c>
      <c r="D130" s="22">
        <v>2022</v>
      </c>
      <c r="E130" s="22"/>
      <c r="F130" s="22"/>
      <c r="G130" s="22"/>
      <c r="H130" s="24"/>
      <c r="I130" s="22"/>
      <c r="J130" s="22" t="s">
        <v>716</v>
      </c>
      <c r="K130" s="134"/>
      <c r="L130" s="81"/>
      <c r="M130" s="82"/>
      <c r="N130" s="83"/>
      <c r="O130" s="103"/>
      <c r="P130" s="103"/>
      <c r="Q130" s="103"/>
      <c r="R130" s="103"/>
      <c r="S130" s="103"/>
      <c r="T130" s="109"/>
      <c r="U130" s="109"/>
      <c r="V130" s="109"/>
      <c r="W130" s="103"/>
      <c r="X130" s="104"/>
      <c r="Y130" s="447" t="e">
        <f t="shared" si="400"/>
        <v>#DIV/0!</v>
      </c>
      <c r="Z130" s="104"/>
      <c r="AA130" s="104"/>
      <c r="AB130" s="105"/>
      <c r="AC130" s="22" t="s">
        <v>10</v>
      </c>
      <c r="AD130" s="426">
        <f t="shared" si="352"/>
        <v>50</v>
      </c>
      <c r="AE130" s="427">
        <f t="shared" si="401"/>
        <v>50</v>
      </c>
      <c r="AF130" s="32"/>
      <c r="AG130" s="22">
        <v>50</v>
      </c>
      <c r="AH130" s="32"/>
      <c r="AI130" s="32"/>
      <c r="AJ130" s="615"/>
      <c r="AK130" s="222"/>
      <c r="AL130" s="492">
        <f t="shared" si="402"/>
        <v>0</v>
      </c>
      <c r="AM130" s="4">
        <f t="shared" si="403"/>
        <v>0</v>
      </c>
      <c r="AN130" s="26"/>
      <c r="AO130" s="26"/>
      <c r="AP130" s="26"/>
      <c r="AQ130" s="39"/>
      <c r="AR130" s="39"/>
      <c r="AS130" s="39"/>
      <c r="AT130" s="39"/>
      <c r="AU130" s="39"/>
      <c r="AV130" s="26"/>
      <c r="AW130" s="37"/>
      <c r="AX130" s="39"/>
      <c r="AY130" s="26"/>
      <c r="AZ130" s="25"/>
      <c r="BA130" s="22"/>
      <c r="BB130" s="22"/>
      <c r="BC130" s="437" t="e">
        <f t="shared" si="404"/>
        <v>#DIV/0!</v>
      </c>
      <c r="BD130" s="332" t="e">
        <f t="shared" si="405"/>
        <v>#DIV/0!</v>
      </c>
      <c r="BE130" s="334">
        <f t="shared" si="406"/>
        <v>0</v>
      </c>
      <c r="BF130" s="123"/>
      <c r="BG130" s="123"/>
      <c r="BH130" s="89"/>
      <c r="BI130" s="89"/>
      <c r="BJ130" s="548"/>
      <c r="BK130" s="548"/>
      <c r="BL130" s="549"/>
      <c r="BM130" s="547">
        <f t="shared" ref="BM130:BM163" si="410">(DATEDIF(BJ130,BK130,"d"))/30</f>
        <v>0</v>
      </c>
      <c r="BN130" s="490" t="s">
        <v>229</v>
      </c>
      <c r="BO130" s="77"/>
      <c r="BP130" s="100"/>
      <c r="BQ130" s="536">
        <f t="shared" ref="BQ130:BQ163" si="411">(DATEDIF(BO130,BP130,"d"))/30</f>
        <v>0</v>
      </c>
      <c r="BR130" s="529"/>
      <c r="BS130" s="77"/>
      <c r="BT130" s="77"/>
      <c r="BU130" s="151"/>
      <c r="BV130" s="150">
        <f t="shared" si="357"/>
        <v>1096</v>
      </c>
      <c r="BW130" s="373"/>
      <c r="BX130" s="150" t="str">
        <f>IF(Tableau6[[#This Row],[Montant des loyers perçus avant 1e échéance]]&lt;BW130,"oui","non")</f>
        <v>non</v>
      </c>
      <c r="BY130" s="475">
        <f t="shared" ref="BY130:BY163" si="412">(BV130-EL130)/30</f>
        <v>-1469.8</v>
      </c>
      <c r="BZ130" s="373">
        <f t="shared" ref="BZ130:BZ163" si="413">IF((BY130*EO130)&lt;0,"0",BY130*EO130)</f>
        <v>0</v>
      </c>
      <c r="CA130" s="373">
        <f>IF(BW130-BZ130&lt;0,0,Tableau6[[#This Row],[Montant échéance annuelle]]-Tableau6[[#This Row],[Montant des loyers perçus avant 1e échéance]])</f>
        <v>0</v>
      </c>
      <c r="CB130" s="286"/>
      <c r="CC130" s="288"/>
      <c r="CD130" s="288"/>
      <c r="CE130" s="290" t="str">
        <f t="shared" ref="CE130:CE163" si="414">IF(AND(CC130&gt;0,CD130&gt;0),CD130-CC130,"0")</f>
        <v>0</v>
      </c>
      <c r="CF130" s="288"/>
      <c r="CG130" s="288"/>
      <c r="CH130" s="290" t="str">
        <f t="shared" ref="CH130:CH163" si="415">IF(AND(CF130&gt;0,CG130&gt;0),CG130-CF130,"0")</f>
        <v>0</v>
      </c>
      <c r="CI130" s="288"/>
      <c r="CJ130" s="288"/>
      <c r="CK130" s="290" t="str">
        <f t="shared" ref="CK130:CK163" si="416">IF(AND(CI130&gt;0,CJ130&gt;0),CJ130-CI130,"0")</f>
        <v>0</v>
      </c>
      <c r="CL130" s="288"/>
      <c r="CM130" s="288"/>
      <c r="CN130" s="290" t="str">
        <f t="shared" ref="CN130:CN163" si="417">IF(AND(CL130&gt;0,CM130&gt;0),CM130-CL130,"0")</f>
        <v>0</v>
      </c>
      <c r="CO130" s="288"/>
      <c r="CP130" s="288"/>
      <c r="CQ130" s="290" t="str">
        <f t="shared" ref="CQ130:CQ163" si="418">IF(AND(CO130&gt;0,CP130&gt;0),CP130-CO130,"0")</f>
        <v>0</v>
      </c>
      <c r="CR130" s="237"/>
      <c r="CS130" s="292"/>
      <c r="CT130" s="277"/>
      <c r="CU130" s="278"/>
      <c r="CV130" s="279" t="str">
        <f t="shared" si="407"/>
        <v>0</v>
      </c>
      <c r="CW130" s="277"/>
      <c r="CX130" s="382">
        <v>45128</v>
      </c>
      <c r="CY130" s="178"/>
      <c r="CZ130" s="231">
        <f t="shared" si="382"/>
        <v>1504.2666666666667</v>
      </c>
      <c r="DA130" s="279"/>
      <c r="DB130" s="383"/>
      <c r="DC130" s="127"/>
      <c r="DD130" s="277"/>
      <c r="DE130" s="282"/>
      <c r="DF130" s="279"/>
      <c r="DG130" s="277"/>
      <c r="DH130" s="295">
        <f t="shared" ca="1" si="397"/>
        <v>43998</v>
      </c>
      <c r="DI130" s="280"/>
      <c r="DJ130" s="281"/>
      <c r="DK130" s="295">
        <f t="shared" ca="1" si="395"/>
        <v>43998</v>
      </c>
      <c r="DL130" s="279"/>
      <c r="DM130" s="282"/>
      <c r="DN130" s="282">
        <f t="shared" ca="1" si="396"/>
        <v>43998</v>
      </c>
      <c r="DO130" s="279"/>
      <c r="DP130" s="283"/>
      <c r="DQ130" s="283"/>
      <c r="DR130" s="279"/>
      <c r="DS130" s="282"/>
      <c r="DT130" s="282"/>
      <c r="DU130" s="279"/>
      <c r="DV130" s="282"/>
      <c r="DW130" s="282"/>
      <c r="DX130" s="279"/>
      <c r="DY130" s="282"/>
      <c r="DZ130" s="282"/>
      <c r="EA130" s="282"/>
      <c r="EB130" s="410">
        <f t="shared" si="369"/>
        <v>45128</v>
      </c>
      <c r="EC130" s="409">
        <f t="shared" ref="EC130:EC137" si="419">DATE(YEAR(EB130),MONTH(EB130)+1,DAY(EB130))</f>
        <v>45159</v>
      </c>
      <c r="ED130" s="406">
        <f t="shared" si="370"/>
        <v>1.0333333333333334</v>
      </c>
      <c r="EE130" s="505">
        <f t="shared" ca="1" si="343"/>
        <v>38.700000000000003</v>
      </c>
      <c r="EF130" s="409">
        <f t="shared" ca="1" si="389"/>
        <v>44728</v>
      </c>
      <c r="EG130" s="457"/>
      <c r="EH130" s="448"/>
      <c r="EI130" s="458">
        <f t="shared" si="380"/>
        <v>45283</v>
      </c>
      <c r="EJ130" s="242"/>
      <c r="EK130" s="456">
        <f t="shared" si="387"/>
        <v>45159</v>
      </c>
      <c r="EL130" s="409">
        <f t="shared" si="383"/>
        <v>45190</v>
      </c>
      <c r="EM130" s="314"/>
      <c r="EN130" s="404">
        <f t="shared" si="384"/>
        <v>1.0333333333333334</v>
      </c>
      <c r="EO130" s="390"/>
      <c r="EP130" s="131">
        <f t="shared" si="371"/>
        <v>0</v>
      </c>
      <c r="EQ130" s="60"/>
      <c r="ER130" s="60"/>
      <c r="ES130" s="742"/>
      <c r="ET130" s="300"/>
      <c r="EU130" s="300"/>
      <c r="EV130" s="300"/>
      <c r="EW130" s="300"/>
      <c r="EX130" s="415"/>
      <c r="EY130" s="416" t="e">
        <f t="shared" si="344"/>
        <v>#DIV/0!</v>
      </c>
      <c r="EZ130" s="297"/>
      <c r="FA130" s="308"/>
      <c r="FB130" s="302"/>
      <c r="FC130" s="302"/>
      <c r="FD130" s="89">
        <f t="shared" ca="1" si="388"/>
        <v>44728</v>
      </c>
      <c r="FE130" s="63"/>
      <c r="FF130" s="63"/>
      <c r="FG130" s="63"/>
      <c r="FH130" s="63"/>
      <c r="FI130" s="63"/>
      <c r="FJ130" s="22"/>
      <c r="FK130" s="146">
        <f t="shared" si="381"/>
        <v>45525</v>
      </c>
      <c r="FL130" s="146"/>
      <c r="FM130" s="146"/>
      <c r="FN130" s="22"/>
      <c r="FO130" s="22"/>
      <c r="FP130" s="22"/>
      <c r="FQ130" s="22"/>
      <c r="FR130" s="22"/>
      <c r="FS130" s="22"/>
      <c r="FT130" s="22"/>
      <c r="FU130" s="22"/>
      <c r="FV130" s="22"/>
      <c r="FW130" s="22"/>
      <c r="FX130" s="22"/>
      <c r="FY130" s="22"/>
      <c r="FZ130" s="22"/>
      <c r="GA130" s="451"/>
      <c r="GB130" s="471">
        <f>GD130+GG130+GJ130+HF130+Tableau6[[#This Row],[PRÊT CREDIT D''IMPOT (PM)]]</f>
        <v>0</v>
      </c>
      <c r="GC130" s="645">
        <f t="shared" si="372"/>
        <v>0</v>
      </c>
      <c r="GD130" s="507">
        <f t="shared" si="379"/>
        <v>0</v>
      </c>
      <c r="GE130" s="20" t="e">
        <f t="shared" si="373"/>
        <v>#DIV/0!</v>
      </c>
      <c r="GF130" s="20">
        <f t="shared" si="345"/>
        <v>0</v>
      </c>
      <c r="GG130" s="503"/>
      <c r="GH130" s="351"/>
      <c r="GI130" s="20">
        <f t="shared" si="409"/>
        <v>0</v>
      </c>
      <c r="GJ130" s="503">
        <f t="shared" si="374"/>
        <v>0</v>
      </c>
      <c r="GK130" s="5">
        <f t="shared" si="408"/>
        <v>0</v>
      </c>
      <c r="GL130" s="44"/>
      <c r="GM130" s="44"/>
      <c r="GN130" s="346">
        <f t="shared" si="376"/>
        <v>0</v>
      </c>
      <c r="GO130" s="35"/>
      <c r="GP130" s="5"/>
      <c r="GQ130" s="35"/>
      <c r="GR130" s="45" t="e">
        <f t="shared" si="377"/>
        <v>#DIV/0!</v>
      </c>
      <c r="GS130" s="35"/>
      <c r="GT130" s="35"/>
      <c r="GU130" s="35"/>
      <c r="GV130" s="20"/>
      <c r="GW130" s="20"/>
      <c r="GX130" s="569"/>
      <c r="GY130" s="569"/>
      <c r="GZ130" s="569"/>
      <c r="HA130" s="569"/>
      <c r="HB130" s="569"/>
      <c r="HC130" s="568"/>
      <c r="HD130" s="569"/>
      <c r="HE130" s="569"/>
      <c r="HF130" s="503"/>
      <c r="HG130" s="633"/>
      <c r="HH130" s="634" t="e">
        <f t="shared" ref="HH130:HH163" si="420">HG130/GB130</f>
        <v>#DIV/0!</v>
      </c>
      <c r="HI130" s="633">
        <f t="shared" ref="HI130:HI163" si="421">GB130-HG130</f>
        <v>0</v>
      </c>
      <c r="HJ130" s="633" t="e">
        <f t="shared" ref="HJ130:HJ163" ca="1" si="422">IF(EE130&lt;DATEDIF(TODAY(),$HJ$1,"M"),HI130,(HI130/EE130*DATEDIF(TODAY(),$HJ$1,"M")))</f>
        <v>#VALUE!</v>
      </c>
      <c r="HK130" s="634" t="e">
        <f t="shared" ref="HK130:HK163" ca="1" si="423">(HG130+HJ130)/GB130</f>
        <v>#VALUE!</v>
      </c>
      <c r="HL130" s="633"/>
      <c r="HM130" s="633">
        <f t="shared" ref="HM130:HM163" si="424">GD130-HL130</f>
        <v>0</v>
      </c>
      <c r="HN130" s="633" t="e">
        <f t="shared" ref="HN130:HN163" si="425">HL130/GD130</f>
        <v>#DIV/0!</v>
      </c>
      <c r="HO130" s="633"/>
      <c r="HP130" s="563"/>
      <c r="HQ130" s="47"/>
      <c r="HR130" s="563"/>
      <c r="HS130" s="563">
        <f>SUM(Tableau6[[#This Row],[GO]:[CARRELAGE]])</f>
        <v>0</v>
      </c>
      <c r="HT130" s="461"/>
      <c r="HU130" s="461"/>
      <c r="HV130" s="461"/>
      <c r="HW130" s="461"/>
      <c r="HX130" s="461"/>
      <c r="HY130" s="461"/>
      <c r="HZ130" s="461"/>
      <c r="IA130" s="461"/>
      <c r="IB130" s="461"/>
      <c r="IC130" s="461"/>
      <c r="ID130" s="461"/>
      <c r="IE130" s="461"/>
      <c r="IF130" s="461"/>
      <c r="IG130" s="563"/>
      <c r="IH130" s="563"/>
      <c r="II130" s="563">
        <f>HP130+HR130+Tableau6[[#This Row],[TRAVAUX BATIS]]+Tableau6[[#This Row],[HONORAIRES]]+IH130</f>
        <v>0</v>
      </c>
      <c r="IJ130" s="654">
        <f>Tableau6[[#This Row],[TOTAL PRP HT]]-Tableau6[[#This Row],[PRP TTC HORS FRAFU]]/1.021</f>
        <v>0</v>
      </c>
      <c r="IK130" s="9"/>
      <c r="IL130" s="9"/>
      <c r="IM130" s="9"/>
      <c r="IN130" s="9"/>
      <c r="IO130" s="9"/>
      <c r="IP130" s="9"/>
      <c r="IQ130" s="9"/>
      <c r="IR130" s="9"/>
      <c r="IS130" s="9"/>
      <c r="IT130" s="9"/>
      <c r="IU130" s="9"/>
      <c r="IV130" s="9"/>
    </row>
    <row r="131" spans="1:256 16329:16329" ht="15" customHeight="1">
      <c r="A131" s="441" t="s">
        <v>823</v>
      </c>
      <c r="B131" s="22" t="s">
        <v>14</v>
      </c>
      <c r="C131" s="22" t="s">
        <v>86</v>
      </c>
      <c r="D131" s="22">
        <v>2022</v>
      </c>
      <c r="E131" s="22"/>
      <c r="F131" s="22"/>
      <c r="G131" s="22"/>
      <c r="H131" s="24"/>
      <c r="I131" s="22"/>
      <c r="J131" s="22"/>
      <c r="K131" s="134"/>
      <c r="L131" s="81"/>
      <c r="M131" s="82"/>
      <c r="N131" s="83"/>
      <c r="O131" s="103"/>
      <c r="P131" s="103"/>
      <c r="Q131" s="103"/>
      <c r="R131" s="103"/>
      <c r="S131" s="103"/>
      <c r="T131" s="109"/>
      <c r="U131" s="109"/>
      <c r="V131" s="109"/>
      <c r="W131" s="103"/>
      <c r="X131" s="104"/>
      <c r="Y131" s="447"/>
      <c r="Z131" s="104"/>
      <c r="AA131" s="104"/>
      <c r="AB131" s="105"/>
      <c r="AC131" s="22" t="s">
        <v>300</v>
      </c>
      <c r="AD131" s="426">
        <f t="shared" si="352"/>
        <v>45</v>
      </c>
      <c r="AE131" s="427"/>
      <c r="AF131" s="32"/>
      <c r="AG131" s="32"/>
      <c r="AH131" s="32"/>
      <c r="AI131" s="22">
        <v>45</v>
      </c>
      <c r="AJ131" s="615"/>
      <c r="AK131" s="222"/>
      <c r="AL131" s="492">
        <f t="shared" si="402"/>
        <v>0</v>
      </c>
      <c r="AM131" s="4">
        <f t="shared" si="403"/>
        <v>0</v>
      </c>
      <c r="AN131" s="26"/>
      <c r="AO131" s="26"/>
      <c r="AP131" s="26"/>
      <c r="AQ131" s="39"/>
      <c r="AR131" s="39"/>
      <c r="AS131" s="39"/>
      <c r="AT131" s="39"/>
      <c r="AU131" s="39"/>
      <c r="AV131" s="26"/>
      <c r="AW131" s="37"/>
      <c r="AX131" s="39"/>
      <c r="AY131" s="26"/>
      <c r="AZ131" s="25"/>
      <c r="BA131" s="22"/>
      <c r="BB131" s="22"/>
      <c r="BC131" s="437" t="e">
        <f t="shared" si="404"/>
        <v>#DIV/0!</v>
      </c>
      <c r="BD131" s="332" t="e">
        <f t="shared" si="405"/>
        <v>#DIV/0!</v>
      </c>
      <c r="BE131" s="334">
        <f t="shared" si="406"/>
        <v>0</v>
      </c>
      <c r="BF131" s="123"/>
      <c r="BG131" s="123"/>
      <c r="BH131" s="89"/>
      <c r="BI131" s="89"/>
      <c r="BJ131" s="548"/>
      <c r="BK131" s="548"/>
      <c r="BL131" s="549"/>
      <c r="BM131" s="547">
        <f t="shared" si="410"/>
        <v>0</v>
      </c>
      <c r="BN131" s="490"/>
      <c r="BO131" s="77"/>
      <c r="BP131" s="100"/>
      <c r="BQ131" s="536">
        <f t="shared" si="411"/>
        <v>0</v>
      </c>
      <c r="BR131" s="529"/>
      <c r="BS131" s="77"/>
      <c r="BT131" s="77"/>
      <c r="BU131" s="151"/>
      <c r="BV131" s="150">
        <f t="shared" si="357"/>
        <v>1096</v>
      </c>
      <c r="BW131" s="373"/>
      <c r="BX131" s="150" t="str">
        <f>IF(Tableau6[[#This Row],[Montant des loyers perçus avant 1e échéance]]&lt;BW131,"oui","non")</f>
        <v>non</v>
      </c>
      <c r="BY131" s="475">
        <f t="shared" si="412"/>
        <v>-1478.7333333333333</v>
      </c>
      <c r="BZ131" s="373">
        <f t="shared" si="413"/>
        <v>0</v>
      </c>
      <c r="CA131" s="373">
        <f>IF(BW131-BZ131&lt;0,0,Tableau6[[#This Row],[Montant échéance annuelle]]-Tableau6[[#This Row],[Montant des loyers perçus avant 1e échéance]])</f>
        <v>0</v>
      </c>
      <c r="CB131" s="286"/>
      <c r="CC131" s="288"/>
      <c r="CD131" s="288"/>
      <c r="CE131" s="290" t="str">
        <f t="shared" si="414"/>
        <v>0</v>
      </c>
      <c r="CF131" s="288"/>
      <c r="CG131" s="288"/>
      <c r="CH131" s="290" t="str">
        <f t="shared" si="415"/>
        <v>0</v>
      </c>
      <c r="CI131" s="288"/>
      <c r="CJ131" s="288"/>
      <c r="CK131" s="290" t="str">
        <f t="shared" si="416"/>
        <v>0</v>
      </c>
      <c r="CL131" s="288"/>
      <c r="CM131" s="288"/>
      <c r="CN131" s="290" t="str">
        <f t="shared" si="417"/>
        <v>0</v>
      </c>
      <c r="CO131" s="288"/>
      <c r="CP131" s="288"/>
      <c r="CQ131" s="290" t="str">
        <f t="shared" si="418"/>
        <v>0</v>
      </c>
      <c r="CR131" s="237"/>
      <c r="CS131" s="292"/>
      <c r="CT131" s="277"/>
      <c r="CU131" s="278"/>
      <c r="CV131" s="279" t="str">
        <f t="shared" si="407"/>
        <v>0</v>
      </c>
      <c r="CW131" s="277"/>
      <c r="CX131" s="382">
        <v>45031</v>
      </c>
      <c r="CY131" s="178"/>
      <c r="CZ131" s="231">
        <f t="shared" si="382"/>
        <v>1501.0333333333333</v>
      </c>
      <c r="DA131" s="279" t="str">
        <f t="shared" ref="DA131:DA163" si="426">IF(AND(CW131&gt;0,CX131&gt;0),CX131-CW131,"0")</f>
        <v>0</v>
      </c>
      <c r="DB131" s="383">
        <v>12</v>
      </c>
      <c r="DC131" s="127">
        <f t="shared" ref="DC131:DC163" si="427">DATEDIF(CX131,EC131,"M")</f>
        <v>13</v>
      </c>
      <c r="DD131" s="277"/>
      <c r="DE131" s="282">
        <f t="shared" ref="DE131:DE163" ca="1" si="428">IF(DD131&lt;TODAY(),TODAY(),DD131)</f>
        <v>43998</v>
      </c>
      <c r="DF131" s="279" t="str">
        <f t="shared" ref="DF131:DF163" ca="1" si="429">IF(AND(DD131&gt;0,DE131&gt;0),DE131-DD131,"0")</f>
        <v>0</v>
      </c>
      <c r="DG131" s="277"/>
      <c r="DH131" s="295">
        <f t="shared" ca="1" si="397"/>
        <v>43998</v>
      </c>
      <c r="DI131" s="280" t="str">
        <f t="shared" ref="DI131:DI163" ca="1" si="430">IF(AND(DG131&gt;0,DH131&gt;0),DH131-DG131,"0")</f>
        <v>0</v>
      </c>
      <c r="DJ131" s="281"/>
      <c r="DK131" s="295">
        <f t="shared" ca="1" si="395"/>
        <v>43998</v>
      </c>
      <c r="DL131" s="279" t="str">
        <f t="shared" ref="DL131:DL163" ca="1" si="431">IF(AND(DJ131&gt;0,DK131&gt;0),DK131-DJ131,"0")</f>
        <v>0</v>
      </c>
      <c r="DM131" s="282"/>
      <c r="DN131" s="282">
        <f t="shared" ca="1" si="396"/>
        <v>43998</v>
      </c>
      <c r="DO131" s="279" t="str">
        <f t="shared" ref="DO131:DO163" ca="1" si="432">IF(AND(DM131&gt;0,DN131&gt;0),DN131-DM131,"0")</f>
        <v>0</v>
      </c>
      <c r="DP131" s="283"/>
      <c r="DQ131" s="283"/>
      <c r="DR131" s="279" t="str">
        <f t="shared" ref="DR131:DR163" si="433">IF(AND(DP131&gt;0,DQ131&gt;0),DQ131-DP131,"0")</f>
        <v>0</v>
      </c>
      <c r="DS131" s="282"/>
      <c r="DT131" s="282">
        <f t="shared" ref="DT131:DT163" ca="1" si="434">IF(DS131&lt;TODAY(),TODAY(),DS131)</f>
        <v>43998</v>
      </c>
      <c r="DU131" s="279" t="str">
        <f t="shared" ref="DU131:DU163" ca="1" si="435">IF(AND(DS131&gt;0,DT131&gt;0),DT131-DS131,"0")</f>
        <v>0</v>
      </c>
      <c r="DV131" s="282"/>
      <c r="DW131" s="282">
        <f t="shared" ref="DW131:DW163" ca="1" si="436">IF(DV131&lt;TODAY(),TODAY(),DV131)</f>
        <v>43998</v>
      </c>
      <c r="DX131" s="279" t="str">
        <f t="shared" ref="DX131:DX163" ca="1" si="437">IF(AND(DV131&gt;0,DW131&gt;0),DW131-DV131,"0")</f>
        <v>0</v>
      </c>
      <c r="DY131" s="283"/>
      <c r="DZ131" s="283"/>
      <c r="EA131" s="283"/>
      <c r="EB131" s="410">
        <f t="shared" si="369"/>
        <v>45397</v>
      </c>
      <c r="EC131" s="409">
        <f t="shared" si="419"/>
        <v>45427</v>
      </c>
      <c r="ED131" s="406">
        <f t="shared" si="370"/>
        <v>1</v>
      </c>
      <c r="EE131" s="505">
        <f t="shared" ca="1" si="343"/>
        <v>47.633333333333333</v>
      </c>
      <c r="EF131" s="409">
        <f t="shared" ca="1" si="389"/>
        <v>44728</v>
      </c>
      <c r="EG131" s="457"/>
      <c r="EH131" s="448"/>
      <c r="EI131" s="458">
        <f t="shared" si="380"/>
        <v>45552</v>
      </c>
      <c r="EJ131" s="242"/>
      <c r="EK131" s="456">
        <f t="shared" si="387"/>
        <v>45427</v>
      </c>
      <c r="EL131" s="409">
        <f t="shared" si="383"/>
        <v>45458</v>
      </c>
      <c r="EM131" s="314"/>
      <c r="EN131" s="404">
        <f t="shared" si="384"/>
        <v>1.0333333333333334</v>
      </c>
      <c r="EO131" s="390"/>
      <c r="EP131" s="131">
        <f t="shared" si="371"/>
        <v>0</v>
      </c>
      <c r="EQ131" s="60"/>
      <c r="ER131" s="60"/>
      <c r="ES131" s="742"/>
      <c r="ET131" s="300"/>
      <c r="EU131" s="300"/>
      <c r="EV131" s="300"/>
      <c r="EW131" s="300"/>
      <c r="EX131" s="415"/>
      <c r="EY131" s="416" t="e">
        <f t="shared" si="344"/>
        <v>#DIV/0!</v>
      </c>
      <c r="EZ131" s="297"/>
      <c r="FA131" s="308"/>
      <c r="FB131" s="302"/>
      <c r="FC131" s="302"/>
      <c r="FD131" s="89">
        <f t="shared" ca="1" si="388"/>
        <v>44728</v>
      </c>
      <c r="FE131" s="63"/>
      <c r="FF131" s="63"/>
      <c r="FG131" s="63"/>
      <c r="FH131" s="63"/>
      <c r="FI131" s="63"/>
      <c r="FJ131" s="22"/>
      <c r="FK131" s="146">
        <f t="shared" si="381"/>
        <v>45792</v>
      </c>
      <c r="FL131" s="146"/>
      <c r="FM131" s="146"/>
      <c r="FN131" s="22"/>
      <c r="FO131" s="22"/>
      <c r="FP131" s="22"/>
      <c r="FQ131" s="22"/>
      <c r="FR131" s="22"/>
      <c r="FS131" s="22"/>
      <c r="FT131" s="22"/>
      <c r="FU131" s="22"/>
      <c r="FV131" s="22"/>
      <c r="FW131" s="22"/>
      <c r="FX131" s="22"/>
      <c r="FY131" s="22"/>
      <c r="FZ131" s="22"/>
      <c r="GA131" s="451"/>
      <c r="GB131" s="471">
        <f>GD131+GG131+GJ131+HF131+Tableau6[[#This Row],[PRÊT CREDIT D''IMPOT (PM)]]</f>
        <v>0</v>
      </c>
      <c r="GC131" s="645">
        <f t="shared" si="372"/>
        <v>0</v>
      </c>
      <c r="GD131" s="507">
        <f t="shared" si="379"/>
        <v>0</v>
      </c>
      <c r="GE131" s="20" t="e">
        <f t="shared" si="373"/>
        <v>#DIV/0!</v>
      </c>
      <c r="GF131" s="20">
        <f t="shared" si="345"/>
        <v>0</v>
      </c>
      <c r="GG131" s="503"/>
      <c r="GH131" s="351"/>
      <c r="GI131" s="20">
        <f t="shared" si="409"/>
        <v>0</v>
      </c>
      <c r="GJ131" s="503">
        <f t="shared" si="374"/>
        <v>0</v>
      </c>
      <c r="GK131" s="5">
        <f t="shared" si="408"/>
        <v>0</v>
      </c>
      <c r="GL131" s="44"/>
      <c r="GM131" s="44"/>
      <c r="GN131" s="346">
        <f t="shared" si="376"/>
        <v>0</v>
      </c>
      <c r="GO131" s="35"/>
      <c r="GP131" s="5"/>
      <c r="GQ131" s="35"/>
      <c r="GR131" s="45" t="e">
        <f t="shared" si="377"/>
        <v>#DIV/0!</v>
      </c>
      <c r="GS131" s="35"/>
      <c r="GT131" s="35"/>
      <c r="GU131" s="35"/>
      <c r="GV131" s="20"/>
      <c r="GW131" s="20"/>
      <c r="GX131" s="569"/>
      <c r="GY131" s="569"/>
      <c r="GZ131" s="569"/>
      <c r="HA131" s="569"/>
      <c r="HB131" s="569"/>
      <c r="HC131" s="568"/>
      <c r="HD131" s="569"/>
      <c r="HE131" s="569"/>
      <c r="HF131" s="503"/>
      <c r="HG131" s="633"/>
      <c r="HH131" s="634" t="e">
        <f t="shared" si="420"/>
        <v>#DIV/0!</v>
      </c>
      <c r="HI131" s="633">
        <f t="shared" si="421"/>
        <v>0</v>
      </c>
      <c r="HJ131" s="633" t="e">
        <f t="shared" ca="1" si="422"/>
        <v>#VALUE!</v>
      </c>
      <c r="HK131" s="634" t="e">
        <f t="shared" ca="1" si="423"/>
        <v>#VALUE!</v>
      </c>
      <c r="HL131" s="633"/>
      <c r="HM131" s="633">
        <f t="shared" si="424"/>
        <v>0</v>
      </c>
      <c r="HN131" s="633" t="e">
        <f t="shared" si="425"/>
        <v>#DIV/0!</v>
      </c>
      <c r="HO131" s="633"/>
      <c r="HP131" s="563"/>
      <c r="HQ131" s="47"/>
      <c r="HR131" s="563"/>
      <c r="HS131" s="563">
        <f>SUM(Tableau6[[#This Row],[GO]:[CARRELAGE]])</f>
        <v>0</v>
      </c>
      <c r="HT131" s="461"/>
      <c r="HU131" s="461"/>
      <c r="HV131" s="461"/>
      <c r="HW131" s="461"/>
      <c r="HX131" s="461"/>
      <c r="HY131" s="461"/>
      <c r="HZ131" s="461"/>
      <c r="IA131" s="461"/>
      <c r="IB131" s="461"/>
      <c r="IC131" s="461"/>
      <c r="ID131" s="461"/>
      <c r="IE131" s="461"/>
      <c r="IF131" s="461"/>
      <c r="IG131" s="563"/>
      <c r="IH131" s="563"/>
      <c r="II131" s="563">
        <f>HP131+HR131+Tableau6[[#This Row],[TRAVAUX BATIS]]+Tableau6[[#This Row],[HONORAIRES]]+IH131</f>
        <v>0</v>
      </c>
      <c r="IJ131" s="654">
        <f>Tableau6[[#This Row],[TOTAL PRP HT]]-Tableau6[[#This Row],[PRP TTC HORS FRAFU]]/1.021</f>
        <v>0</v>
      </c>
      <c r="IK131" s="9"/>
      <c r="IL131" s="9"/>
      <c r="IM131" s="9"/>
      <c r="IN131" s="9"/>
      <c r="IO131" s="9"/>
      <c r="IP131" s="9"/>
      <c r="IQ131" s="9"/>
      <c r="IR131" s="9"/>
      <c r="IS131" s="9"/>
      <c r="IT131" s="9"/>
      <c r="IU131" s="9"/>
      <c r="IV131" s="9"/>
    </row>
    <row r="132" spans="1:256 16329:16329" ht="15" customHeight="1">
      <c r="A132" s="441" t="s">
        <v>822</v>
      </c>
      <c r="B132" s="22" t="s">
        <v>14</v>
      </c>
      <c r="C132" s="22" t="s">
        <v>86</v>
      </c>
      <c r="D132" s="22">
        <v>2022</v>
      </c>
      <c r="E132" s="22"/>
      <c r="F132" s="22"/>
      <c r="G132" s="22"/>
      <c r="H132" s="24"/>
      <c r="I132" s="22"/>
      <c r="J132" s="22"/>
      <c r="K132" s="134"/>
      <c r="L132" s="81"/>
      <c r="M132" s="82"/>
      <c r="N132" s="83"/>
      <c r="O132" s="103"/>
      <c r="P132" s="103"/>
      <c r="Q132" s="103"/>
      <c r="R132" s="103"/>
      <c r="S132" s="103"/>
      <c r="T132" s="109"/>
      <c r="U132" s="109"/>
      <c r="V132" s="109"/>
      <c r="W132" s="103"/>
      <c r="X132" s="104"/>
      <c r="Y132" s="447"/>
      <c r="Z132" s="104"/>
      <c r="AA132" s="104"/>
      <c r="AB132" s="105"/>
      <c r="AC132" s="22" t="s">
        <v>300</v>
      </c>
      <c r="AD132" s="426">
        <f t="shared" si="352"/>
        <v>12</v>
      </c>
      <c r="AE132" s="427"/>
      <c r="AF132" s="32"/>
      <c r="AG132" s="32"/>
      <c r="AH132" s="32"/>
      <c r="AI132" s="22">
        <v>12</v>
      </c>
      <c r="AJ132" s="615"/>
      <c r="AK132" s="222"/>
      <c r="AL132" s="492">
        <f t="shared" si="402"/>
        <v>0</v>
      </c>
      <c r="AM132" s="4">
        <f t="shared" si="403"/>
        <v>0</v>
      </c>
      <c r="AN132" s="26"/>
      <c r="AO132" s="26"/>
      <c r="AP132" s="26"/>
      <c r="AQ132" s="39"/>
      <c r="AR132" s="39"/>
      <c r="AS132" s="39"/>
      <c r="AT132" s="39"/>
      <c r="AU132" s="39"/>
      <c r="AV132" s="26"/>
      <c r="AW132" s="37"/>
      <c r="AX132" s="39"/>
      <c r="AY132" s="26"/>
      <c r="AZ132" s="25"/>
      <c r="BA132" s="22"/>
      <c r="BB132" s="22"/>
      <c r="BC132" s="437" t="e">
        <f t="shared" si="404"/>
        <v>#DIV/0!</v>
      </c>
      <c r="BD132" s="332" t="e">
        <f t="shared" si="405"/>
        <v>#DIV/0!</v>
      </c>
      <c r="BE132" s="334">
        <f t="shared" si="406"/>
        <v>0</v>
      </c>
      <c r="BF132" s="123"/>
      <c r="BG132" s="123"/>
      <c r="BH132" s="89"/>
      <c r="BI132" s="89"/>
      <c r="BJ132" s="548"/>
      <c r="BK132" s="548"/>
      <c r="BL132" s="549"/>
      <c r="BM132" s="547">
        <f t="shared" si="410"/>
        <v>0</v>
      </c>
      <c r="BN132" s="490"/>
      <c r="BO132" s="77"/>
      <c r="BP132" s="100"/>
      <c r="BQ132" s="536">
        <f t="shared" si="411"/>
        <v>0</v>
      </c>
      <c r="BR132" s="529"/>
      <c r="BS132" s="77"/>
      <c r="BT132" s="77"/>
      <c r="BU132" s="151"/>
      <c r="BV132" s="150">
        <f t="shared" si="357"/>
        <v>1096</v>
      </c>
      <c r="BW132" s="373"/>
      <c r="BX132" s="150" t="str">
        <f>IF(Tableau6[[#This Row],[Montant des loyers perçus avant 1e échéance]]&lt;BW132,"oui","non")</f>
        <v>non</v>
      </c>
      <c r="BY132" s="475">
        <f t="shared" si="412"/>
        <v>-1478.7333333333333</v>
      </c>
      <c r="BZ132" s="373">
        <f t="shared" si="413"/>
        <v>0</v>
      </c>
      <c r="CA132" s="373">
        <f>IF(BW132-BZ132&lt;0,0,Tableau6[[#This Row],[Montant échéance annuelle]]-Tableau6[[#This Row],[Montant des loyers perçus avant 1e échéance]])</f>
        <v>0</v>
      </c>
      <c r="CB132" s="286"/>
      <c r="CC132" s="288"/>
      <c r="CD132" s="288"/>
      <c r="CE132" s="290" t="str">
        <f t="shared" si="414"/>
        <v>0</v>
      </c>
      <c r="CF132" s="288"/>
      <c r="CG132" s="288"/>
      <c r="CH132" s="290" t="str">
        <f t="shared" si="415"/>
        <v>0</v>
      </c>
      <c r="CI132" s="288"/>
      <c r="CJ132" s="288"/>
      <c r="CK132" s="290" t="str">
        <f t="shared" si="416"/>
        <v>0</v>
      </c>
      <c r="CL132" s="288"/>
      <c r="CM132" s="288"/>
      <c r="CN132" s="290" t="str">
        <f t="shared" si="417"/>
        <v>0</v>
      </c>
      <c r="CO132" s="288"/>
      <c r="CP132" s="288"/>
      <c r="CQ132" s="290" t="str">
        <f t="shared" si="418"/>
        <v>0</v>
      </c>
      <c r="CR132" s="237"/>
      <c r="CS132" s="292"/>
      <c r="CT132" s="277"/>
      <c r="CU132" s="278"/>
      <c r="CV132" s="279" t="str">
        <f t="shared" si="407"/>
        <v>0</v>
      </c>
      <c r="CW132" s="277"/>
      <c r="CX132" s="382">
        <v>45031</v>
      </c>
      <c r="CY132" s="178"/>
      <c r="CZ132" s="231">
        <f t="shared" si="382"/>
        <v>1501.0333333333333</v>
      </c>
      <c r="DA132" s="279" t="str">
        <f t="shared" si="426"/>
        <v>0</v>
      </c>
      <c r="DB132" s="383">
        <v>12</v>
      </c>
      <c r="DC132" s="127">
        <f t="shared" si="427"/>
        <v>13</v>
      </c>
      <c r="DD132" s="277"/>
      <c r="DE132" s="282">
        <f t="shared" ca="1" si="428"/>
        <v>43998</v>
      </c>
      <c r="DF132" s="279" t="str">
        <f t="shared" ca="1" si="429"/>
        <v>0</v>
      </c>
      <c r="DG132" s="277"/>
      <c r="DH132" s="295">
        <f t="shared" ca="1" si="397"/>
        <v>43998</v>
      </c>
      <c r="DI132" s="280" t="str">
        <f t="shared" ca="1" si="430"/>
        <v>0</v>
      </c>
      <c r="DJ132" s="281"/>
      <c r="DK132" s="295">
        <f t="shared" ca="1" si="395"/>
        <v>43998</v>
      </c>
      <c r="DL132" s="279" t="str">
        <f t="shared" ca="1" si="431"/>
        <v>0</v>
      </c>
      <c r="DM132" s="282"/>
      <c r="DN132" s="282">
        <f t="shared" ca="1" si="396"/>
        <v>43998</v>
      </c>
      <c r="DO132" s="279" t="str">
        <f t="shared" ca="1" si="432"/>
        <v>0</v>
      </c>
      <c r="DP132" s="283"/>
      <c r="DQ132" s="283"/>
      <c r="DR132" s="279" t="str">
        <f t="shared" si="433"/>
        <v>0</v>
      </c>
      <c r="DS132" s="282"/>
      <c r="DT132" s="282">
        <f t="shared" ca="1" si="434"/>
        <v>43998</v>
      </c>
      <c r="DU132" s="279" t="str">
        <f t="shared" ca="1" si="435"/>
        <v>0</v>
      </c>
      <c r="DV132" s="282"/>
      <c r="DW132" s="282">
        <f t="shared" ca="1" si="436"/>
        <v>43998</v>
      </c>
      <c r="DX132" s="279" t="str">
        <f t="shared" ca="1" si="437"/>
        <v>0</v>
      </c>
      <c r="DY132" s="283"/>
      <c r="DZ132" s="283"/>
      <c r="EA132" s="283"/>
      <c r="EB132" s="410">
        <f t="shared" si="369"/>
        <v>45397</v>
      </c>
      <c r="EC132" s="409">
        <f t="shared" si="419"/>
        <v>45427</v>
      </c>
      <c r="ED132" s="406">
        <f t="shared" si="370"/>
        <v>1</v>
      </c>
      <c r="EE132" s="505">
        <f t="shared" ca="1" si="343"/>
        <v>47.633333333333333</v>
      </c>
      <c r="EF132" s="409">
        <f t="shared" ca="1" si="389"/>
        <v>44728</v>
      </c>
      <c r="EG132" s="457"/>
      <c r="EH132" s="448"/>
      <c r="EI132" s="458">
        <f t="shared" si="380"/>
        <v>45552</v>
      </c>
      <c r="EJ132" s="242"/>
      <c r="EK132" s="456">
        <f t="shared" si="387"/>
        <v>45427</v>
      </c>
      <c r="EL132" s="409">
        <f t="shared" si="383"/>
        <v>45458</v>
      </c>
      <c r="EM132" s="314"/>
      <c r="EN132" s="404">
        <f t="shared" si="384"/>
        <v>1.0333333333333334</v>
      </c>
      <c r="EO132" s="390"/>
      <c r="EP132" s="131">
        <f t="shared" si="371"/>
        <v>0</v>
      </c>
      <c r="EQ132" s="60"/>
      <c r="ER132" s="60"/>
      <c r="ES132" s="742"/>
      <c r="ET132" s="300"/>
      <c r="EU132" s="300"/>
      <c r="EV132" s="300"/>
      <c r="EW132" s="300"/>
      <c r="EX132" s="415"/>
      <c r="EY132" s="416" t="e">
        <f t="shared" si="344"/>
        <v>#DIV/0!</v>
      </c>
      <c r="EZ132" s="297"/>
      <c r="FA132" s="308"/>
      <c r="FB132" s="302"/>
      <c r="FC132" s="302"/>
      <c r="FD132" s="89">
        <f t="shared" ca="1" si="388"/>
        <v>44728</v>
      </c>
      <c r="FE132" s="63"/>
      <c r="FF132" s="63"/>
      <c r="FG132" s="63"/>
      <c r="FH132" s="63"/>
      <c r="FI132" s="63"/>
      <c r="FJ132" s="22"/>
      <c r="FK132" s="146">
        <f t="shared" si="381"/>
        <v>45792</v>
      </c>
      <c r="FL132" s="146"/>
      <c r="FM132" s="146"/>
      <c r="FN132" s="22"/>
      <c r="FO132" s="22"/>
      <c r="FP132" s="22"/>
      <c r="FQ132" s="22"/>
      <c r="FR132" s="22"/>
      <c r="FS132" s="22"/>
      <c r="FT132" s="22"/>
      <c r="FU132" s="22"/>
      <c r="FV132" s="22"/>
      <c r="FW132" s="22"/>
      <c r="FX132" s="22"/>
      <c r="FY132" s="22"/>
      <c r="FZ132" s="22"/>
      <c r="GA132" s="451"/>
      <c r="GB132" s="471">
        <f>GD132+GG132+GJ132+HF132+Tableau6[[#This Row],[PRÊT CREDIT D''IMPOT (PM)]]</f>
        <v>0</v>
      </c>
      <c r="GC132" s="645">
        <f t="shared" si="372"/>
        <v>0</v>
      </c>
      <c r="GD132" s="507">
        <f t="shared" si="379"/>
        <v>0</v>
      </c>
      <c r="GE132" s="20" t="e">
        <f t="shared" si="373"/>
        <v>#DIV/0!</v>
      </c>
      <c r="GF132" s="20">
        <f t="shared" si="345"/>
        <v>0</v>
      </c>
      <c r="GG132" s="503"/>
      <c r="GH132" s="351"/>
      <c r="GI132" s="20">
        <f t="shared" si="409"/>
        <v>0</v>
      </c>
      <c r="GJ132" s="503">
        <f t="shared" si="374"/>
        <v>0</v>
      </c>
      <c r="GK132" s="5">
        <f t="shared" si="408"/>
        <v>0</v>
      </c>
      <c r="GL132" s="44"/>
      <c r="GM132" s="44"/>
      <c r="GN132" s="346">
        <f t="shared" si="376"/>
        <v>0</v>
      </c>
      <c r="GO132" s="35"/>
      <c r="GP132" s="5"/>
      <c r="GQ132" s="35"/>
      <c r="GR132" s="45" t="e">
        <f t="shared" si="377"/>
        <v>#DIV/0!</v>
      </c>
      <c r="GS132" s="35"/>
      <c r="GT132" s="35"/>
      <c r="GU132" s="35"/>
      <c r="GV132" s="20"/>
      <c r="GW132" s="20"/>
      <c r="GX132" s="569"/>
      <c r="GY132" s="569"/>
      <c r="GZ132" s="569"/>
      <c r="HA132" s="569"/>
      <c r="HB132" s="569"/>
      <c r="HC132" s="568"/>
      <c r="HD132" s="569"/>
      <c r="HE132" s="569"/>
      <c r="HF132" s="503"/>
      <c r="HG132" s="633"/>
      <c r="HH132" s="634" t="e">
        <f t="shared" si="420"/>
        <v>#DIV/0!</v>
      </c>
      <c r="HI132" s="633">
        <f t="shared" si="421"/>
        <v>0</v>
      </c>
      <c r="HJ132" s="633" t="e">
        <f t="shared" ca="1" si="422"/>
        <v>#VALUE!</v>
      </c>
      <c r="HK132" s="634" t="e">
        <f t="shared" ca="1" si="423"/>
        <v>#VALUE!</v>
      </c>
      <c r="HL132" s="633"/>
      <c r="HM132" s="633">
        <f t="shared" si="424"/>
        <v>0</v>
      </c>
      <c r="HN132" s="633" t="e">
        <f t="shared" si="425"/>
        <v>#DIV/0!</v>
      </c>
      <c r="HO132" s="633"/>
      <c r="HP132" s="563"/>
      <c r="HQ132" s="47"/>
      <c r="HR132" s="563"/>
      <c r="HS132" s="563">
        <f>SUM(Tableau6[[#This Row],[GO]:[CARRELAGE]])</f>
        <v>0</v>
      </c>
      <c r="HT132" s="461"/>
      <c r="HU132" s="461"/>
      <c r="HV132" s="461"/>
      <c r="HW132" s="461"/>
      <c r="HX132" s="461"/>
      <c r="HY132" s="461"/>
      <c r="HZ132" s="461"/>
      <c r="IA132" s="461"/>
      <c r="IB132" s="461"/>
      <c r="IC132" s="461"/>
      <c r="ID132" s="461"/>
      <c r="IE132" s="461"/>
      <c r="IF132" s="461"/>
      <c r="IG132" s="563"/>
      <c r="IH132" s="563"/>
      <c r="II132" s="563">
        <f>HP132+HR132+Tableau6[[#This Row],[TRAVAUX BATIS]]+Tableau6[[#This Row],[HONORAIRES]]+IH132</f>
        <v>0</v>
      </c>
      <c r="IJ132" s="654">
        <f>Tableau6[[#This Row],[TOTAL PRP HT]]-Tableau6[[#This Row],[PRP TTC HORS FRAFU]]/1.021</f>
        <v>0</v>
      </c>
      <c r="IK132" s="9"/>
      <c r="IL132" s="9"/>
      <c r="IM132" s="9"/>
      <c r="IN132" s="9"/>
      <c r="IO132" s="9"/>
      <c r="IP132" s="9"/>
      <c r="IQ132" s="9"/>
      <c r="IR132" s="9"/>
      <c r="IS132" s="9"/>
      <c r="IT132" s="9"/>
      <c r="IU132" s="9"/>
      <c r="IV132" s="9"/>
    </row>
    <row r="133" spans="1:256 16329:16329" ht="15" customHeight="1">
      <c r="A133" s="441" t="s">
        <v>825</v>
      </c>
      <c r="B133" s="22" t="s">
        <v>14</v>
      </c>
      <c r="C133" s="22" t="s">
        <v>86</v>
      </c>
      <c r="D133" s="22">
        <v>2022</v>
      </c>
      <c r="E133" s="22"/>
      <c r="F133" s="22"/>
      <c r="G133" s="22"/>
      <c r="H133" s="24"/>
      <c r="I133" s="22"/>
      <c r="J133" s="22"/>
      <c r="K133" s="134"/>
      <c r="L133" s="81"/>
      <c r="M133" s="82"/>
      <c r="N133" s="83"/>
      <c r="O133" s="103"/>
      <c r="P133" s="103"/>
      <c r="Q133" s="103"/>
      <c r="R133" s="103"/>
      <c r="S133" s="103"/>
      <c r="T133" s="109"/>
      <c r="U133" s="109"/>
      <c r="V133" s="109"/>
      <c r="W133" s="103"/>
      <c r="X133" s="104"/>
      <c r="Y133" s="447"/>
      <c r="Z133" s="104"/>
      <c r="AA133" s="104"/>
      <c r="AB133" s="105"/>
      <c r="AC133" s="22" t="s">
        <v>300</v>
      </c>
      <c r="AD133" s="426">
        <f t="shared" si="352"/>
        <v>29</v>
      </c>
      <c r="AE133" s="427"/>
      <c r="AF133" s="32"/>
      <c r="AG133" s="32"/>
      <c r="AH133" s="32"/>
      <c r="AI133" s="22">
        <v>29</v>
      </c>
      <c r="AJ133" s="615"/>
      <c r="AK133" s="222"/>
      <c r="AL133" s="492">
        <f t="shared" si="402"/>
        <v>0</v>
      </c>
      <c r="AM133" s="4">
        <f t="shared" si="403"/>
        <v>0</v>
      </c>
      <c r="AN133" s="26"/>
      <c r="AO133" s="26"/>
      <c r="AP133" s="26"/>
      <c r="AQ133" s="39"/>
      <c r="AR133" s="39"/>
      <c r="AS133" s="39"/>
      <c r="AT133" s="39"/>
      <c r="AU133" s="39"/>
      <c r="AV133" s="26"/>
      <c r="AW133" s="37"/>
      <c r="AX133" s="39"/>
      <c r="AY133" s="26"/>
      <c r="AZ133" s="25"/>
      <c r="BA133" s="22"/>
      <c r="BB133" s="22"/>
      <c r="BC133" s="437" t="e">
        <f t="shared" si="404"/>
        <v>#DIV/0!</v>
      </c>
      <c r="BD133" s="332" t="e">
        <f t="shared" si="405"/>
        <v>#DIV/0!</v>
      </c>
      <c r="BE133" s="334">
        <f t="shared" si="406"/>
        <v>0</v>
      </c>
      <c r="BF133" s="123"/>
      <c r="BG133" s="123"/>
      <c r="BH133" s="89"/>
      <c r="BI133" s="89"/>
      <c r="BJ133" s="548"/>
      <c r="BK133" s="548"/>
      <c r="BL133" s="549"/>
      <c r="BM133" s="547">
        <f t="shared" si="410"/>
        <v>0</v>
      </c>
      <c r="BN133" s="490"/>
      <c r="BO133" s="77"/>
      <c r="BP133" s="100"/>
      <c r="BQ133" s="536">
        <f t="shared" si="411"/>
        <v>0</v>
      </c>
      <c r="BR133" s="529"/>
      <c r="BS133" s="77"/>
      <c r="BT133" s="77"/>
      <c r="BU133" s="151"/>
      <c r="BV133" s="150">
        <f t="shared" si="357"/>
        <v>1096</v>
      </c>
      <c r="BW133" s="373"/>
      <c r="BX133" s="150" t="str">
        <f>IF(Tableau6[[#This Row],[Montant des loyers perçus avant 1e échéance]]&lt;BW133,"oui","non")</f>
        <v>non</v>
      </c>
      <c r="BY133" s="475">
        <f t="shared" si="412"/>
        <v>-1478.7333333333333</v>
      </c>
      <c r="BZ133" s="373">
        <f t="shared" si="413"/>
        <v>0</v>
      </c>
      <c r="CA133" s="373">
        <f>IF(BW133-BZ133&lt;0,0,Tableau6[[#This Row],[Montant échéance annuelle]]-Tableau6[[#This Row],[Montant des loyers perçus avant 1e échéance]])</f>
        <v>0</v>
      </c>
      <c r="CB133" s="286"/>
      <c r="CC133" s="288"/>
      <c r="CD133" s="288"/>
      <c r="CE133" s="290" t="str">
        <f t="shared" si="414"/>
        <v>0</v>
      </c>
      <c r="CF133" s="288"/>
      <c r="CG133" s="288"/>
      <c r="CH133" s="290" t="str">
        <f t="shared" si="415"/>
        <v>0</v>
      </c>
      <c r="CI133" s="288"/>
      <c r="CJ133" s="288"/>
      <c r="CK133" s="290" t="str">
        <f t="shared" si="416"/>
        <v>0</v>
      </c>
      <c r="CL133" s="288"/>
      <c r="CM133" s="288"/>
      <c r="CN133" s="290" t="str">
        <f t="shared" si="417"/>
        <v>0</v>
      </c>
      <c r="CO133" s="288"/>
      <c r="CP133" s="288"/>
      <c r="CQ133" s="290" t="str">
        <f t="shared" si="418"/>
        <v>0</v>
      </c>
      <c r="CR133" s="237"/>
      <c r="CS133" s="292"/>
      <c r="CT133" s="277"/>
      <c r="CU133" s="278"/>
      <c r="CV133" s="279" t="str">
        <f t="shared" si="407"/>
        <v>0</v>
      </c>
      <c r="CW133" s="277"/>
      <c r="CX133" s="382">
        <v>45031</v>
      </c>
      <c r="CY133" s="178"/>
      <c r="CZ133" s="231">
        <f t="shared" si="382"/>
        <v>1501.0333333333333</v>
      </c>
      <c r="DA133" s="279" t="str">
        <f t="shared" si="426"/>
        <v>0</v>
      </c>
      <c r="DB133" s="383">
        <v>12</v>
      </c>
      <c r="DC133" s="127">
        <f t="shared" si="427"/>
        <v>13</v>
      </c>
      <c r="DD133" s="277"/>
      <c r="DE133" s="282">
        <f t="shared" ca="1" si="428"/>
        <v>43998</v>
      </c>
      <c r="DF133" s="279" t="str">
        <f t="shared" ca="1" si="429"/>
        <v>0</v>
      </c>
      <c r="DG133" s="277"/>
      <c r="DH133" s="295">
        <f t="shared" ca="1" si="397"/>
        <v>43998</v>
      </c>
      <c r="DI133" s="280" t="str">
        <f t="shared" ca="1" si="430"/>
        <v>0</v>
      </c>
      <c r="DJ133" s="281"/>
      <c r="DK133" s="295">
        <f t="shared" ca="1" si="395"/>
        <v>43998</v>
      </c>
      <c r="DL133" s="279" t="str">
        <f t="shared" ca="1" si="431"/>
        <v>0</v>
      </c>
      <c r="DM133" s="282"/>
      <c r="DN133" s="282">
        <f t="shared" ca="1" si="396"/>
        <v>43998</v>
      </c>
      <c r="DO133" s="279" t="str">
        <f t="shared" ca="1" si="432"/>
        <v>0</v>
      </c>
      <c r="DP133" s="283"/>
      <c r="DQ133" s="283"/>
      <c r="DR133" s="279" t="str">
        <f t="shared" si="433"/>
        <v>0</v>
      </c>
      <c r="DS133" s="282"/>
      <c r="DT133" s="282">
        <f t="shared" ca="1" si="434"/>
        <v>43998</v>
      </c>
      <c r="DU133" s="279" t="str">
        <f t="shared" ca="1" si="435"/>
        <v>0</v>
      </c>
      <c r="DV133" s="282"/>
      <c r="DW133" s="282">
        <f t="shared" ca="1" si="436"/>
        <v>43998</v>
      </c>
      <c r="DX133" s="279" t="str">
        <f t="shared" ca="1" si="437"/>
        <v>0</v>
      </c>
      <c r="DY133" s="283"/>
      <c r="DZ133" s="283"/>
      <c r="EA133" s="283"/>
      <c r="EB133" s="410">
        <f t="shared" si="369"/>
        <v>45397</v>
      </c>
      <c r="EC133" s="409">
        <f t="shared" si="419"/>
        <v>45427</v>
      </c>
      <c r="ED133" s="406">
        <f t="shared" si="370"/>
        <v>1</v>
      </c>
      <c r="EE133" s="505">
        <f t="shared" ca="1" si="343"/>
        <v>47.633333333333333</v>
      </c>
      <c r="EF133" s="409">
        <f t="shared" ca="1" si="389"/>
        <v>44728</v>
      </c>
      <c r="EG133" s="457"/>
      <c r="EH133" s="448"/>
      <c r="EI133" s="458">
        <f t="shared" si="380"/>
        <v>45552</v>
      </c>
      <c r="EJ133" s="242"/>
      <c r="EK133" s="456">
        <f t="shared" si="387"/>
        <v>45427</v>
      </c>
      <c r="EL133" s="409">
        <f t="shared" si="383"/>
        <v>45458</v>
      </c>
      <c r="EM133" s="314"/>
      <c r="EN133" s="404">
        <f t="shared" si="384"/>
        <v>1.0333333333333334</v>
      </c>
      <c r="EO133" s="390"/>
      <c r="EP133" s="131">
        <f t="shared" si="371"/>
        <v>0</v>
      </c>
      <c r="EQ133" s="60"/>
      <c r="ER133" s="60"/>
      <c r="ES133" s="742"/>
      <c r="ET133" s="300"/>
      <c r="EU133" s="300"/>
      <c r="EV133" s="300"/>
      <c r="EW133" s="300"/>
      <c r="EX133" s="415"/>
      <c r="EY133" s="416" t="e">
        <f t="shared" si="344"/>
        <v>#DIV/0!</v>
      </c>
      <c r="EZ133" s="297"/>
      <c r="FA133" s="308"/>
      <c r="FB133" s="302"/>
      <c r="FC133" s="302"/>
      <c r="FD133" s="89">
        <f t="shared" ca="1" si="388"/>
        <v>44728</v>
      </c>
      <c r="FE133" s="63"/>
      <c r="FF133" s="63"/>
      <c r="FG133" s="63"/>
      <c r="FH133" s="63"/>
      <c r="FI133" s="63"/>
      <c r="FJ133" s="22"/>
      <c r="FK133" s="146">
        <f t="shared" si="381"/>
        <v>45792</v>
      </c>
      <c r="FL133" s="146"/>
      <c r="FM133" s="146"/>
      <c r="FN133" s="22"/>
      <c r="FO133" s="22"/>
      <c r="FP133" s="22"/>
      <c r="FQ133" s="22"/>
      <c r="FR133" s="22"/>
      <c r="FS133" s="22"/>
      <c r="FT133" s="22"/>
      <c r="FU133" s="22"/>
      <c r="FV133" s="22"/>
      <c r="FW133" s="22"/>
      <c r="FX133" s="22"/>
      <c r="FY133" s="22"/>
      <c r="FZ133" s="22"/>
      <c r="GA133" s="451"/>
      <c r="GB133" s="471">
        <f>GD133+GG133+GJ133+HF133+Tableau6[[#This Row],[PRÊT CREDIT D''IMPOT (PM)]]</f>
        <v>0</v>
      </c>
      <c r="GC133" s="645">
        <f t="shared" si="372"/>
        <v>0</v>
      </c>
      <c r="GD133" s="507">
        <f t="shared" si="379"/>
        <v>0</v>
      </c>
      <c r="GE133" s="20" t="e">
        <f t="shared" si="373"/>
        <v>#DIV/0!</v>
      </c>
      <c r="GF133" s="20">
        <f t="shared" si="345"/>
        <v>0</v>
      </c>
      <c r="GG133" s="503"/>
      <c r="GH133" s="351"/>
      <c r="GI133" s="20">
        <f t="shared" si="409"/>
        <v>0</v>
      </c>
      <c r="GJ133" s="503">
        <f t="shared" si="374"/>
        <v>0</v>
      </c>
      <c r="GK133" s="5">
        <f t="shared" si="408"/>
        <v>0</v>
      </c>
      <c r="GL133" s="44"/>
      <c r="GM133" s="44"/>
      <c r="GN133" s="346">
        <f t="shared" si="376"/>
        <v>0</v>
      </c>
      <c r="GO133" s="35"/>
      <c r="GP133" s="5"/>
      <c r="GQ133" s="35"/>
      <c r="GR133" s="45" t="e">
        <f t="shared" si="377"/>
        <v>#DIV/0!</v>
      </c>
      <c r="GS133" s="35"/>
      <c r="GT133" s="35"/>
      <c r="GU133" s="35"/>
      <c r="GV133" s="20"/>
      <c r="GW133" s="20"/>
      <c r="GX133" s="569"/>
      <c r="GY133" s="569"/>
      <c r="GZ133" s="569"/>
      <c r="HA133" s="569"/>
      <c r="HB133" s="569"/>
      <c r="HC133" s="568"/>
      <c r="HD133" s="569"/>
      <c r="HE133" s="569"/>
      <c r="HF133" s="503"/>
      <c r="HG133" s="633"/>
      <c r="HH133" s="634" t="e">
        <f t="shared" si="420"/>
        <v>#DIV/0!</v>
      </c>
      <c r="HI133" s="633">
        <f t="shared" si="421"/>
        <v>0</v>
      </c>
      <c r="HJ133" s="633" t="e">
        <f t="shared" ca="1" si="422"/>
        <v>#VALUE!</v>
      </c>
      <c r="HK133" s="634" t="e">
        <f t="shared" ca="1" si="423"/>
        <v>#VALUE!</v>
      </c>
      <c r="HL133" s="633"/>
      <c r="HM133" s="633">
        <f t="shared" si="424"/>
        <v>0</v>
      </c>
      <c r="HN133" s="633" t="e">
        <f t="shared" si="425"/>
        <v>#DIV/0!</v>
      </c>
      <c r="HO133" s="633"/>
      <c r="HP133" s="563"/>
      <c r="HQ133" s="47"/>
      <c r="HR133" s="563"/>
      <c r="HS133" s="563">
        <f>SUM(Tableau6[[#This Row],[GO]:[CARRELAGE]])</f>
        <v>0</v>
      </c>
      <c r="HT133" s="461"/>
      <c r="HU133" s="461"/>
      <c r="HV133" s="461"/>
      <c r="HW133" s="461"/>
      <c r="HX133" s="461"/>
      <c r="HY133" s="461"/>
      <c r="HZ133" s="461"/>
      <c r="IA133" s="461"/>
      <c r="IB133" s="461"/>
      <c r="IC133" s="461"/>
      <c r="ID133" s="461"/>
      <c r="IE133" s="461"/>
      <c r="IF133" s="461"/>
      <c r="IG133" s="563"/>
      <c r="IH133" s="563"/>
      <c r="II133" s="563">
        <f>HP133+HR133+Tableau6[[#This Row],[TRAVAUX BATIS]]+Tableau6[[#This Row],[HONORAIRES]]+IH133</f>
        <v>0</v>
      </c>
      <c r="IJ133" s="654">
        <f>Tableau6[[#This Row],[TOTAL PRP HT]]-Tableau6[[#This Row],[PRP TTC HORS FRAFU]]/1.021</f>
        <v>0</v>
      </c>
      <c r="IK133" s="9"/>
      <c r="IL133" s="9"/>
      <c r="IM133" s="9"/>
      <c r="IN133" s="9"/>
      <c r="IO133" s="9"/>
      <c r="IP133" s="9"/>
      <c r="IQ133" s="9"/>
      <c r="IR133" s="9"/>
      <c r="IS133" s="9"/>
      <c r="IT133" s="9"/>
      <c r="IU133" s="9"/>
      <c r="IV133" s="9"/>
    </row>
    <row r="134" spans="1:256 16329:16329" ht="15" customHeight="1">
      <c r="A134" s="441" t="s">
        <v>826</v>
      </c>
      <c r="B134" s="22" t="s">
        <v>21</v>
      </c>
      <c r="C134" s="22" t="s">
        <v>86</v>
      </c>
      <c r="D134" s="22">
        <v>2022</v>
      </c>
      <c r="E134" s="22"/>
      <c r="F134" s="22"/>
      <c r="G134" s="22"/>
      <c r="H134" s="24"/>
      <c r="I134" s="22"/>
      <c r="J134" s="22"/>
      <c r="K134" s="134"/>
      <c r="L134" s="81"/>
      <c r="M134" s="82"/>
      <c r="N134" s="83"/>
      <c r="O134" s="103"/>
      <c r="P134" s="103"/>
      <c r="Q134" s="103"/>
      <c r="R134" s="103"/>
      <c r="S134" s="103"/>
      <c r="T134" s="109"/>
      <c r="U134" s="109"/>
      <c r="V134" s="109"/>
      <c r="W134" s="103"/>
      <c r="X134" s="104"/>
      <c r="Y134" s="447"/>
      <c r="Z134" s="104"/>
      <c r="AA134" s="104"/>
      <c r="AB134" s="105"/>
      <c r="AC134" s="22" t="s">
        <v>300</v>
      </c>
      <c r="AD134" s="426">
        <f t="shared" si="352"/>
        <v>22</v>
      </c>
      <c r="AE134" s="427"/>
      <c r="AF134" s="32"/>
      <c r="AG134" s="32"/>
      <c r="AH134" s="32"/>
      <c r="AI134" s="22">
        <v>22</v>
      </c>
      <c r="AJ134" s="615"/>
      <c r="AK134" s="222"/>
      <c r="AL134" s="492">
        <f t="shared" si="402"/>
        <v>0</v>
      </c>
      <c r="AM134" s="4">
        <f t="shared" si="403"/>
        <v>0</v>
      </c>
      <c r="AN134" s="26"/>
      <c r="AO134" s="26"/>
      <c r="AP134" s="26"/>
      <c r="AQ134" s="39"/>
      <c r="AR134" s="39"/>
      <c r="AS134" s="39"/>
      <c r="AT134" s="39"/>
      <c r="AU134" s="39"/>
      <c r="AV134" s="26"/>
      <c r="AW134" s="37"/>
      <c r="AX134" s="39"/>
      <c r="AY134" s="26"/>
      <c r="AZ134" s="25"/>
      <c r="BA134" s="22"/>
      <c r="BB134" s="22"/>
      <c r="BC134" s="437" t="e">
        <f t="shared" si="404"/>
        <v>#DIV/0!</v>
      </c>
      <c r="BD134" s="332" t="e">
        <f t="shared" si="405"/>
        <v>#DIV/0!</v>
      </c>
      <c r="BE134" s="334">
        <f t="shared" si="406"/>
        <v>0</v>
      </c>
      <c r="BF134" s="123"/>
      <c r="BG134" s="123"/>
      <c r="BH134" s="89"/>
      <c r="BI134" s="89"/>
      <c r="BJ134" s="548"/>
      <c r="BK134" s="548"/>
      <c r="BL134" s="549"/>
      <c r="BM134" s="547">
        <f t="shared" si="410"/>
        <v>0</v>
      </c>
      <c r="BN134" s="490"/>
      <c r="BO134" s="77"/>
      <c r="BP134" s="100"/>
      <c r="BQ134" s="536">
        <f t="shared" si="411"/>
        <v>0</v>
      </c>
      <c r="BR134" s="529"/>
      <c r="BS134" s="77"/>
      <c r="BT134" s="77"/>
      <c r="BU134" s="151"/>
      <c r="BV134" s="150">
        <f t="shared" si="357"/>
        <v>1096</v>
      </c>
      <c r="BW134" s="373"/>
      <c r="BX134" s="150" t="str">
        <f>IF(Tableau6[[#This Row],[Montant des loyers perçus avant 1e échéance]]&lt;BW134,"oui","non")</f>
        <v>non</v>
      </c>
      <c r="BY134" s="475">
        <f t="shared" si="412"/>
        <v>-1478.7333333333333</v>
      </c>
      <c r="BZ134" s="373">
        <f t="shared" si="413"/>
        <v>0</v>
      </c>
      <c r="CA134" s="373">
        <f>IF(BW134-BZ134&lt;0,0,Tableau6[[#This Row],[Montant échéance annuelle]]-Tableau6[[#This Row],[Montant des loyers perçus avant 1e échéance]])</f>
        <v>0</v>
      </c>
      <c r="CB134" s="286"/>
      <c r="CC134" s="288"/>
      <c r="CD134" s="288"/>
      <c r="CE134" s="290" t="str">
        <f t="shared" si="414"/>
        <v>0</v>
      </c>
      <c r="CF134" s="288"/>
      <c r="CG134" s="288"/>
      <c r="CH134" s="290" t="str">
        <f t="shared" si="415"/>
        <v>0</v>
      </c>
      <c r="CI134" s="288"/>
      <c r="CJ134" s="288"/>
      <c r="CK134" s="290" t="str">
        <f t="shared" si="416"/>
        <v>0</v>
      </c>
      <c r="CL134" s="288"/>
      <c r="CM134" s="288"/>
      <c r="CN134" s="290" t="str">
        <f t="shared" si="417"/>
        <v>0</v>
      </c>
      <c r="CO134" s="288"/>
      <c r="CP134" s="288"/>
      <c r="CQ134" s="290" t="str">
        <f t="shared" si="418"/>
        <v>0</v>
      </c>
      <c r="CR134" s="237"/>
      <c r="CS134" s="292"/>
      <c r="CT134" s="277"/>
      <c r="CU134" s="278"/>
      <c r="CV134" s="279" t="str">
        <f t="shared" si="407"/>
        <v>0</v>
      </c>
      <c r="CW134" s="277"/>
      <c r="CX134" s="382">
        <v>45031</v>
      </c>
      <c r="CY134" s="178"/>
      <c r="CZ134" s="231">
        <f t="shared" si="382"/>
        <v>1501.0333333333333</v>
      </c>
      <c r="DA134" s="279" t="str">
        <f t="shared" si="426"/>
        <v>0</v>
      </c>
      <c r="DB134" s="383">
        <v>12</v>
      </c>
      <c r="DC134" s="127">
        <f t="shared" si="427"/>
        <v>13</v>
      </c>
      <c r="DD134" s="277"/>
      <c r="DE134" s="282">
        <f t="shared" ca="1" si="428"/>
        <v>43998</v>
      </c>
      <c r="DF134" s="279" t="str">
        <f t="shared" ca="1" si="429"/>
        <v>0</v>
      </c>
      <c r="DG134" s="277"/>
      <c r="DH134" s="295">
        <f t="shared" ca="1" si="397"/>
        <v>43998</v>
      </c>
      <c r="DI134" s="280" t="str">
        <f t="shared" ca="1" si="430"/>
        <v>0</v>
      </c>
      <c r="DJ134" s="281"/>
      <c r="DK134" s="295">
        <f t="shared" ca="1" si="395"/>
        <v>43998</v>
      </c>
      <c r="DL134" s="279" t="str">
        <f t="shared" ca="1" si="431"/>
        <v>0</v>
      </c>
      <c r="DM134" s="282"/>
      <c r="DN134" s="282">
        <f t="shared" ca="1" si="396"/>
        <v>43998</v>
      </c>
      <c r="DO134" s="279" t="str">
        <f t="shared" ca="1" si="432"/>
        <v>0</v>
      </c>
      <c r="DP134" s="283"/>
      <c r="DQ134" s="283"/>
      <c r="DR134" s="279" t="str">
        <f t="shared" si="433"/>
        <v>0</v>
      </c>
      <c r="DS134" s="282"/>
      <c r="DT134" s="282">
        <f t="shared" ca="1" si="434"/>
        <v>43998</v>
      </c>
      <c r="DU134" s="279" t="str">
        <f t="shared" ca="1" si="435"/>
        <v>0</v>
      </c>
      <c r="DV134" s="282"/>
      <c r="DW134" s="282">
        <f t="shared" ca="1" si="436"/>
        <v>43998</v>
      </c>
      <c r="DX134" s="279" t="str">
        <f t="shared" ca="1" si="437"/>
        <v>0</v>
      </c>
      <c r="DY134" s="283"/>
      <c r="DZ134" s="283"/>
      <c r="EA134" s="283"/>
      <c r="EB134" s="410">
        <f t="shared" si="369"/>
        <v>45397</v>
      </c>
      <c r="EC134" s="409">
        <f t="shared" si="419"/>
        <v>45427</v>
      </c>
      <c r="ED134" s="406">
        <f t="shared" si="370"/>
        <v>1</v>
      </c>
      <c r="EE134" s="505">
        <f t="shared" ref="EE134:EE163" ca="1" si="438">IF(((EC134-TODAY())/30)&lt;0,0,(EC134-TODAY())/30)</f>
        <v>47.633333333333333</v>
      </c>
      <c r="EF134" s="409">
        <f t="shared" ca="1" si="389"/>
        <v>44728</v>
      </c>
      <c r="EG134" s="457"/>
      <c r="EH134" s="448"/>
      <c r="EI134" s="458">
        <f t="shared" si="380"/>
        <v>45552</v>
      </c>
      <c r="EJ134" s="242"/>
      <c r="EK134" s="456">
        <f t="shared" si="387"/>
        <v>45427</v>
      </c>
      <c r="EL134" s="409">
        <f t="shared" si="383"/>
        <v>45458</v>
      </c>
      <c r="EM134" s="314"/>
      <c r="EN134" s="404">
        <f t="shared" si="384"/>
        <v>1.0333333333333334</v>
      </c>
      <c r="EO134" s="390"/>
      <c r="EP134" s="131">
        <f t="shared" si="371"/>
        <v>0</v>
      </c>
      <c r="EQ134" s="60"/>
      <c r="ER134" s="60"/>
      <c r="ES134" s="742"/>
      <c r="ET134" s="300"/>
      <c r="EU134" s="300"/>
      <c r="EV134" s="300"/>
      <c r="EW134" s="300"/>
      <c r="EX134" s="415"/>
      <c r="EY134" s="416" t="e">
        <f t="shared" ref="EY134:EY163" si="439">EX134/GB134</f>
        <v>#DIV/0!</v>
      </c>
      <c r="EZ134" s="297"/>
      <c r="FA134" s="308"/>
      <c r="FB134" s="302"/>
      <c r="FC134" s="302"/>
      <c r="FD134" s="89">
        <f t="shared" ca="1" si="388"/>
        <v>44728</v>
      </c>
      <c r="FE134" s="63"/>
      <c r="FF134" s="63"/>
      <c r="FG134" s="63"/>
      <c r="FH134" s="63"/>
      <c r="FI134" s="63"/>
      <c r="FJ134" s="22"/>
      <c r="FK134" s="146">
        <f t="shared" si="381"/>
        <v>45792</v>
      </c>
      <c r="FL134" s="146"/>
      <c r="FM134" s="146"/>
      <c r="FN134" s="22"/>
      <c r="FO134" s="22"/>
      <c r="FP134" s="22"/>
      <c r="FQ134" s="22"/>
      <c r="FR134" s="22"/>
      <c r="FS134" s="22"/>
      <c r="FT134" s="22"/>
      <c r="FU134" s="22"/>
      <c r="FV134" s="22"/>
      <c r="FW134" s="22"/>
      <c r="FX134" s="22"/>
      <c r="FY134" s="22"/>
      <c r="FZ134" s="22"/>
      <c r="GA134" s="451"/>
      <c r="GB134" s="471">
        <f>GD134+GG134+GJ134+HF134+Tableau6[[#This Row],[PRÊT CREDIT D''IMPOT (PM)]]</f>
        <v>0</v>
      </c>
      <c r="GC134" s="645">
        <f t="shared" si="372"/>
        <v>0</v>
      </c>
      <c r="GD134" s="507">
        <f t="shared" si="379"/>
        <v>0</v>
      </c>
      <c r="GE134" s="20" t="e">
        <f t="shared" si="373"/>
        <v>#DIV/0!</v>
      </c>
      <c r="GF134" s="20">
        <f t="shared" si="345"/>
        <v>0</v>
      </c>
      <c r="GG134" s="503"/>
      <c r="GH134" s="351"/>
      <c r="GI134" s="20">
        <f t="shared" si="409"/>
        <v>0</v>
      </c>
      <c r="GJ134" s="503">
        <f t="shared" si="374"/>
        <v>0</v>
      </c>
      <c r="GK134" s="5">
        <f t="shared" si="408"/>
        <v>0</v>
      </c>
      <c r="GL134" s="44"/>
      <c r="GM134" s="44"/>
      <c r="GN134" s="346">
        <f t="shared" si="376"/>
        <v>0</v>
      </c>
      <c r="GO134" s="35"/>
      <c r="GP134" s="5"/>
      <c r="GQ134" s="35"/>
      <c r="GR134" s="45" t="e">
        <f t="shared" si="377"/>
        <v>#DIV/0!</v>
      </c>
      <c r="GS134" s="35"/>
      <c r="GT134" s="35"/>
      <c r="GU134" s="35"/>
      <c r="GV134" s="20"/>
      <c r="GW134" s="20"/>
      <c r="GX134" s="569"/>
      <c r="GY134" s="569"/>
      <c r="GZ134" s="569"/>
      <c r="HA134" s="569"/>
      <c r="HB134" s="569"/>
      <c r="HC134" s="568"/>
      <c r="HD134" s="569"/>
      <c r="HE134" s="569"/>
      <c r="HF134" s="503"/>
      <c r="HG134" s="633"/>
      <c r="HH134" s="634" t="e">
        <f t="shared" si="420"/>
        <v>#DIV/0!</v>
      </c>
      <c r="HI134" s="633">
        <f t="shared" si="421"/>
        <v>0</v>
      </c>
      <c r="HJ134" s="633" t="e">
        <f t="shared" ca="1" si="422"/>
        <v>#VALUE!</v>
      </c>
      <c r="HK134" s="634" t="e">
        <f t="shared" ca="1" si="423"/>
        <v>#VALUE!</v>
      </c>
      <c r="HL134" s="633"/>
      <c r="HM134" s="633">
        <f t="shared" si="424"/>
        <v>0</v>
      </c>
      <c r="HN134" s="633" t="e">
        <f t="shared" si="425"/>
        <v>#DIV/0!</v>
      </c>
      <c r="HO134" s="633"/>
      <c r="HP134" s="563"/>
      <c r="HQ134" s="47"/>
      <c r="HR134" s="563"/>
      <c r="HS134" s="563">
        <f>SUM(Tableau6[[#This Row],[GO]:[CARRELAGE]])</f>
        <v>0</v>
      </c>
      <c r="HT134" s="461"/>
      <c r="HU134" s="461"/>
      <c r="HV134" s="461"/>
      <c r="HW134" s="461"/>
      <c r="HX134" s="461"/>
      <c r="HY134" s="461"/>
      <c r="HZ134" s="461"/>
      <c r="IA134" s="461"/>
      <c r="IB134" s="461"/>
      <c r="IC134" s="461"/>
      <c r="ID134" s="461"/>
      <c r="IE134" s="461"/>
      <c r="IF134" s="461"/>
      <c r="IG134" s="563"/>
      <c r="IH134" s="563"/>
      <c r="II134" s="563">
        <f>HP134+HR134+Tableau6[[#This Row],[TRAVAUX BATIS]]+Tableau6[[#This Row],[HONORAIRES]]+IH134</f>
        <v>0</v>
      </c>
      <c r="IJ134" s="654">
        <f>Tableau6[[#This Row],[TOTAL PRP HT]]-Tableau6[[#This Row],[PRP TTC HORS FRAFU]]/1.021</f>
        <v>0</v>
      </c>
      <c r="IK134" s="9"/>
      <c r="IL134" s="9"/>
      <c r="IM134" s="9"/>
      <c r="IN134" s="9"/>
      <c r="IO134" s="9"/>
      <c r="IP134" s="9"/>
      <c r="IQ134" s="9"/>
      <c r="IR134" s="9"/>
      <c r="IS134" s="9"/>
      <c r="IT134" s="9"/>
      <c r="IU134" s="9"/>
      <c r="IV134" s="9"/>
    </row>
    <row r="135" spans="1:256 16329:16329" ht="15" customHeight="1">
      <c r="A135" s="441" t="s">
        <v>913</v>
      </c>
      <c r="B135" s="22" t="s">
        <v>21</v>
      </c>
      <c r="C135" s="22" t="s">
        <v>86</v>
      </c>
      <c r="D135" s="22">
        <v>2022</v>
      </c>
      <c r="E135" s="22"/>
      <c r="F135" s="22"/>
      <c r="G135" s="22"/>
      <c r="H135" s="24"/>
      <c r="I135" s="22"/>
      <c r="J135" s="22"/>
      <c r="K135" s="134"/>
      <c r="L135" s="81"/>
      <c r="M135" s="82"/>
      <c r="N135" s="83"/>
      <c r="O135" s="103"/>
      <c r="P135" s="103"/>
      <c r="Q135" s="103"/>
      <c r="R135" s="103"/>
      <c r="S135" s="103"/>
      <c r="T135" s="109"/>
      <c r="U135" s="109"/>
      <c r="V135" s="109"/>
      <c r="W135" s="103"/>
      <c r="X135" s="104"/>
      <c r="Y135" s="447"/>
      <c r="Z135" s="104"/>
      <c r="AA135" s="104"/>
      <c r="AB135" s="105"/>
      <c r="AC135" s="22" t="s">
        <v>300</v>
      </c>
      <c r="AD135" s="426">
        <f t="shared" si="352"/>
        <v>40</v>
      </c>
      <c r="AE135" s="426"/>
      <c r="AF135" s="32"/>
      <c r="AG135" s="32"/>
      <c r="AH135" s="32"/>
      <c r="AI135" s="22">
        <v>40</v>
      </c>
      <c r="AJ135" s="615"/>
      <c r="AK135" s="222"/>
      <c r="AL135" s="492">
        <f t="shared" si="402"/>
        <v>0</v>
      </c>
      <c r="AM135" s="4">
        <f t="shared" si="403"/>
        <v>0</v>
      </c>
      <c r="AN135" s="26"/>
      <c r="AO135" s="26"/>
      <c r="AP135" s="26"/>
      <c r="AQ135" s="39"/>
      <c r="AR135" s="39"/>
      <c r="AS135" s="39"/>
      <c r="AT135" s="39"/>
      <c r="AU135" s="39"/>
      <c r="AV135" s="26"/>
      <c r="AW135" s="37"/>
      <c r="AX135" s="39"/>
      <c r="AY135" s="26"/>
      <c r="AZ135" s="25"/>
      <c r="BA135" s="22"/>
      <c r="BB135" s="22"/>
      <c r="BC135" s="437" t="e">
        <f t="shared" si="404"/>
        <v>#DIV/0!</v>
      </c>
      <c r="BD135" s="332" t="e">
        <f t="shared" si="405"/>
        <v>#DIV/0!</v>
      </c>
      <c r="BE135" s="334">
        <f t="shared" si="406"/>
        <v>0</v>
      </c>
      <c r="BF135" s="123"/>
      <c r="BG135" s="123"/>
      <c r="BH135" s="89"/>
      <c r="BI135" s="89"/>
      <c r="BJ135" s="548"/>
      <c r="BK135" s="548"/>
      <c r="BL135" s="549"/>
      <c r="BM135" s="547">
        <f t="shared" si="410"/>
        <v>0</v>
      </c>
      <c r="BN135" s="490"/>
      <c r="BO135" s="77"/>
      <c r="BP135" s="100"/>
      <c r="BQ135" s="536">
        <f t="shared" si="411"/>
        <v>0</v>
      </c>
      <c r="BR135" s="529"/>
      <c r="BS135" s="77"/>
      <c r="BT135" s="77"/>
      <c r="BU135" s="151"/>
      <c r="BV135" s="150">
        <f t="shared" si="357"/>
        <v>1096</v>
      </c>
      <c r="BW135" s="373"/>
      <c r="BX135" s="150" t="str">
        <f>IF(Tableau6[[#This Row],[Montant des loyers perçus avant 1e échéance]]&lt;BW135,"oui","non")</f>
        <v>non</v>
      </c>
      <c r="BY135" s="475">
        <f t="shared" si="412"/>
        <v>-1480.7666666666667</v>
      </c>
      <c r="BZ135" s="373">
        <f t="shared" si="413"/>
        <v>0</v>
      </c>
      <c r="CA135" s="373">
        <f>IF(BW135-BZ135&lt;0,0,Tableau6[[#This Row],[Montant échéance annuelle]]-Tableau6[[#This Row],[Montant des loyers perçus avant 1e échéance]])</f>
        <v>0</v>
      </c>
      <c r="CB135" s="286"/>
      <c r="CC135" s="288"/>
      <c r="CD135" s="288"/>
      <c r="CE135" s="290" t="str">
        <f t="shared" si="414"/>
        <v>0</v>
      </c>
      <c r="CF135" s="288"/>
      <c r="CG135" s="288"/>
      <c r="CH135" s="290" t="str">
        <f t="shared" si="415"/>
        <v>0</v>
      </c>
      <c r="CI135" s="288"/>
      <c r="CJ135" s="288"/>
      <c r="CK135" s="290" t="str">
        <f t="shared" si="416"/>
        <v>0</v>
      </c>
      <c r="CL135" s="288"/>
      <c r="CM135" s="288"/>
      <c r="CN135" s="290" t="str">
        <f t="shared" si="417"/>
        <v>0</v>
      </c>
      <c r="CO135" s="288"/>
      <c r="CP135" s="288"/>
      <c r="CQ135" s="290" t="str">
        <f t="shared" si="418"/>
        <v>0</v>
      </c>
      <c r="CR135" s="237"/>
      <c r="CS135" s="292"/>
      <c r="CT135" s="277"/>
      <c r="CU135" s="278"/>
      <c r="CV135" s="279" t="str">
        <f t="shared" si="407"/>
        <v>0</v>
      </c>
      <c r="CW135" s="277"/>
      <c r="CX135" s="382">
        <v>45031</v>
      </c>
      <c r="CY135" s="178"/>
      <c r="CZ135" s="231">
        <f t="shared" si="382"/>
        <v>1501.0333333333333</v>
      </c>
      <c r="DA135" s="279" t="str">
        <f t="shared" si="426"/>
        <v>0</v>
      </c>
      <c r="DB135" s="383">
        <v>14</v>
      </c>
      <c r="DC135" s="127">
        <f t="shared" si="427"/>
        <v>15</v>
      </c>
      <c r="DD135" s="277"/>
      <c r="DE135" s="282">
        <f t="shared" ca="1" si="428"/>
        <v>43998</v>
      </c>
      <c r="DF135" s="279" t="str">
        <f t="shared" ca="1" si="429"/>
        <v>0</v>
      </c>
      <c r="DG135" s="277"/>
      <c r="DH135" s="295">
        <f t="shared" ca="1" si="397"/>
        <v>43998</v>
      </c>
      <c r="DI135" s="280" t="str">
        <f t="shared" ca="1" si="430"/>
        <v>0</v>
      </c>
      <c r="DJ135" s="281"/>
      <c r="DK135" s="295">
        <f t="shared" ca="1" si="395"/>
        <v>43998</v>
      </c>
      <c r="DL135" s="279" t="str">
        <f t="shared" ca="1" si="431"/>
        <v>0</v>
      </c>
      <c r="DM135" s="282"/>
      <c r="DN135" s="282">
        <f t="shared" ca="1" si="396"/>
        <v>43998</v>
      </c>
      <c r="DO135" s="279" t="str">
        <f t="shared" ca="1" si="432"/>
        <v>0</v>
      </c>
      <c r="DP135" s="283"/>
      <c r="DQ135" s="283"/>
      <c r="DR135" s="279" t="str">
        <f t="shared" si="433"/>
        <v>0</v>
      </c>
      <c r="DS135" s="282"/>
      <c r="DT135" s="282">
        <f t="shared" ca="1" si="434"/>
        <v>43998</v>
      </c>
      <c r="DU135" s="279" t="str">
        <f t="shared" ca="1" si="435"/>
        <v>0</v>
      </c>
      <c r="DV135" s="282"/>
      <c r="DW135" s="282">
        <f t="shared" ca="1" si="436"/>
        <v>43998</v>
      </c>
      <c r="DX135" s="279" t="str">
        <f t="shared" ca="1" si="437"/>
        <v>0</v>
      </c>
      <c r="DY135" s="283"/>
      <c r="DZ135" s="283"/>
      <c r="EA135" s="283"/>
      <c r="EB135" s="410">
        <f t="shared" si="369"/>
        <v>45458</v>
      </c>
      <c r="EC135" s="409">
        <f t="shared" si="419"/>
        <v>45488</v>
      </c>
      <c r="ED135" s="406">
        <f t="shared" si="370"/>
        <v>1</v>
      </c>
      <c r="EE135" s="505">
        <f t="shared" ca="1" si="438"/>
        <v>49.666666666666664</v>
      </c>
      <c r="EF135" s="409">
        <f t="shared" ca="1" si="389"/>
        <v>44728</v>
      </c>
      <c r="EG135" s="457"/>
      <c r="EH135" s="448"/>
      <c r="EI135" s="458">
        <f t="shared" si="380"/>
        <v>45613</v>
      </c>
      <c r="EJ135" s="242"/>
      <c r="EK135" s="456">
        <f t="shared" si="387"/>
        <v>45488</v>
      </c>
      <c r="EL135" s="409">
        <f t="shared" si="383"/>
        <v>45519</v>
      </c>
      <c r="EM135" s="314"/>
      <c r="EN135" s="404">
        <f t="shared" si="384"/>
        <v>1.0333333333333334</v>
      </c>
      <c r="EO135" s="390"/>
      <c r="EP135" s="131">
        <f t="shared" si="371"/>
        <v>0</v>
      </c>
      <c r="EQ135" s="60"/>
      <c r="ER135" s="60"/>
      <c r="ES135" s="742"/>
      <c r="ET135" s="300"/>
      <c r="EU135" s="300"/>
      <c r="EV135" s="300"/>
      <c r="EW135" s="300"/>
      <c r="EX135" s="415"/>
      <c r="EY135" s="416" t="e">
        <f t="shared" si="439"/>
        <v>#DIV/0!</v>
      </c>
      <c r="EZ135" s="297"/>
      <c r="FA135" s="308"/>
      <c r="FB135" s="302"/>
      <c r="FC135" s="302"/>
      <c r="FD135" s="89">
        <f t="shared" ca="1" si="388"/>
        <v>44728</v>
      </c>
      <c r="FE135" s="63"/>
      <c r="FF135" s="63"/>
      <c r="FG135" s="63"/>
      <c r="FH135" s="63"/>
      <c r="FI135" s="63"/>
      <c r="FJ135" s="22"/>
      <c r="FK135" s="146">
        <f t="shared" si="381"/>
        <v>45853</v>
      </c>
      <c r="FL135" s="146"/>
      <c r="FM135" s="146"/>
      <c r="FN135" s="22"/>
      <c r="FO135" s="22"/>
      <c r="FP135" s="22"/>
      <c r="FQ135" s="22"/>
      <c r="FR135" s="22"/>
      <c r="FS135" s="22"/>
      <c r="FT135" s="22"/>
      <c r="FU135" s="22"/>
      <c r="FV135" s="22"/>
      <c r="FW135" s="22"/>
      <c r="FX135" s="22"/>
      <c r="FY135" s="22"/>
      <c r="FZ135" s="22"/>
      <c r="GA135" s="451"/>
      <c r="GB135" s="471">
        <f>GD135+GG135+GJ135+HF135+Tableau6[[#This Row],[PRÊT CREDIT D''IMPOT (PM)]]</f>
        <v>0</v>
      </c>
      <c r="GC135" s="645">
        <f t="shared" si="372"/>
        <v>0</v>
      </c>
      <c r="GD135" s="507">
        <f t="shared" si="379"/>
        <v>0</v>
      </c>
      <c r="GE135" s="20" t="e">
        <f t="shared" si="373"/>
        <v>#DIV/0!</v>
      </c>
      <c r="GF135" s="20">
        <f t="shared" ref="GF135:GF163" si="440">GB135/AD135</f>
        <v>0</v>
      </c>
      <c r="GG135" s="503"/>
      <c r="GH135" s="351"/>
      <c r="GI135" s="20">
        <f t="shared" si="409"/>
        <v>0</v>
      </c>
      <c r="GJ135" s="503">
        <f t="shared" si="374"/>
        <v>0</v>
      </c>
      <c r="GK135" s="5">
        <f t="shared" si="408"/>
        <v>0</v>
      </c>
      <c r="GL135" s="44"/>
      <c r="GM135" s="44"/>
      <c r="GN135" s="346">
        <f t="shared" si="376"/>
        <v>0</v>
      </c>
      <c r="GO135" s="35"/>
      <c r="GP135" s="5"/>
      <c r="GQ135" s="35"/>
      <c r="GR135" s="45" t="e">
        <f t="shared" si="377"/>
        <v>#DIV/0!</v>
      </c>
      <c r="GS135" s="35"/>
      <c r="GT135" s="35"/>
      <c r="GU135" s="35"/>
      <c r="GV135" s="20"/>
      <c r="GW135" s="20"/>
      <c r="GX135" s="569"/>
      <c r="GY135" s="569"/>
      <c r="GZ135" s="569"/>
      <c r="HA135" s="569"/>
      <c r="HB135" s="569"/>
      <c r="HC135" s="568"/>
      <c r="HD135" s="569"/>
      <c r="HE135" s="569"/>
      <c r="HF135" s="503"/>
      <c r="HG135" s="633"/>
      <c r="HH135" s="634" t="e">
        <f t="shared" si="420"/>
        <v>#DIV/0!</v>
      </c>
      <c r="HI135" s="633">
        <f t="shared" si="421"/>
        <v>0</v>
      </c>
      <c r="HJ135" s="633" t="e">
        <f t="shared" ca="1" si="422"/>
        <v>#VALUE!</v>
      </c>
      <c r="HK135" s="634" t="e">
        <f t="shared" ca="1" si="423"/>
        <v>#VALUE!</v>
      </c>
      <c r="HL135" s="633"/>
      <c r="HM135" s="633">
        <f t="shared" si="424"/>
        <v>0</v>
      </c>
      <c r="HN135" s="633" t="e">
        <f t="shared" si="425"/>
        <v>#DIV/0!</v>
      </c>
      <c r="HO135" s="633"/>
      <c r="HP135" s="563"/>
      <c r="HQ135" s="47"/>
      <c r="HR135" s="563"/>
      <c r="HS135" s="563">
        <f>SUM(Tableau6[[#This Row],[GO]:[CARRELAGE]])</f>
        <v>0</v>
      </c>
      <c r="HT135" s="461"/>
      <c r="HU135" s="461"/>
      <c r="HV135" s="461"/>
      <c r="HW135" s="461"/>
      <c r="HX135" s="461"/>
      <c r="HY135" s="461"/>
      <c r="HZ135" s="461"/>
      <c r="IA135" s="461"/>
      <c r="IB135" s="461"/>
      <c r="IC135" s="461"/>
      <c r="ID135" s="461"/>
      <c r="IE135" s="461"/>
      <c r="IF135" s="461"/>
      <c r="IG135" s="563"/>
      <c r="IH135" s="563"/>
      <c r="II135" s="563">
        <f>HP135+HR135+Tableau6[[#This Row],[TRAVAUX BATIS]]+Tableau6[[#This Row],[HONORAIRES]]+IH135</f>
        <v>0</v>
      </c>
      <c r="IJ135" s="654">
        <f>Tableau6[[#This Row],[TOTAL PRP HT]]-Tableau6[[#This Row],[PRP TTC HORS FRAFU]]/1.021</f>
        <v>0</v>
      </c>
      <c r="IK135" s="9"/>
      <c r="IL135" s="9"/>
      <c r="IM135" s="9"/>
      <c r="IN135" s="9"/>
      <c r="IO135" s="9"/>
      <c r="IP135" s="9"/>
      <c r="IQ135" s="9"/>
      <c r="IR135" s="9"/>
      <c r="IS135" s="9"/>
      <c r="IT135" s="9"/>
      <c r="IU135" s="9"/>
      <c r="IV135" s="9"/>
    </row>
    <row r="136" spans="1:256 16329:16329" ht="15" customHeight="1">
      <c r="A136" s="441" t="s">
        <v>824</v>
      </c>
      <c r="B136" s="22" t="s">
        <v>14</v>
      </c>
      <c r="C136" s="22" t="s">
        <v>86</v>
      </c>
      <c r="D136" s="22">
        <v>2022</v>
      </c>
      <c r="E136" s="22"/>
      <c r="F136" s="22"/>
      <c r="G136" s="22"/>
      <c r="H136" s="24"/>
      <c r="I136" s="22"/>
      <c r="J136" s="22"/>
      <c r="K136" s="134"/>
      <c r="L136" s="81"/>
      <c r="M136" s="82"/>
      <c r="N136" s="83"/>
      <c r="O136" s="103"/>
      <c r="P136" s="103"/>
      <c r="Q136" s="103"/>
      <c r="R136" s="103"/>
      <c r="S136" s="103"/>
      <c r="T136" s="109"/>
      <c r="U136" s="109"/>
      <c r="V136" s="109"/>
      <c r="W136" s="103"/>
      <c r="X136" s="104"/>
      <c r="Y136" s="447"/>
      <c r="Z136" s="104"/>
      <c r="AA136" s="104"/>
      <c r="AB136" s="105"/>
      <c r="AC136" s="22" t="s">
        <v>300</v>
      </c>
      <c r="AD136" s="426">
        <f t="shared" ref="AD136:AD155" si="441">SUM(AF136:AI136)</f>
        <v>44</v>
      </c>
      <c r="AE136" s="427"/>
      <c r="AF136" s="32"/>
      <c r="AG136" s="32"/>
      <c r="AH136" s="32"/>
      <c r="AI136" s="22">
        <v>44</v>
      </c>
      <c r="AJ136" s="615"/>
      <c r="AK136" s="222"/>
      <c r="AL136" s="492">
        <f t="shared" si="402"/>
        <v>0</v>
      </c>
      <c r="AM136" s="4">
        <f t="shared" si="403"/>
        <v>0</v>
      </c>
      <c r="AN136" s="26"/>
      <c r="AO136" s="26"/>
      <c r="AP136" s="26"/>
      <c r="AQ136" s="39"/>
      <c r="AR136" s="39"/>
      <c r="AS136" s="39"/>
      <c r="AT136" s="39"/>
      <c r="AU136" s="39"/>
      <c r="AV136" s="26"/>
      <c r="AW136" s="37"/>
      <c r="AX136" s="39"/>
      <c r="AY136" s="26"/>
      <c r="AZ136" s="25"/>
      <c r="BA136" s="22"/>
      <c r="BB136" s="22"/>
      <c r="BC136" s="437" t="e">
        <f t="shared" si="404"/>
        <v>#DIV/0!</v>
      </c>
      <c r="BD136" s="332" t="e">
        <f t="shared" si="405"/>
        <v>#DIV/0!</v>
      </c>
      <c r="BE136" s="334">
        <f t="shared" si="406"/>
        <v>0</v>
      </c>
      <c r="BF136" s="123"/>
      <c r="BG136" s="123"/>
      <c r="BH136" s="89"/>
      <c r="BI136" s="89"/>
      <c r="BJ136" s="548"/>
      <c r="BK136" s="548"/>
      <c r="BL136" s="549"/>
      <c r="BM136" s="547">
        <f t="shared" si="410"/>
        <v>0</v>
      </c>
      <c r="BN136" s="490"/>
      <c r="BO136" s="77"/>
      <c r="BP136" s="100"/>
      <c r="BQ136" s="536">
        <f t="shared" si="411"/>
        <v>0</v>
      </c>
      <c r="BR136" s="529"/>
      <c r="BS136" s="77"/>
      <c r="BT136" s="77"/>
      <c r="BU136" s="151"/>
      <c r="BV136" s="150">
        <f t="shared" ref="BV136:BV163" si="442">DATE(YEAR(BU136),MONTH(BU136)+36,DAY(BU136))</f>
        <v>1096</v>
      </c>
      <c r="BW136" s="373"/>
      <c r="BX136" s="150" t="str">
        <f>IF(Tableau6[[#This Row],[Montant des loyers perçus avant 1e échéance]]&lt;BW136,"oui","non")</f>
        <v>non</v>
      </c>
      <c r="BY136" s="475">
        <f t="shared" si="412"/>
        <v>-1480.7666666666667</v>
      </c>
      <c r="BZ136" s="373">
        <f t="shared" si="413"/>
        <v>0</v>
      </c>
      <c r="CA136" s="373">
        <f>IF(BW136-BZ136&lt;0,0,Tableau6[[#This Row],[Montant échéance annuelle]]-Tableau6[[#This Row],[Montant des loyers perçus avant 1e échéance]])</f>
        <v>0</v>
      </c>
      <c r="CB136" s="286"/>
      <c r="CC136" s="288"/>
      <c r="CD136" s="288"/>
      <c r="CE136" s="290" t="str">
        <f t="shared" si="414"/>
        <v>0</v>
      </c>
      <c r="CF136" s="288"/>
      <c r="CG136" s="288"/>
      <c r="CH136" s="290" t="str">
        <f t="shared" si="415"/>
        <v>0</v>
      </c>
      <c r="CI136" s="288"/>
      <c r="CJ136" s="288"/>
      <c r="CK136" s="290" t="str">
        <f t="shared" si="416"/>
        <v>0</v>
      </c>
      <c r="CL136" s="288"/>
      <c r="CM136" s="288"/>
      <c r="CN136" s="290" t="str">
        <f t="shared" si="417"/>
        <v>0</v>
      </c>
      <c r="CO136" s="288"/>
      <c r="CP136" s="288"/>
      <c r="CQ136" s="290" t="str">
        <f t="shared" si="418"/>
        <v>0</v>
      </c>
      <c r="CR136" s="237"/>
      <c r="CS136" s="292"/>
      <c r="CT136" s="277"/>
      <c r="CU136" s="278"/>
      <c r="CV136" s="279" t="str">
        <f t="shared" si="407"/>
        <v>0</v>
      </c>
      <c r="CW136" s="277"/>
      <c r="CX136" s="382">
        <v>45031</v>
      </c>
      <c r="CY136" s="178"/>
      <c r="CZ136" s="231">
        <f t="shared" si="382"/>
        <v>1501.0333333333333</v>
      </c>
      <c r="DA136" s="279" t="str">
        <f t="shared" si="426"/>
        <v>0</v>
      </c>
      <c r="DB136" s="383">
        <v>14</v>
      </c>
      <c r="DC136" s="127">
        <f t="shared" si="427"/>
        <v>15</v>
      </c>
      <c r="DD136" s="277"/>
      <c r="DE136" s="282">
        <f t="shared" ca="1" si="428"/>
        <v>43998</v>
      </c>
      <c r="DF136" s="279" t="str">
        <f t="shared" ca="1" si="429"/>
        <v>0</v>
      </c>
      <c r="DG136" s="277"/>
      <c r="DH136" s="295">
        <f t="shared" ca="1" si="397"/>
        <v>43998</v>
      </c>
      <c r="DI136" s="280" t="str">
        <f t="shared" ca="1" si="430"/>
        <v>0</v>
      </c>
      <c r="DJ136" s="281"/>
      <c r="DK136" s="295">
        <f t="shared" ca="1" si="395"/>
        <v>43998</v>
      </c>
      <c r="DL136" s="279" t="str">
        <f t="shared" ca="1" si="431"/>
        <v>0</v>
      </c>
      <c r="DM136" s="282"/>
      <c r="DN136" s="282">
        <f t="shared" ca="1" si="396"/>
        <v>43998</v>
      </c>
      <c r="DO136" s="279" t="str">
        <f t="shared" ca="1" si="432"/>
        <v>0</v>
      </c>
      <c r="DP136" s="283"/>
      <c r="DQ136" s="283"/>
      <c r="DR136" s="279" t="str">
        <f t="shared" si="433"/>
        <v>0</v>
      </c>
      <c r="DS136" s="282"/>
      <c r="DT136" s="282">
        <f t="shared" ca="1" si="434"/>
        <v>43998</v>
      </c>
      <c r="DU136" s="279" t="str">
        <f t="shared" ca="1" si="435"/>
        <v>0</v>
      </c>
      <c r="DV136" s="282"/>
      <c r="DW136" s="282">
        <f t="shared" ca="1" si="436"/>
        <v>43998</v>
      </c>
      <c r="DX136" s="279" t="str">
        <f t="shared" ca="1" si="437"/>
        <v>0</v>
      </c>
      <c r="DY136" s="283"/>
      <c r="DZ136" s="283"/>
      <c r="EA136" s="283"/>
      <c r="EB136" s="410">
        <f t="shared" ref="EB136:EB163" si="443">DATE(YEAR(CX136),MONTH(CX136)+DB136,DAY(CX136))</f>
        <v>45458</v>
      </c>
      <c r="EC136" s="409">
        <f t="shared" si="419"/>
        <v>45488</v>
      </c>
      <c r="ED136" s="406">
        <f t="shared" ref="ED136:ED163" si="444">(EC136-EB136)/30</f>
        <v>1</v>
      </c>
      <c r="EE136" s="505">
        <f t="shared" ca="1" si="438"/>
        <v>49.666666666666664</v>
      </c>
      <c r="EF136" s="409">
        <f t="shared" ca="1" si="389"/>
        <v>44728</v>
      </c>
      <c r="EG136" s="457"/>
      <c r="EH136" s="448"/>
      <c r="EI136" s="458">
        <f t="shared" si="380"/>
        <v>45613</v>
      </c>
      <c r="EJ136" s="242"/>
      <c r="EK136" s="456">
        <f t="shared" si="387"/>
        <v>45488</v>
      </c>
      <c r="EL136" s="409">
        <f t="shared" si="383"/>
        <v>45519</v>
      </c>
      <c r="EM136" s="314"/>
      <c r="EN136" s="404">
        <f t="shared" si="384"/>
        <v>1.0333333333333334</v>
      </c>
      <c r="EO136" s="390"/>
      <c r="EP136" s="131">
        <f t="shared" ref="EP136:EP163" si="445">EO136*EN136</f>
        <v>0</v>
      </c>
      <c r="EQ136" s="60"/>
      <c r="ER136" s="60"/>
      <c r="ES136" s="742"/>
      <c r="ET136" s="300"/>
      <c r="EU136" s="300"/>
      <c r="EV136" s="300"/>
      <c r="EW136" s="300"/>
      <c r="EX136" s="415"/>
      <c r="EY136" s="416" t="e">
        <f t="shared" si="439"/>
        <v>#DIV/0!</v>
      </c>
      <c r="EZ136" s="297"/>
      <c r="FA136" s="308"/>
      <c r="FB136" s="302"/>
      <c r="FC136" s="302"/>
      <c r="FD136" s="89">
        <f t="shared" ca="1" si="388"/>
        <v>44728</v>
      </c>
      <c r="FE136" s="63"/>
      <c r="FF136" s="63"/>
      <c r="FG136" s="63"/>
      <c r="FH136" s="63"/>
      <c r="FI136" s="63"/>
      <c r="FJ136" s="22"/>
      <c r="FK136" s="146">
        <f t="shared" si="381"/>
        <v>45853</v>
      </c>
      <c r="FL136" s="146"/>
      <c r="FM136" s="146"/>
      <c r="FN136" s="22"/>
      <c r="FO136" s="22"/>
      <c r="FP136" s="22"/>
      <c r="FQ136" s="22"/>
      <c r="FR136" s="22"/>
      <c r="FS136" s="22"/>
      <c r="FT136" s="22"/>
      <c r="FU136" s="22"/>
      <c r="FV136" s="22"/>
      <c r="FW136" s="22"/>
      <c r="FX136" s="22"/>
      <c r="FY136" s="22"/>
      <c r="FZ136" s="22"/>
      <c r="GA136" s="451"/>
      <c r="GB136" s="471">
        <f>GD136+GG136+GJ136+HF136+Tableau6[[#This Row],[PRÊT CREDIT D''IMPOT (PM)]]</f>
        <v>0</v>
      </c>
      <c r="GC136" s="645">
        <f t="shared" ref="GC136:GC163" si="446">GB136</f>
        <v>0</v>
      </c>
      <c r="GD136" s="507">
        <f t="shared" si="379"/>
        <v>0</v>
      </c>
      <c r="GE136" s="20" t="e">
        <f t="shared" ref="GE136:GE163" si="447">GB136/AK136</f>
        <v>#DIV/0!</v>
      </c>
      <c r="GF136" s="20">
        <f t="shared" si="440"/>
        <v>0</v>
      </c>
      <c r="GG136" s="503"/>
      <c r="GH136" s="351"/>
      <c r="GI136" s="20">
        <f t="shared" si="409"/>
        <v>0</v>
      </c>
      <c r="GJ136" s="503">
        <f t="shared" ref="GJ136:GJ163" si="448">GK136+GO136+GS136</f>
        <v>0</v>
      </c>
      <c r="GK136" s="5">
        <f t="shared" si="408"/>
        <v>0</v>
      </c>
      <c r="GL136" s="44"/>
      <c r="GM136" s="44"/>
      <c r="GN136" s="346">
        <f t="shared" ref="GN136:GN163" si="449">GK136/AD136</f>
        <v>0</v>
      </c>
      <c r="GO136" s="35"/>
      <c r="GP136" s="5"/>
      <c r="GQ136" s="35"/>
      <c r="GR136" s="45" t="e">
        <f t="shared" ref="GR136:GR163" si="450">GP136/GB136</f>
        <v>#DIV/0!</v>
      </c>
      <c r="GS136" s="35"/>
      <c r="GT136" s="35"/>
      <c r="GU136" s="35"/>
      <c r="GV136" s="20"/>
      <c r="GW136" s="20"/>
      <c r="GX136" s="569"/>
      <c r="GY136" s="569"/>
      <c r="GZ136" s="569"/>
      <c r="HA136" s="569"/>
      <c r="HB136" s="569"/>
      <c r="HC136" s="568"/>
      <c r="HD136" s="569"/>
      <c r="HE136" s="569"/>
      <c r="HF136" s="503"/>
      <c r="HG136" s="633"/>
      <c r="HH136" s="634" t="e">
        <f t="shared" si="420"/>
        <v>#DIV/0!</v>
      </c>
      <c r="HI136" s="633">
        <f t="shared" si="421"/>
        <v>0</v>
      </c>
      <c r="HJ136" s="633" t="e">
        <f t="shared" ca="1" si="422"/>
        <v>#VALUE!</v>
      </c>
      <c r="HK136" s="634" t="e">
        <f t="shared" ca="1" si="423"/>
        <v>#VALUE!</v>
      </c>
      <c r="HL136" s="633"/>
      <c r="HM136" s="633">
        <f t="shared" si="424"/>
        <v>0</v>
      </c>
      <c r="HN136" s="633" t="e">
        <f t="shared" si="425"/>
        <v>#DIV/0!</v>
      </c>
      <c r="HO136" s="633"/>
      <c r="HP136" s="563"/>
      <c r="HQ136" s="47"/>
      <c r="HR136" s="563"/>
      <c r="HS136" s="563">
        <f>SUM(Tableau6[[#This Row],[GO]:[CARRELAGE]])</f>
        <v>0</v>
      </c>
      <c r="HT136" s="461"/>
      <c r="HU136" s="461"/>
      <c r="HV136" s="461"/>
      <c r="HW136" s="461"/>
      <c r="HX136" s="461"/>
      <c r="HY136" s="461"/>
      <c r="HZ136" s="461"/>
      <c r="IA136" s="461"/>
      <c r="IB136" s="461"/>
      <c r="IC136" s="461"/>
      <c r="ID136" s="461"/>
      <c r="IE136" s="461"/>
      <c r="IF136" s="461"/>
      <c r="IG136" s="563"/>
      <c r="IH136" s="563"/>
      <c r="II136" s="563">
        <f>HP136+HR136+Tableau6[[#This Row],[TRAVAUX BATIS]]+Tableau6[[#This Row],[HONORAIRES]]+IH136</f>
        <v>0</v>
      </c>
      <c r="IJ136" s="654">
        <f>Tableau6[[#This Row],[TOTAL PRP HT]]-Tableau6[[#This Row],[PRP TTC HORS FRAFU]]/1.021</f>
        <v>0</v>
      </c>
      <c r="IK136" s="9"/>
      <c r="IL136" s="9"/>
      <c r="IM136" s="9"/>
      <c r="IN136" s="9"/>
      <c r="IO136" s="9"/>
      <c r="IP136" s="9"/>
      <c r="IQ136" s="9"/>
      <c r="IR136" s="9"/>
      <c r="IS136" s="9"/>
      <c r="IT136" s="9"/>
      <c r="IU136" s="9"/>
      <c r="IV136" s="9"/>
    </row>
    <row r="137" spans="1:256 16329:16329" ht="15" customHeight="1">
      <c r="A137" s="43" t="s">
        <v>702</v>
      </c>
      <c r="B137" s="22" t="s">
        <v>17</v>
      </c>
      <c r="C137" s="22" t="s">
        <v>86</v>
      </c>
      <c r="D137" s="22">
        <v>2022</v>
      </c>
      <c r="E137" s="22"/>
      <c r="F137" s="22"/>
      <c r="G137" s="24"/>
      <c r="H137" s="22" t="s">
        <v>279</v>
      </c>
      <c r="I137" s="22"/>
      <c r="J137" s="22" t="s">
        <v>693</v>
      </c>
      <c r="K137" s="81"/>
      <c r="L137" s="82" t="s">
        <v>694</v>
      </c>
      <c r="M137" s="83"/>
      <c r="N137" s="103"/>
      <c r="O137" s="103">
        <f>2581+737+16444</f>
        <v>19762</v>
      </c>
      <c r="P137" s="103"/>
      <c r="Q137" s="103"/>
      <c r="R137" s="103">
        <f t="shared" ref="R137:R152" si="451">P137/AD137</f>
        <v>0</v>
      </c>
      <c r="S137" s="103">
        <f t="shared" ref="S137:S152" si="452">P137/O137</f>
        <v>0</v>
      </c>
      <c r="T137" s="109">
        <f t="shared" ref="T137:T152" si="453">Q137/O137</f>
        <v>0</v>
      </c>
      <c r="U137" s="109" t="e">
        <f t="shared" ref="U137:U152" si="454">Q137/AK137</f>
        <v>#DIV/0!</v>
      </c>
      <c r="V137" s="109">
        <f t="shared" ref="V137:V152" si="455">Q137/AD137</f>
        <v>0</v>
      </c>
      <c r="W137" s="103">
        <f t="shared" ref="W137:W152" si="456">O137/AD137</f>
        <v>329.36666666666667</v>
      </c>
      <c r="X137" s="104"/>
      <c r="Y137" s="447">
        <f t="shared" ref="Y137:Y152" si="457">10000*AD137/O137</f>
        <v>30.361299463617044</v>
      </c>
      <c r="Z137" s="104"/>
      <c r="AA137" s="105"/>
      <c r="AB137" s="105"/>
      <c r="AC137" s="22" t="s">
        <v>10</v>
      </c>
      <c r="AD137" s="427">
        <f t="shared" si="441"/>
        <v>60</v>
      </c>
      <c r="AE137" s="427">
        <f t="shared" ref="AE137:AE155" si="458">AD137-AI137</f>
        <v>60</v>
      </c>
      <c r="AF137" s="32"/>
      <c r="AG137" s="22">
        <v>60</v>
      </c>
      <c r="AH137" s="32"/>
      <c r="AI137" s="598"/>
      <c r="AJ137" s="26"/>
      <c r="AK137" s="222"/>
      <c r="AL137" s="492">
        <f t="shared" si="402"/>
        <v>0</v>
      </c>
      <c r="AM137" s="26">
        <f t="shared" si="403"/>
        <v>0</v>
      </c>
      <c r="AN137" s="26"/>
      <c r="AO137" s="26"/>
      <c r="AP137" s="26"/>
      <c r="AQ137" s="39"/>
      <c r="AR137" s="39"/>
      <c r="AS137" s="39"/>
      <c r="AT137" s="39"/>
      <c r="AU137" s="26"/>
      <c r="AV137" s="37"/>
      <c r="AW137" s="39"/>
      <c r="AX137" s="26"/>
      <c r="AY137" s="25"/>
      <c r="AZ137" s="25"/>
      <c r="BA137" s="22"/>
      <c r="BB137" s="22"/>
      <c r="BC137" s="437" t="e">
        <f t="shared" si="404"/>
        <v>#DIV/0!</v>
      </c>
      <c r="BD137" s="332" t="e">
        <f t="shared" si="405"/>
        <v>#DIV/0!</v>
      </c>
      <c r="BE137" s="334">
        <f t="shared" si="406"/>
        <v>0</v>
      </c>
      <c r="BF137" s="89"/>
      <c r="BG137" s="89"/>
      <c r="BH137" s="89"/>
      <c r="BI137" s="89"/>
      <c r="BJ137" s="548"/>
      <c r="BK137" s="548"/>
      <c r="BL137" s="549"/>
      <c r="BM137" s="547">
        <f t="shared" si="410"/>
        <v>0</v>
      </c>
      <c r="BN137" s="490" t="s">
        <v>229</v>
      </c>
      <c r="BO137" s="77"/>
      <c r="BP137" s="100"/>
      <c r="BQ137" s="536">
        <f t="shared" si="411"/>
        <v>0</v>
      </c>
      <c r="BR137" s="529"/>
      <c r="BS137" s="77"/>
      <c r="BT137" s="77"/>
      <c r="BU137" s="150"/>
      <c r="BV137" s="150">
        <f t="shared" si="442"/>
        <v>1096</v>
      </c>
      <c r="BW137" s="150"/>
      <c r="BX137" s="150" t="str">
        <f>IF(Tableau6[[#This Row],[Montant des loyers perçus avant 1e échéance]]&lt;BW137,"oui","non")</f>
        <v>non</v>
      </c>
      <c r="BY137" s="475">
        <f t="shared" si="412"/>
        <v>-1482.3666666666666</v>
      </c>
      <c r="BZ137" s="373">
        <f t="shared" si="413"/>
        <v>0</v>
      </c>
      <c r="CA137" s="373">
        <f>IF(BW137-BZ137&lt;0,0,Tableau6[[#This Row],[Montant échéance annuelle]]-Tableau6[[#This Row],[Montant des loyers perçus avant 1e échéance]])</f>
        <v>0</v>
      </c>
      <c r="CB137" s="288"/>
      <c r="CC137" s="288"/>
      <c r="CD137" s="288"/>
      <c r="CE137" s="290" t="str">
        <f t="shared" si="414"/>
        <v>0</v>
      </c>
      <c r="CF137" s="288"/>
      <c r="CG137" s="288"/>
      <c r="CH137" s="290" t="str">
        <f t="shared" si="415"/>
        <v>0</v>
      </c>
      <c r="CI137" s="288"/>
      <c r="CJ137" s="288"/>
      <c r="CK137" s="290" t="str">
        <f t="shared" si="416"/>
        <v>0</v>
      </c>
      <c r="CL137" s="288"/>
      <c r="CM137" s="288"/>
      <c r="CN137" s="290" t="str">
        <f t="shared" si="417"/>
        <v>0</v>
      </c>
      <c r="CO137" s="288"/>
      <c r="CP137" s="288"/>
      <c r="CQ137" s="290" t="str">
        <f t="shared" si="418"/>
        <v>0</v>
      </c>
      <c r="CR137" s="237"/>
      <c r="CS137" s="292"/>
      <c r="CT137" s="277"/>
      <c r="CU137" s="278"/>
      <c r="CV137" s="279" t="str">
        <f t="shared" si="407"/>
        <v>0</v>
      </c>
      <c r="CW137" s="277"/>
      <c r="CX137" s="382">
        <v>45109</v>
      </c>
      <c r="CY137" s="231"/>
      <c r="CZ137" s="231">
        <f t="shared" si="382"/>
        <v>1503.6333333333334</v>
      </c>
      <c r="DA137" s="279" t="str">
        <f t="shared" si="426"/>
        <v>0</v>
      </c>
      <c r="DB137" s="383">
        <v>13</v>
      </c>
      <c r="DC137" s="127">
        <f t="shared" si="427"/>
        <v>14</v>
      </c>
      <c r="DD137" s="277"/>
      <c r="DE137" s="282">
        <f t="shared" ca="1" si="428"/>
        <v>43998</v>
      </c>
      <c r="DF137" s="279" t="str">
        <f t="shared" ca="1" si="429"/>
        <v>0</v>
      </c>
      <c r="DG137" s="277"/>
      <c r="DH137" s="295">
        <f t="shared" ca="1" si="397"/>
        <v>43998</v>
      </c>
      <c r="DI137" s="280" t="str">
        <f t="shared" ca="1" si="430"/>
        <v>0</v>
      </c>
      <c r="DJ137" s="281"/>
      <c r="DK137" s="295">
        <f t="shared" ca="1" si="395"/>
        <v>43998</v>
      </c>
      <c r="DL137" s="279" t="str">
        <f t="shared" ca="1" si="431"/>
        <v>0</v>
      </c>
      <c r="DM137" s="282"/>
      <c r="DN137" s="282">
        <f t="shared" ca="1" si="396"/>
        <v>43998</v>
      </c>
      <c r="DO137" s="279" t="str">
        <f t="shared" ca="1" si="432"/>
        <v>0</v>
      </c>
      <c r="DP137" s="283"/>
      <c r="DQ137" s="283"/>
      <c r="DR137" s="279" t="str">
        <f t="shared" si="433"/>
        <v>0</v>
      </c>
      <c r="DS137" s="282"/>
      <c r="DT137" s="282">
        <f t="shared" ca="1" si="434"/>
        <v>43998</v>
      </c>
      <c r="DU137" s="279" t="str">
        <f t="shared" ca="1" si="435"/>
        <v>0</v>
      </c>
      <c r="DV137" s="282"/>
      <c r="DW137" s="282">
        <f t="shared" ca="1" si="436"/>
        <v>43998</v>
      </c>
      <c r="DX137" s="279" t="str">
        <f t="shared" ca="1" si="437"/>
        <v>0</v>
      </c>
      <c r="DY137" s="282"/>
      <c r="DZ137" s="282"/>
      <c r="EA137" s="283"/>
      <c r="EB137" s="410">
        <f t="shared" si="443"/>
        <v>45506</v>
      </c>
      <c r="EC137" s="409">
        <f t="shared" si="419"/>
        <v>45537</v>
      </c>
      <c r="ED137" s="406">
        <f t="shared" si="444"/>
        <v>1.0333333333333334</v>
      </c>
      <c r="EE137" s="505">
        <f t="shared" ca="1" si="438"/>
        <v>51.3</v>
      </c>
      <c r="EF137" s="409">
        <f t="shared" ca="1" si="389"/>
        <v>44728</v>
      </c>
      <c r="EG137" s="457"/>
      <c r="EH137" s="448"/>
      <c r="EI137" s="458">
        <f t="shared" si="380"/>
        <v>45661</v>
      </c>
      <c r="EJ137" s="242"/>
      <c r="EK137" s="456">
        <f t="shared" si="387"/>
        <v>45537</v>
      </c>
      <c r="EL137" s="409">
        <f t="shared" si="383"/>
        <v>45567</v>
      </c>
      <c r="EM137" s="314"/>
      <c r="EN137" s="404">
        <f t="shared" si="384"/>
        <v>1</v>
      </c>
      <c r="EO137" s="394"/>
      <c r="EP137" s="131">
        <f t="shared" si="445"/>
        <v>0</v>
      </c>
      <c r="EQ137" s="60"/>
      <c r="ER137" s="60"/>
      <c r="ES137" s="742"/>
      <c r="ET137" s="300"/>
      <c r="EU137" s="300"/>
      <c r="EV137" s="300"/>
      <c r="EW137" s="300"/>
      <c r="EX137" s="759"/>
      <c r="EY137" s="416" t="e">
        <f t="shared" si="439"/>
        <v>#DIV/0!</v>
      </c>
      <c r="EZ137" s="308"/>
      <c r="FA137" s="297"/>
      <c r="FB137" s="302"/>
      <c r="FC137" s="302"/>
      <c r="FD137" s="89">
        <f t="shared" ca="1" si="388"/>
        <v>44728</v>
      </c>
      <c r="FE137" s="63"/>
      <c r="FF137" s="63"/>
      <c r="FG137" s="63"/>
      <c r="FH137" s="63"/>
      <c r="FI137" s="22"/>
      <c r="FJ137" s="146"/>
      <c r="FK137" s="146">
        <f t="shared" si="381"/>
        <v>45902</v>
      </c>
      <c r="FL137" s="146"/>
      <c r="FM137" s="22"/>
      <c r="FN137" s="22"/>
      <c r="FO137" s="22"/>
      <c r="FP137" s="22"/>
      <c r="FQ137" s="22"/>
      <c r="FR137" s="22"/>
      <c r="FS137" s="22"/>
      <c r="FT137" s="22"/>
      <c r="FU137" s="22"/>
      <c r="FV137" s="22"/>
      <c r="FW137" s="22"/>
      <c r="FX137" s="22"/>
      <c r="FY137" s="22"/>
      <c r="FZ137" s="22"/>
      <c r="GA137" s="451"/>
      <c r="GB137" s="471">
        <f>GD137+GG137+GJ137+HF137+Tableau6[[#This Row],[PRÊT CREDIT D''IMPOT (PM)]]</f>
        <v>0</v>
      </c>
      <c r="GC137" s="645">
        <f t="shared" si="446"/>
        <v>0</v>
      </c>
      <c r="GD137" s="507">
        <f t="shared" ref="GD137:GD163" si="459">GP137+GQ137+GT137+GU137</f>
        <v>0</v>
      </c>
      <c r="GE137" s="20" t="e">
        <f t="shared" si="447"/>
        <v>#DIV/0!</v>
      </c>
      <c r="GF137" s="20">
        <f t="shared" si="440"/>
        <v>0</v>
      </c>
      <c r="GG137" s="503"/>
      <c r="GH137" s="351"/>
      <c r="GI137" s="20">
        <f t="shared" si="409"/>
        <v>0</v>
      </c>
      <c r="GJ137" s="503">
        <f t="shared" si="448"/>
        <v>0</v>
      </c>
      <c r="GK137" s="5">
        <f t="shared" si="408"/>
        <v>0</v>
      </c>
      <c r="GL137" s="44"/>
      <c r="GM137" s="44"/>
      <c r="GN137" s="346">
        <f t="shared" si="449"/>
        <v>0</v>
      </c>
      <c r="GO137" s="35"/>
      <c r="GP137" s="5"/>
      <c r="GQ137" s="45"/>
      <c r="GR137" s="45" t="e">
        <f t="shared" si="450"/>
        <v>#DIV/0!</v>
      </c>
      <c r="GS137" s="35"/>
      <c r="GT137" s="35"/>
      <c r="GU137" s="35"/>
      <c r="GV137" s="20"/>
      <c r="GW137" s="20"/>
      <c r="GX137" s="569"/>
      <c r="GY137" s="569"/>
      <c r="GZ137" s="569"/>
      <c r="HA137" s="569"/>
      <c r="HB137" s="569"/>
      <c r="HC137" s="568"/>
      <c r="HD137" s="569"/>
      <c r="HE137" s="569"/>
      <c r="HF137" s="503"/>
      <c r="HG137" s="633"/>
      <c r="HH137" s="634" t="e">
        <f t="shared" si="420"/>
        <v>#DIV/0!</v>
      </c>
      <c r="HI137" s="633">
        <f t="shared" si="421"/>
        <v>0</v>
      </c>
      <c r="HJ137" s="633" t="e">
        <f t="shared" ca="1" si="422"/>
        <v>#VALUE!</v>
      </c>
      <c r="HK137" s="634" t="e">
        <f t="shared" ca="1" si="423"/>
        <v>#VALUE!</v>
      </c>
      <c r="HL137" s="633"/>
      <c r="HM137" s="633">
        <f t="shared" si="424"/>
        <v>0</v>
      </c>
      <c r="HN137" s="633" t="e">
        <f t="shared" si="425"/>
        <v>#DIV/0!</v>
      </c>
      <c r="HO137" s="633"/>
      <c r="HP137" s="563"/>
      <c r="HQ137" s="47"/>
      <c r="HR137" s="563"/>
      <c r="HS137" s="563">
        <f>SUM(Tableau6[[#This Row],[GO]:[CARRELAGE]])</f>
        <v>0</v>
      </c>
      <c r="HT137" s="461"/>
      <c r="HU137" s="461"/>
      <c r="HV137" s="461"/>
      <c r="HW137" s="461"/>
      <c r="HX137" s="461"/>
      <c r="HY137" s="461"/>
      <c r="HZ137" s="461"/>
      <c r="IA137" s="461"/>
      <c r="IB137" s="461"/>
      <c r="IC137" s="461"/>
      <c r="ID137" s="461"/>
      <c r="IE137" s="461"/>
      <c r="IF137" s="461"/>
      <c r="IG137" s="563"/>
      <c r="IH137" s="563"/>
      <c r="II137" s="563">
        <f>HP137+HR137+Tableau6[[#This Row],[TRAVAUX BATIS]]+Tableau6[[#This Row],[HONORAIRES]]+IH137</f>
        <v>0</v>
      </c>
      <c r="IJ137" s="654">
        <f>Tableau6[[#This Row],[TOTAL PRP HT]]-Tableau6[[#This Row],[PRP TTC HORS FRAFU]]/1.021</f>
        <v>0</v>
      </c>
      <c r="IK137" s="9"/>
      <c r="IL137" s="9"/>
      <c r="IM137" s="9"/>
      <c r="IN137" s="9"/>
      <c r="IO137" s="9"/>
      <c r="IP137" s="9"/>
      <c r="IQ137" s="9"/>
      <c r="IR137" s="9"/>
      <c r="IS137" s="9"/>
      <c r="IT137" s="9"/>
      <c r="IU137" s="9"/>
      <c r="IV137" s="9"/>
    </row>
    <row r="138" spans="1:256 16329:16329" ht="15" customHeight="1">
      <c r="A138" s="621" t="s">
        <v>428</v>
      </c>
      <c r="B138" s="22" t="s">
        <v>21</v>
      </c>
      <c r="C138" s="22" t="s">
        <v>86</v>
      </c>
      <c r="D138" s="22">
        <v>2022</v>
      </c>
      <c r="E138" s="22"/>
      <c r="F138" s="22"/>
      <c r="G138" s="22"/>
      <c r="H138" s="24" t="s">
        <v>279</v>
      </c>
      <c r="I138" s="22"/>
      <c r="J138" s="22" t="s">
        <v>636</v>
      </c>
      <c r="K138" s="134" t="s">
        <v>635</v>
      </c>
      <c r="L138" s="81"/>
      <c r="M138" s="82"/>
      <c r="N138" s="83"/>
      <c r="O138" s="103">
        <v>3115</v>
      </c>
      <c r="P138" s="103"/>
      <c r="Q138" s="103"/>
      <c r="R138" s="103">
        <f t="shared" si="451"/>
        <v>0</v>
      </c>
      <c r="S138" s="103">
        <f t="shared" si="452"/>
        <v>0</v>
      </c>
      <c r="T138" s="109">
        <f t="shared" si="453"/>
        <v>0</v>
      </c>
      <c r="U138" s="109" t="e">
        <f t="shared" si="454"/>
        <v>#DIV/0!</v>
      </c>
      <c r="V138" s="109">
        <f t="shared" si="455"/>
        <v>0</v>
      </c>
      <c r="W138" s="103">
        <f t="shared" si="456"/>
        <v>77.875</v>
      </c>
      <c r="X138" s="104"/>
      <c r="Y138" s="447">
        <f t="shared" si="457"/>
        <v>128.41091492776886</v>
      </c>
      <c r="Z138" s="104" t="s">
        <v>142</v>
      </c>
      <c r="AA138" s="104">
        <v>490</v>
      </c>
      <c r="AB138" s="105">
        <v>0.1</v>
      </c>
      <c r="AC138" s="22" t="s">
        <v>10</v>
      </c>
      <c r="AD138" s="426">
        <f t="shared" si="441"/>
        <v>40</v>
      </c>
      <c r="AE138" s="427">
        <f t="shared" si="458"/>
        <v>40</v>
      </c>
      <c r="AF138" s="32"/>
      <c r="AG138" s="22">
        <v>40</v>
      </c>
      <c r="AH138" s="32"/>
      <c r="AI138" s="32"/>
      <c r="AJ138" s="615"/>
      <c r="AK138" s="222"/>
      <c r="AL138" s="492">
        <f t="shared" si="402"/>
        <v>0</v>
      </c>
      <c r="AM138" s="4">
        <f t="shared" si="403"/>
        <v>0</v>
      </c>
      <c r="AN138" s="26"/>
      <c r="AO138" s="26"/>
      <c r="AP138" s="26"/>
      <c r="AQ138" s="39"/>
      <c r="AR138" s="39"/>
      <c r="AS138" s="39"/>
      <c r="AT138" s="39"/>
      <c r="AU138" s="39"/>
      <c r="AV138" s="26"/>
      <c r="AW138" s="37"/>
      <c r="AX138" s="39"/>
      <c r="AY138" s="26"/>
      <c r="AZ138" s="25"/>
      <c r="BA138" s="22"/>
      <c r="BB138" s="22"/>
      <c r="BC138" s="437" t="e">
        <f t="shared" si="404"/>
        <v>#DIV/0!</v>
      </c>
      <c r="BD138" s="332" t="e">
        <f t="shared" si="405"/>
        <v>#DIV/0!</v>
      </c>
      <c r="BE138" s="334">
        <f t="shared" si="406"/>
        <v>0</v>
      </c>
      <c r="BF138" s="123"/>
      <c r="BG138" s="123"/>
      <c r="BH138" s="89"/>
      <c r="BI138" s="89"/>
      <c r="BJ138" s="548"/>
      <c r="BK138" s="548"/>
      <c r="BL138" s="549"/>
      <c r="BM138" s="547">
        <f t="shared" si="410"/>
        <v>0</v>
      </c>
      <c r="BN138" s="490" t="s">
        <v>229</v>
      </c>
      <c r="BO138" s="77"/>
      <c r="BP138" s="100"/>
      <c r="BQ138" s="536">
        <f t="shared" si="411"/>
        <v>0</v>
      </c>
      <c r="BR138" s="529"/>
      <c r="BS138" s="77"/>
      <c r="BT138" s="77"/>
      <c r="BU138" s="151"/>
      <c r="BV138" s="150">
        <f t="shared" si="442"/>
        <v>1096</v>
      </c>
      <c r="BW138" s="373"/>
      <c r="BX138" s="150" t="str">
        <f>IF(Tableau6[[#This Row],[Montant des loyers perçus avant 1e échéance]]&lt;BW138,"oui","non")</f>
        <v>non</v>
      </c>
      <c r="BY138" s="475">
        <f t="shared" si="412"/>
        <v>-1498.6</v>
      </c>
      <c r="BZ138" s="373">
        <f t="shared" si="413"/>
        <v>0</v>
      </c>
      <c r="CA138" s="373">
        <f>IF(BW138-BZ138&lt;0,0,Tableau6[[#This Row],[Montant échéance annuelle]]-Tableau6[[#This Row],[Montant des loyers perçus avant 1e échéance]])</f>
        <v>0</v>
      </c>
      <c r="CB138" s="286"/>
      <c r="CC138" s="288"/>
      <c r="CD138" s="288"/>
      <c r="CE138" s="290" t="str">
        <f t="shared" si="414"/>
        <v>0</v>
      </c>
      <c r="CF138" s="288"/>
      <c r="CG138" s="288"/>
      <c r="CH138" s="290" t="str">
        <f t="shared" si="415"/>
        <v>0</v>
      </c>
      <c r="CI138" s="288"/>
      <c r="CJ138" s="288"/>
      <c r="CK138" s="290" t="str">
        <f t="shared" si="416"/>
        <v>0</v>
      </c>
      <c r="CL138" s="288"/>
      <c r="CM138" s="288"/>
      <c r="CN138" s="290" t="str">
        <f t="shared" si="417"/>
        <v>0</v>
      </c>
      <c r="CO138" s="288"/>
      <c r="CP138" s="288"/>
      <c r="CQ138" s="290" t="str">
        <f t="shared" si="418"/>
        <v>0</v>
      </c>
      <c r="CR138" s="237"/>
      <c r="CS138" s="292"/>
      <c r="CT138" s="277"/>
      <c r="CU138" s="278"/>
      <c r="CV138" s="279" t="str">
        <f t="shared" si="407"/>
        <v>0</v>
      </c>
      <c r="CW138" s="277"/>
      <c r="CX138" s="382">
        <v>44743</v>
      </c>
      <c r="CY138" s="178"/>
      <c r="CZ138" s="231">
        <f t="shared" si="382"/>
        <v>1491.4333333333334</v>
      </c>
      <c r="DA138" s="279" t="str">
        <f t="shared" si="426"/>
        <v>0</v>
      </c>
      <c r="DB138" s="383">
        <v>39</v>
      </c>
      <c r="DC138" s="127">
        <f t="shared" si="427"/>
        <v>42</v>
      </c>
      <c r="DD138" s="277"/>
      <c r="DE138" s="282">
        <f t="shared" ca="1" si="428"/>
        <v>43998</v>
      </c>
      <c r="DF138" s="279" t="str">
        <f t="shared" ca="1" si="429"/>
        <v>0</v>
      </c>
      <c r="DG138" s="277"/>
      <c r="DH138" s="295">
        <f t="shared" ca="1" si="397"/>
        <v>43998</v>
      </c>
      <c r="DI138" s="280" t="str">
        <f t="shared" ca="1" si="430"/>
        <v>0</v>
      </c>
      <c r="DJ138" s="281"/>
      <c r="DK138" s="295">
        <f t="shared" ca="1" si="395"/>
        <v>43998</v>
      </c>
      <c r="DL138" s="279" t="str">
        <f t="shared" ca="1" si="431"/>
        <v>0</v>
      </c>
      <c r="DM138" s="282">
        <v>43539</v>
      </c>
      <c r="DN138" s="282">
        <f t="shared" ca="1" si="396"/>
        <v>43998</v>
      </c>
      <c r="DO138" s="279">
        <f t="shared" ca="1" si="432"/>
        <v>459</v>
      </c>
      <c r="DP138" s="283"/>
      <c r="DQ138" s="283"/>
      <c r="DR138" s="279" t="str">
        <f t="shared" si="433"/>
        <v>0</v>
      </c>
      <c r="DS138" s="282"/>
      <c r="DT138" s="282">
        <f t="shared" ca="1" si="434"/>
        <v>43998</v>
      </c>
      <c r="DU138" s="279" t="str">
        <f t="shared" ca="1" si="435"/>
        <v>0</v>
      </c>
      <c r="DV138" s="282">
        <v>43616</v>
      </c>
      <c r="DW138" s="282">
        <f t="shared" ca="1" si="436"/>
        <v>43998</v>
      </c>
      <c r="DX138" s="279">
        <f t="shared" ca="1" si="437"/>
        <v>382</v>
      </c>
      <c r="DY138" s="282"/>
      <c r="DZ138" s="282"/>
      <c r="EA138" s="282"/>
      <c r="EB138" s="410">
        <f t="shared" si="443"/>
        <v>45931</v>
      </c>
      <c r="EC138" s="409">
        <f>DATE(YEAR(EB138),MONTH(EB138)+3,DAY(EB138))</f>
        <v>46023</v>
      </c>
      <c r="ED138" s="406">
        <f t="shared" si="444"/>
        <v>3.0666666666666669</v>
      </c>
      <c r="EE138" s="505">
        <f t="shared" ca="1" si="438"/>
        <v>67.5</v>
      </c>
      <c r="EF138" s="409">
        <f t="shared" ca="1" si="389"/>
        <v>44728</v>
      </c>
      <c r="EG138" s="457"/>
      <c r="EH138" s="448"/>
      <c r="EI138" s="458">
        <f t="shared" si="380"/>
        <v>46145</v>
      </c>
      <c r="EJ138" s="242"/>
      <c r="EK138" s="456">
        <f t="shared" si="387"/>
        <v>45962</v>
      </c>
      <c r="EL138" s="409">
        <f t="shared" si="383"/>
        <v>46054</v>
      </c>
      <c r="EM138" s="314"/>
      <c r="EN138" s="404">
        <f t="shared" si="384"/>
        <v>3.0666666666666669</v>
      </c>
      <c r="EO138" s="394"/>
      <c r="EP138" s="131">
        <f t="shared" si="445"/>
        <v>0</v>
      </c>
      <c r="EQ138" s="60"/>
      <c r="ER138" s="60"/>
      <c r="ES138" s="742"/>
      <c r="ET138" s="300"/>
      <c r="EU138" s="300">
        <v>0</v>
      </c>
      <c r="EV138" s="300"/>
      <c r="EW138" s="300"/>
      <c r="EX138" s="415"/>
      <c r="EY138" s="416" t="e">
        <f t="shared" si="439"/>
        <v>#DIV/0!</v>
      </c>
      <c r="EZ138" s="297"/>
      <c r="FA138" s="308"/>
      <c r="FB138" s="302"/>
      <c r="FC138" s="302"/>
      <c r="FD138" s="89">
        <f t="shared" ca="1" si="388"/>
        <v>44728</v>
      </c>
      <c r="FE138" s="63"/>
      <c r="FF138" s="63"/>
      <c r="FG138" s="63"/>
      <c r="FH138" s="63"/>
      <c r="FI138" s="63"/>
      <c r="FJ138" s="22"/>
      <c r="FK138" s="146">
        <f t="shared" si="381"/>
        <v>46388</v>
      </c>
      <c r="FL138" s="146"/>
      <c r="FM138" s="146"/>
      <c r="FN138" s="22"/>
      <c r="FO138" s="22"/>
      <c r="FP138" s="22"/>
      <c r="FQ138" s="22"/>
      <c r="FR138" s="22"/>
      <c r="FS138" s="22"/>
      <c r="FT138" s="22"/>
      <c r="FU138" s="22"/>
      <c r="FV138" s="22"/>
      <c r="FW138" s="22"/>
      <c r="FX138" s="22"/>
      <c r="FY138" s="22"/>
      <c r="FZ138" s="22"/>
      <c r="GA138" s="451"/>
      <c r="GB138" s="471">
        <f>GD138+GG138+GJ138+HF138+Tableau6[[#This Row],[PRÊT CREDIT D''IMPOT (PM)]]</f>
        <v>0</v>
      </c>
      <c r="GC138" s="645">
        <f t="shared" si="446"/>
        <v>0</v>
      </c>
      <c r="GD138" s="507">
        <f t="shared" si="459"/>
        <v>0</v>
      </c>
      <c r="GE138" s="20" t="e">
        <f t="shared" si="447"/>
        <v>#DIV/0!</v>
      </c>
      <c r="GF138" s="20">
        <f t="shared" si="440"/>
        <v>0</v>
      </c>
      <c r="GG138" s="503"/>
      <c r="GH138" s="351"/>
      <c r="GI138" s="20">
        <f t="shared" si="409"/>
        <v>0</v>
      </c>
      <c r="GJ138" s="503">
        <f t="shared" si="448"/>
        <v>0</v>
      </c>
      <c r="GK138" s="5">
        <f t="shared" si="408"/>
        <v>0</v>
      </c>
      <c r="GL138" s="44"/>
      <c r="GM138" s="44"/>
      <c r="GN138" s="346">
        <f t="shared" si="449"/>
        <v>0</v>
      </c>
      <c r="GO138" s="35"/>
      <c r="GP138" s="5"/>
      <c r="GQ138" s="35"/>
      <c r="GR138" s="45" t="e">
        <f t="shared" si="450"/>
        <v>#DIV/0!</v>
      </c>
      <c r="GS138" s="35"/>
      <c r="GT138" s="35"/>
      <c r="GU138" s="35"/>
      <c r="GV138" s="20">
        <f t="shared" ref="GV138:GV143" si="460">GP138/AD138</f>
        <v>0</v>
      </c>
      <c r="GW138" s="20">
        <f t="shared" ref="GW138:GW143" si="461">(GG138+GP138)/AD138</f>
        <v>0</v>
      </c>
      <c r="GX138" s="569"/>
      <c r="GY138" s="569"/>
      <c r="GZ138" s="569" t="e">
        <f>(#REF!+#REF!+GY138)/AD138</f>
        <v>#REF!</v>
      </c>
      <c r="HA138" s="569"/>
      <c r="HB138" s="569">
        <f t="shared" ref="HB138:HB143" si="462">(GG138+GP138+GY138+HA138)/AD138</f>
        <v>0</v>
      </c>
      <c r="HC138" s="568" t="e">
        <f>(GG138+GP138+GY138+HA138)/(GX138+GB138-HD138)</f>
        <v>#DIV/0!</v>
      </c>
      <c r="HD138" s="569"/>
      <c r="HE138" s="569"/>
      <c r="HF138" s="503">
        <f>EU138</f>
        <v>0</v>
      </c>
      <c r="HG138" s="633"/>
      <c r="HH138" s="634" t="e">
        <f t="shared" si="420"/>
        <v>#DIV/0!</v>
      </c>
      <c r="HI138" s="633">
        <f t="shared" si="421"/>
        <v>0</v>
      </c>
      <c r="HJ138" s="633" t="e">
        <f t="shared" ca="1" si="422"/>
        <v>#VALUE!</v>
      </c>
      <c r="HK138" s="634" t="e">
        <f t="shared" ca="1" si="423"/>
        <v>#VALUE!</v>
      </c>
      <c r="HL138" s="633"/>
      <c r="HM138" s="633">
        <f t="shared" si="424"/>
        <v>0</v>
      </c>
      <c r="HN138" s="633" t="e">
        <f t="shared" si="425"/>
        <v>#DIV/0!</v>
      </c>
      <c r="HO138" s="633"/>
      <c r="HP138" s="563"/>
      <c r="HQ138" s="47"/>
      <c r="HR138" s="563"/>
      <c r="HS138" s="563">
        <f>SUM(Tableau6[[#This Row],[GO]:[CARRELAGE]])</f>
        <v>0</v>
      </c>
      <c r="HT138" s="461"/>
      <c r="HU138" s="461"/>
      <c r="HV138" s="461"/>
      <c r="HW138" s="461"/>
      <c r="HX138" s="461"/>
      <c r="HY138" s="461"/>
      <c r="HZ138" s="461"/>
      <c r="IA138" s="461"/>
      <c r="IB138" s="461"/>
      <c r="IC138" s="461"/>
      <c r="ID138" s="461"/>
      <c r="IE138" s="461"/>
      <c r="IF138" s="461"/>
      <c r="IG138" s="563"/>
      <c r="IH138" s="563"/>
      <c r="II138" s="563">
        <f>HP138+HR138+Tableau6[[#This Row],[TRAVAUX BATIS]]+Tableau6[[#This Row],[HONORAIRES]]+IH138</f>
        <v>0</v>
      </c>
      <c r="IJ138" s="654">
        <f>Tableau6[[#This Row],[TOTAL PRP HT]]-Tableau6[[#This Row],[PRP TTC HORS FRAFU]]/1.021</f>
        <v>0</v>
      </c>
      <c r="IK138" s="9"/>
      <c r="IL138" s="9"/>
      <c r="IM138" s="9"/>
      <c r="IN138" s="9"/>
      <c r="IO138" s="9"/>
      <c r="IP138" s="9"/>
      <c r="IQ138" s="9"/>
      <c r="IR138" s="9"/>
      <c r="IS138" s="9"/>
      <c r="IT138" s="9"/>
      <c r="IU138" s="9"/>
      <c r="IV138" s="9"/>
    </row>
    <row r="139" spans="1:256 16329:16329" ht="15" customHeight="1">
      <c r="A139" s="48" t="s">
        <v>628</v>
      </c>
      <c r="B139" s="22" t="s">
        <v>14</v>
      </c>
      <c r="C139" s="22" t="s">
        <v>86</v>
      </c>
      <c r="D139" s="22">
        <v>2022</v>
      </c>
      <c r="E139" s="22"/>
      <c r="F139" s="22"/>
      <c r="G139" s="22"/>
      <c r="H139" s="24" t="s">
        <v>629</v>
      </c>
      <c r="I139" s="22"/>
      <c r="J139" s="22" t="s">
        <v>632</v>
      </c>
      <c r="K139" s="134" t="s">
        <v>630</v>
      </c>
      <c r="L139" s="81" t="s">
        <v>631</v>
      </c>
      <c r="M139" s="82"/>
      <c r="N139" s="83"/>
      <c r="O139" s="103">
        <f>1074+15560+237+7673+7583+10102+145</f>
        <v>42374</v>
      </c>
      <c r="P139" s="103">
        <v>1330000</v>
      </c>
      <c r="Q139" s="103"/>
      <c r="R139" s="103">
        <f t="shared" si="451"/>
        <v>11083.333333333334</v>
      </c>
      <c r="S139" s="103">
        <f t="shared" si="452"/>
        <v>31.387171378675603</v>
      </c>
      <c r="T139" s="109">
        <f t="shared" si="453"/>
        <v>0</v>
      </c>
      <c r="U139" s="109" t="e">
        <f t="shared" si="454"/>
        <v>#DIV/0!</v>
      </c>
      <c r="V139" s="109">
        <f t="shared" si="455"/>
        <v>0</v>
      </c>
      <c r="W139" s="103">
        <f t="shared" si="456"/>
        <v>353.11666666666667</v>
      </c>
      <c r="X139" s="104"/>
      <c r="Y139" s="447">
        <f t="shared" si="457"/>
        <v>28.319252371737385</v>
      </c>
      <c r="Z139" s="104" t="s">
        <v>600</v>
      </c>
      <c r="AA139" s="104"/>
      <c r="AB139" s="105"/>
      <c r="AC139" s="22" t="s">
        <v>10</v>
      </c>
      <c r="AD139" s="426">
        <f t="shared" si="441"/>
        <v>120</v>
      </c>
      <c r="AE139" s="427">
        <f t="shared" si="458"/>
        <v>120</v>
      </c>
      <c r="AF139" s="32"/>
      <c r="AG139" s="22">
        <v>120</v>
      </c>
      <c r="AH139" s="32"/>
      <c r="AI139" s="32"/>
      <c r="AJ139" s="615"/>
      <c r="AK139" s="222"/>
      <c r="AL139" s="492">
        <f t="shared" si="402"/>
        <v>0</v>
      </c>
      <c r="AM139" s="4">
        <f t="shared" si="403"/>
        <v>0</v>
      </c>
      <c r="AN139" s="26"/>
      <c r="AO139" s="26"/>
      <c r="AP139" s="26"/>
      <c r="AQ139" s="39"/>
      <c r="AR139" s="39"/>
      <c r="AS139" s="39"/>
      <c r="AT139" s="39"/>
      <c r="AU139" s="39"/>
      <c r="AV139" s="26"/>
      <c r="AW139" s="37"/>
      <c r="AX139" s="39"/>
      <c r="AY139" s="26"/>
      <c r="AZ139" s="25"/>
      <c r="BA139" s="22"/>
      <c r="BB139" s="22"/>
      <c r="BC139" s="437" t="e">
        <f t="shared" si="404"/>
        <v>#DIV/0!</v>
      </c>
      <c r="BD139" s="332" t="e">
        <f t="shared" si="405"/>
        <v>#DIV/0!</v>
      </c>
      <c r="BE139" s="334">
        <f t="shared" si="406"/>
        <v>0</v>
      </c>
      <c r="BF139" s="123"/>
      <c r="BG139" s="123"/>
      <c r="BH139" s="89"/>
      <c r="BI139" s="89"/>
      <c r="BJ139" s="548"/>
      <c r="BK139" s="548"/>
      <c r="BL139" s="549"/>
      <c r="BM139" s="547">
        <f t="shared" si="410"/>
        <v>0</v>
      </c>
      <c r="BN139" s="490" t="s">
        <v>229</v>
      </c>
      <c r="BO139" s="77"/>
      <c r="BP139" s="100"/>
      <c r="BQ139" s="536">
        <f t="shared" si="411"/>
        <v>0</v>
      </c>
      <c r="BR139" s="529"/>
      <c r="BS139" s="77"/>
      <c r="BT139" s="77"/>
      <c r="BU139" s="151"/>
      <c r="BV139" s="150">
        <f t="shared" si="442"/>
        <v>1096</v>
      </c>
      <c r="BW139" s="373"/>
      <c r="BX139" s="150" t="str">
        <f>IF(Tableau6[[#This Row],[Montant des loyers perçus avant 1e échéance]]&lt;BW139,"oui","non")</f>
        <v>non</v>
      </c>
      <c r="BY139" s="475">
        <f t="shared" si="412"/>
        <v>-1500.5666666666666</v>
      </c>
      <c r="BZ139" s="373">
        <f t="shared" si="413"/>
        <v>0</v>
      </c>
      <c r="CA139" s="373">
        <f>IF(BW139-BZ139&lt;0,0,Tableau6[[#This Row],[Montant échéance annuelle]]-Tableau6[[#This Row],[Montant des loyers perçus avant 1e échéance]])</f>
        <v>0</v>
      </c>
      <c r="CB139" s="286"/>
      <c r="CC139" s="288"/>
      <c r="CD139" s="288"/>
      <c r="CE139" s="290" t="str">
        <f t="shared" si="414"/>
        <v>0</v>
      </c>
      <c r="CF139" s="288"/>
      <c r="CG139" s="288"/>
      <c r="CH139" s="290" t="str">
        <f t="shared" si="415"/>
        <v>0</v>
      </c>
      <c r="CI139" s="288"/>
      <c r="CJ139" s="288"/>
      <c r="CK139" s="290" t="str">
        <f t="shared" si="416"/>
        <v>0</v>
      </c>
      <c r="CL139" s="288"/>
      <c r="CM139" s="288"/>
      <c r="CN139" s="290" t="str">
        <f t="shared" si="417"/>
        <v>0</v>
      </c>
      <c r="CO139" s="288"/>
      <c r="CP139" s="288"/>
      <c r="CQ139" s="290" t="str">
        <f t="shared" si="418"/>
        <v>0</v>
      </c>
      <c r="CR139" s="237"/>
      <c r="CS139" s="292"/>
      <c r="CT139" s="277"/>
      <c r="CU139" s="278"/>
      <c r="CV139" s="279" t="str">
        <f t="shared" si="407"/>
        <v>0</v>
      </c>
      <c r="CW139" s="277"/>
      <c r="CX139" s="382">
        <v>44743</v>
      </c>
      <c r="CY139" s="178"/>
      <c r="CZ139" s="231">
        <f t="shared" si="382"/>
        <v>1491.4333333333334</v>
      </c>
      <c r="DA139" s="279" t="str">
        <f t="shared" si="426"/>
        <v>0</v>
      </c>
      <c r="DB139" s="383">
        <v>41</v>
      </c>
      <c r="DC139" s="127">
        <f t="shared" si="427"/>
        <v>44</v>
      </c>
      <c r="DD139" s="277"/>
      <c r="DE139" s="282">
        <f t="shared" ca="1" si="428"/>
        <v>43998</v>
      </c>
      <c r="DF139" s="279" t="str">
        <f t="shared" ca="1" si="429"/>
        <v>0</v>
      </c>
      <c r="DG139" s="277"/>
      <c r="DH139" s="295">
        <f t="shared" ca="1" si="397"/>
        <v>43998</v>
      </c>
      <c r="DI139" s="280" t="str">
        <f t="shared" ca="1" si="430"/>
        <v>0</v>
      </c>
      <c r="DJ139" s="281"/>
      <c r="DK139" s="295">
        <f t="shared" ca="1" si="395"/>
        <v>43998</v>
      </c>
      <c r="DL139" s="279" t="str">
        <f t="shared" ca="1" si="431"/>
        <v>0</v>
      </c>
      <c r="DM139" s="282"/>
      <c r="DN139" s="282">
        <f t="shared" ca="1" si="396"/>
        <v>43998</v>
      </c>
      <c r="DO139" s="279" t="str">
        <f t="shared" ca="1" si="432"/>
        <v>0</v>
      </c>
      <c r="DP139" s="283"/>
      <c r="DQ139" s="283"/>
      <c r="DR139" s="279" t="str">
        <f t="shared" si="433"/>
        <v>0</v>
      </c>
      <c r="DS139" s="282"/>
      <c r="DT139" s="282">
        <f t="shared" ca="1" si="434"/>
        <v>43998</v>
      </c>
      <c r="DU139" s="279" t="str">
        <f t="shared" ca="1" si="435"/>
        <v>0</v>
      </c>
      <c r="DV139" s="282"/>
      <c r="DW139" s="282">
        <f t="shared" ca="1" si="436"/>
        <v>43998</v>
      </c>
      <c r="DX139" s="279" t="str">
        <f t="shared" ca="1" si="437"/>
        <v>0</v>
      </c>
      <c r="DY139" s="282"/>
      <c r="DZ139" s="282"/>
      <c r="EA139" s="282"/>
      <c r="EB139" s="410">
        <f t="shared" si="443"/>
        <v>45992</v>
      </c>
      <c r="EC139" s="409">
        <f>DATE(YEAR(EB139),MONTH(EB139)+3,DAY(EB139))</f>
        <v>46082</v>
      </c>
      <c r="ED139" s="406">
        <f t="shared" si="444"/>
        <v>3</v>
      </c>
      <c r="EE139" s="505">
        <f t="shared" ca="1" si="438"/>
        <v>69.466666666666669</v>
      </c>
      <c r="EF139" s="409">
        <f t="shared" ca="1" si="389"/>
        <v>44728</v>
      </c>
      <c r="EG139" s="457"/>
      <c r="EH139" s="448"/>
      <c r="EI139" s="458">
        <f t="shared" ref="EI139:EI163" si="463">DATE(YEAR(EC139),MONTH(EC139)+4,DAY(EC139)+2)</f>
        <v>46206</v>
      </c>
      <c r="EJ139" s="242"/>
      <c r="EK139" s="456">
        <f t="shared" si="387"/>
        <v>46023</v>
      </c>
      <c r="EL139" s="409">
        <f t="shared" si="383"/>
        <v>46113</v>
      </c>
      <c r="EM139" s="314"/>
      <c r="EN139" s="404">
        <f t="shared" si="384"/>
        <v>3</v>
      </c>
      <c r="EO139" s="394"/>
      <c r="EP139" s="131">
        <f t="shared" si="445"/>
        <v>0</v>
      </c>
      <c r="EQ139" s="60"/>
      <c r="ER139" s="60"/>
      <c r="ES139" s="742"/>
      <c r="ET139" s="300"/>
      <c r="EU139" s="300"/>
      <c r="EV139" s="300"/>
      <c r="EW139" s="300"/>
      <c r="EX139" s="415"/>
      <c r="EY139" s="416" t="e">
        <f t="shared" si="439"/>
        <v>#DIV/0!</v>
      </c>
      <c r="EZ139" s="297"/>
      <c r="FA139" s="308"/>
      <c r="FB139" s="302"/>
      <c r="FC139" s="302"/>
      <c r="FD139" s="89">
        <f t="shared" ca="1" si="388"/>
        <v>44728</v>
      </c>
      <c r="FE139" s="63"/>
      <c r="FF139" s="63"/>
      <c r="FG139" s="63"/>
      <c r="FH139" s="63"/>
      <c r="FI139" s="63"/>
      <c r="FJ139" s="22"/>
      <c r="FK139" s="146">
        <f t="shared" ref="FK139:FK163" si="464">DATE(YEAR(EC139)+1,MONTH(EC139),DAY(EC139))</f>
        <v>46447</v>
      </c>
      <c r="FL139" s="146"/>
      <c r="FM139" s="146"/>
      <c r="FN139" s="22"/>
      <c r="FO139" s="22"/>
      <c r="FP139" s="22"/>
      <c r="FQ139" s="22"/>
      <c r="FR139" s="22"/>
      <c r="FS139" s="22"/>
      <c r="FT139" s="22"/>
      <c r="FU139" s="22"/>
      <c r="FV139" s="22"/>
      <c r="FW139" s="22"/>
      <c r="FX139" s="22"/>
      <c r="FY139" s="22"/>
      <c r="FZ139" s="22"/>
      <c r="GA139" s="451"/>
      <c r="GB139" s="471">
        <f>GD139+GG139+GJ139+HF139+Tableau6[[#This Row],[PRÊT CREDIT D''IMPOT (PM)]]</f>
        <v>0</v>
      </c>
      <c r="GC139" s="645">
        <f t="shared" si="446"/>
        <v>0</v>
      </c>
      <c r="GD139" s="507">
        <f t="shared" si="459"/>
        <v>0</v>
      </c>
      <c r="GE139" s="20" t="e">
        <f t="shared" si="447"/>
        <v>#DIV/0!</v>
      </c>
      <c r="GF139" s="20">
        <f t="shared" si="440"/>
        <v>0</v>
      </c>
      <c r="GG139" s="503"/>
      <c r="GH139" s="351"/>
      <c r="GI139" s="20">
        <f t="shared" si="409"/>
        <v>0</v>
      </c>
      <c r="GJ139" s="503">
        <f t="shared" si="448"/>
        <v>0</v>
      </c>
      <c r="GK139" s="5">
        <f t="shared" si="408"/>
        <v>0</v>
      </c>
      <c r="GL139" s="44"/>
      <c r="GM139" s="44"/>
      <c r="GN139" s="346">
        <f t="shared" si="449"/>
        <v>0</v>
      </c>
      <c r="GO139" s="35"/>
      <c r="GP139" s="5"/>
      <c r="GQ139" s="35"/>
      <c r="GR139" s="45" t="e">
        <f t="shared" si="450"/>
        <v>#DIV/0!</v>
      </c>
      <c r="GS139" s="35"/>
      <c r="GT139" s="35"/>
      <c r="GU139" s="35"/>
      <c r="GV139" s="20">
        <f t="shared" si="460"/>
        <v>0</v>
      </c>
      <c r="GW139" s="20">
        <f t="shared" si="461"/>
        <v>0</v>
      </c>
      <c r="GX139" s="569"/>
      <c r="GY139" s="569"/>
      <c r="GZ139" s="569" t="e">
        <f>(#REF!+#REF!+GY139)/AD139</f>
        <v>#REF!</v>
      </c>
      <c r="HA139" s="569"/>
      <c r="HB139" s="569">
        <f t="shared" si="462"/>
        <v>0</v>
      </c>
      <c r="HC139" s="568" t="e">
        <f>(GG139+GP139+GY139+HA139)/(GX139+GB139-HD139)</f>
        <v>#DIV/0!</v>
      </c>
      <c r="HD139" s="569"/>
      <c r="HE139" s="569"/>
      <c r="HF139" s="503"/>
      <c r="HG139" s="633"/>
      <c r="HH139" s="634" t="e">
        <f t="shared" si="420"/>
        <v>#DIV/0!</v>
      </c>
      <c r="HI139" s="633">
        <f t="shared" si="421"/>
        <v>0</v>
      </c>
      <c r="HJ139" s="633" t="e">
        <f t="shared" ca="1" si="422"/>
        <v>#VALUE!</v>
      </c>
      <c r="HK139" s="634" t="e">
        <f t="shared" ca="1" si="423"/>
        <v>#VALUE!</v>
      </c>
      <c r="HL139" s="633"/>
      <c r="HM139" s="633">
        <f t="shared" si="424"/>
        <v>0</v>
      </c>
      <c r="HN139" s="633" t="e">
        <f t="shared" si="425"/>
        <v>#DIV/0!</v>
      </c>
      <c r="HO139" s="633"/>
      <c r="HP139" s="563"/>
      <c r="HQ139" s="47"/>
      <c r="HR139" s="563"/>
      <c r="HS139" s="563">
        <f>SUM(Tableau6[[#This Row],[GO]:[CARRELAGE]])</f>
        <v>0</v>
      </c>
      <c r="HT139" s="461"/>
      <c r="HU139" s="461"/>
      <c r="HV139" s="461"/>
      <c r="HW139" s="461"/>
      <c r="HX139" s="461"/>
      <c r="HY139" s="461"/>
      <c r="HZ139" s="461"/>
      <c r="IA139" s="461"/>
      <c r="IB139" s="461"/>
      <c r="IC139" s="461"/>
      <c r="ID139" s="461"/>
      <c r="IE139" s="461"/>
      <c r="IF139" s="461"/>
      <c r="IG139" s="563"/>
      <c r="IH139" s="563"/>
      <c r="II139" s="563">
        <f>HP139+HR139+Tableau6[[#This Row],[TRAVAUX BATIS]]+Tableau6[[#This Row],[HONORAIRES]]+IH139</f>
        <v>0</v>
      </c>
      <c r="IJ139" s="654">
        <f>Tableau6[[#This Row],[TOTAL PRP HT]]-Tableau6[[#This Row],[PRP TTC HORS FRAFU]]/1.021</f>
        <v>0</v>
      </c>
      <c r="IK139" s="9"/>
      <c r="IL139" s="9"/>
      <c r="IM139" s="9"/>
      <c r="IN139" s="9"/>
      <c r="IO139" s="9"/>
      <c r="IP139" s="9"/>
      <c r="IQ139" s="9"/>
      <c r="IR139" s="9"/>
      <c r="IS139" s="9"/>
      <c r="IT139" s="9"/>
      <c r="IU139" s="9"/>
      <c r="IV139" s="9"/>
    </row>
    <row r="140" spans="1:256 16329:16329" ht="15" customHeight="1">
      <c r="A140" s="43" t="s">
        <v>622</v>
      </c>
      <c r="B140" s="22" t="s">
        <v>25</v>
      </c>
      <c r="C140" s="22" t="s">
        <v>88</v>
      </c>
      <c r="D140" s="22">
        <v>2022</v>
      </c>
      <c r="E140" s="22"/>
      <c r="F140" s="22"/>
      <c r="G140" s="22"/>
      <c r="H140" s="24" t="s">
        <v>279</v>
      </c>
      <c r="I140" s="22"/>
      <c r="J140" s="22" t="s">
        <v>409</v>
      </c>
      <c r="K140" s="134" t="s">
        <v>623</v>
      </c>
      <c r="L140" s="81"/>
      <c r="M140" s="82"/>
      <c r="N140" s="83"/>
      <c r="O140" s="103">
        <v>10113</v>
      </c>
      <c r="P140" s="103">
        <v>1097000</v>
      </c>
      <c r="Q140" s="103">
        <f>P140</f>
        <v>1097000</v>
      </c>
      <c r="R140" s="103">
        <f t="shared" si="451"/>
        <v>12465.90909090909</v>
      </c>
      <c r="S140" s="103">
        <f t="shared" si="452"/>
        <v>108.47424107584297</v>
      </c>
      <c r="T140" s="109">
        <f t="shared" si="453"/>
        <v>108.47424107584297</v>
      </c>
      <c r="U140" s="109" t="e">
        <f t="shared" si="454"/>
        <v>#DIV/0!</v>
      </c>
      <c r="V140" s="109">
        <f t="shared" si="455"/>
        <v>12465.90909090909</v>
      </c>
      <c r="W140" s="103">
        <f t="shared" si="456"/>
        <v>114.92045454545455</v>
      </c>
      <c r="X140" s="104"/>
      <c r="Y140" s="447">
        <f t="shared" si="457"/>
        <v>87.016711163848512</v>
      </c>
      <c r="Z140" s="104" t="s">
        <v>142</v>
      </c>
      <c r="AA140" s="104"/>
      <c r="AB140" s="105"/>
      <c r="AC140" s="22" t="s">
        <v>10</v>
      </c>
      <c r="AD140" s="426">
        <f t="shared" si="441"/>
        <v>88</v>
      </c>
      <c r="AE140" s="427">
        <f t="shared" si="458"/>
        <v>88</v>
      </c>
      <c r="AF140" s="32"/>
      <c r="AG140" s="22">
        <v>88</v>
      </c>
      <c r="AH140" s="32"/>
      <c r="AI140" s="22"/>
      <c r="AJ140" s="615"/>
      <c r="AK140" s="222"/>
      <c r="AL140" s="492">
        <f t="shared" si="402"/>
        <v>0</v>
      </c>
      <c r="AM140" s="4">
        <f t="shared" si="403"/>
        <v>0</v>
      </c>
      <c r="AN140" s="26"/>
      <c r="AO140" s="26"/>
      <c r="AP140" s="26"/>
      <c r="AQ140" s="39"/>
      <c r="AR140" s="39"/>
      <c r="AS140" s="39"/>
      <c r="AT140" s="39"/>
      <c r="AU140" s="39"/>
      <c r="AV140" s="26"/>
      <c r="AW140" s="37"/>
      <c r="AX140" s="39"/>
      <c r="AY140" s="26"/>
      <c r="AZ140" s="25"/>
      <c r="BA140" s="22"/>
      <c r="BB140" s="22"/>
      <c r="BC140" s="437" t="e">
        <f t="shared" si="404"/>
        <v>#DIV/0!</v>
      </c>
      <c r="BD140" s="332" t="e">
        <f t="shared" si="405"/>
        <v>#DIV/0!</v>
      </c>
      <c r="BE140" s="334">
        <f t="shared" si="406"/>
        <v>0</v>
      </c>
      <c r="BF140" s="123"/>
      <c r="BG140" s="123"/>
      <c r="BH140" s="89"/>
      <c r="BI140" s="89"/>
      <c r="BJ140" s="548"/>
      <c r="BK140" s="548"/>
      <c r="BL140" s="549"/>
      <c r="BM140" s="547">
        <f t="shared" si="410"/>
        <v>0</v>
      </c>
      <c r="BN140" s="490" t="s">
        <v>229</v>
      </c>
      <c r="BO140" s="77"/>
      <c r="BP140" s="100"/>
      <c r="BQ140" s="536">
        <f t="shared" si="411"/>
        <v>0</v>
      </c>
      <c r="BR140" s="529"/>
      <c r="BS140" s="77"/>
      <c r="BT140" s="77"/>
      <c r="BU140" s="151"/>
      <c r="BV140" s="150">
        <f t="shared" si="442"/>
        <v>1096</v>
      </c>
      <c r="BW140" s="373"/>
      <c r="BX140" s="150" t="str">
        <f>IF(Tableau6[[#This Row],[Montant des loyers perçus avant 1e échéance]]&lt;BW140,"oui","non")</f>
        <v>non</v>
      </c>
      <c r="BY140" s="475">
        <f t="shared" si="412"/>
        <v>-1504.6333333333334</v>
      </c>
      <c r="BZ140" s="373">
        <f t="shared" si="413"/>
        <v>0</v>
      </c>
      <c r="CA140" s="373">
        <f>IF(BW140-BZ140&lt;0,0,Tableau6[[#This Row],[Montant échéance annuelle]]-Tableau6[[#This Row],[Montant des loyers perçus avant 1e échéance]])</f>
        <v>0</v>
      </c>
      <c r="CB140" s="286"/>
      <c r="CC140" s="288"/>
      <c r="CD140" s="288"/>
      <c r="CE140" s="290" t="str">
        <f t="shared" si="414"/>
        <v>0</v>
      </c>
      <c r="CF140" s="288"/>
      <c r="CG140" s="288"/>
      <c r="CH140" s="290" t="str">
        <f t="shared" si="415"/>
        <v>0</v>
      </c>
      <c r="CI140" s="288"/>
      <c r="CJ140" s="288"/>
      <c r="CK140" s="290" t="str">
        <f t="shared" si="416"/>
        <v>0</v>
      </c>
      <c r="CL140" s="288"/>
      <c r="CM140" s="288"/>
      <c r="CN140" s="290" t="str">
        <f t="shared" si="417"/>
        <v>0</v>
      </c>
      <c r="CO140" s="288"/>
      <c r="CP140" s="288"/>
      <c r="CQ140" s="290" t="str">
        <f t="shared" si="418"/>
        <v>0</v>
      </c>
      <c r="CR140" s="237"/>
      <c r="CS140" s="292"/>
      <c r="CT140" s="277"/>
      <c r="CU140" s="278"/>
      <c r="CV140" s="279" t="str">
        <f t="shared" si="407"/>
        <v>0</v>
      </c>
      <c r="CW140" s="277"/>
      <c r="CX140" s="382">
        <v>45108</v>
      </c>
      <c r="CY140" s="178"/>
      <c r="CZ140" s="231">
        <f t="shared" si="382"/>
        <v>1503.6</v>
      </c>
      <c r="DA140" s="279" t="str">
        <f t="shared" si="426"/>
        <v>0</v>
      </c>
      <c r="DB140" s="383">
        <v>33</v>
      </c>
      <c r="DC140" s="127">
        <f t="shared" si="427"/>
        <v>36</v>
      </c>
      <c r="DD140" s="277"/>
      <c r="DE140" s="282">
        <f t="shared" ca="1" si="428"/>
        <v>43998</v>
      </c>
      <c r="DF140" s="279" t="str">
        <f t="shared" ca="1" si="429"/>
        <v>0</v>
      </c>
      <c r="DG140" s="277"/>
      <c r="DH140" s="295">
        <f t="shared" ca="1" si="397"/>
        <v>43998</v>
      </c>
      <c r="DI140" s="280" t="str">
        <f t="shared" ca="1" si="430"/>
        <v>0</v>
      </c>
      <c r="DJ140" s="281"/>
      <c r="DK140" s="295">
        <f t="shared" ca="1" si="395"/>
        <v>43998</v>
      </c>
      <c r="DL140" s="279" t="str">
        <f t="shared" ca="1" si="431"/>
        <v>0</v>
      </c>
      <c r="DM140" s="282">
        <v>43533</v>
      </c>
      <c r="DN140" s="282">
        <f t="shared" ca="1" si="396"/>
        <v>43998</v>
      </c>
      <c r="DO140" s="279">
        <f t="shared" ca="1" si="432"/>
        <v>465</v>
      </c>
      <c r="DP140" s="283"/>
      <c r="DQ140" s="283"/>
      <c r="DR140" s="279" t="str">
        <f t="shared" si="433"/>
        <v>0</v>
      </c>
      <c r="DS140" s="282"/>
      <c r="DT140" s="282">
        <f t="shared" ca="1" si="434"/>
        <v>43998</v>
      </c>
      <c r="DU140" s="279" t="str">
        <f t="shared" ca="1" si="435"/>
        <v>0</v>
      </c>
      <c r="DV140" s="282">
        <v>43610</v>
      </c>
      <c r="DW140" s="282">
        <f t="shared" ca="1" si="436"/>
        <v>43998</v>
      </c>
      <c r="DX140" s="279">
        <f t="shared" ca="1" si="437"/>
        <v>388</v>
      </c>
      <c r="DY140" s="282"/>
      <c r="DZ140" s="282"/>
      <c r="EA140" s="282"/>
      <c r="EB140" s="410">
        <f t="shared" si="443"/>
        <v>46113</v>
      </c>
      <c r="EC140" s="409">
        <f>DATE(YEAR(EB140),MONTH(EB140)+3,DAY(EB140))</f>
        <v>46204</v>
      </c>
      <c r="ED140" s="406">
        <f t="shared" si="444"/>
        <v>3.0333333333333332</v>
      </c>
      <c r="EE140" s="505">
        <f t="shared" ca="1" si="438"/>
        <v>73.533333333333331</v>
      </c>
      <c r="EF140" s="409">
        <f t="shared" ca="1" si="389"/>
        <v>44728</v>
      </c>
      <c r="EG140" s="457"/>
      <c r="EH140" s="448"/>
      <c r="EI140" s="458">
        <f t="shared" si="463"/>
        <v>46329</v>
      </c>
      <c r="EJ140" s="242"/>
      <c r="EK140" s="456">
        <f t="shared" si="387"/>
        <v>46143</v>
      </c>
      <c r="EL140" s="409">
        <f t="shared" si="383"/>
        <v>46235</v>
      </c>
      <c r="EM140" s="314"/>
      <c r="EN140" s="404">
        <f t="shared" si="384"/>
        <v>3.0666666666666669</v>
      </c>
      <c r="EO140" s="394"/>
      <c r="EP140" s="131">
        <f t="shared" si="445"/>
        <v>0</v>
      </c>
      <c r="EQ140" s="60"/>
      <c r="ER140" s="60"/>
      <c r="ES140" s="742"/>
      <c r="ET140" s="300">
        <v>0</v>
      </c>
      <c r="EU140" s="300">
        <v>0</v>
      </c>
      <c r="EV140" s="300"/>
      <c r="EW140" s="300"/>
      <c r="EX140" s="415"/>
      <c r="EY140" s="416" t="e">
        <f t="shared" si="439"/>
        <v>#DIV/0!</v>
      </c>
      <c r="EZ140" s="297"/>
      <c r="FA140" s="308"/>
      <c r="FB140" s="302"/>
      <c r="FC140" s="302"/>
      <c r="FD140" s="89">
        <f t="shared" ca="1" si="388"/>
        <v>44728</v>
      </c>
      <c r="FE140" s="63"/>
      <c r="FF140" s="63"/>
      <c r="FG140" s="63"/>
      <c r="FH140" s="63"/>
      <c r="FI140" s="63"/>
      <c r="FJ140" s="22"/>
      <c r="FK140" s="146">
        <f t="shared" si="464"/>
        <v>46569</v>
      </c>
      <c r="FL140" s="146"/>
      <c r="FM140" s="146"/>
      <c r="FN140" s="22"/>
      <c r="FO140" s="22"/>
      <c r="FP140" s="22"/>
      <c r="FQ140" s="22"/>
      <c r="FR140" s="22"/>
      <c r="FS140" s="22"/>
      <c r="FT140" s="22"/>
      <c r="FU140" s="22"/>
      <c r="FV140" s="22"/>
      <c r="FW140" s="22"/>
      <c r="FX140" s="22"/>
      <c r="FY140" s="22"/>
      <c r="FZ140" s="22"/>
      <c r="GA140" s="451"/>
      <c r="GB140" s="471">
        <f>GD140+GG140+GJ140+HF140+Tableau6[[#This Row],[PRÊT CREDIT D''IMPOT (PM)]]</f>
        <v>0</v>
      </c>
      <c r="GC140" s="645">
        <f t="shared" si="446"/>
        <v>0</v>
      </c>
      <c r="GD140" s="507">
        <f t="shared" si="459"/>
        <v>0</v>
      </c>
      <c r="GE140" s="20" t="e">
        <f t="shared" si="447"/>
        <v>#DIV/0!</v>
      </c>
      <c r="GF140" s="20">
        <f t="shared" si="440"/>
        <v>0</v>
      </c>
      <c r="GG140" s="503"/>
      <c r="GH140" s="351"/>
      <c r="GI140" s="20">
        <f t="shared" si="409"/>
        <v>0</v>
      </c>
      <c r="GJ140" s="503">
        <f t="shared" si="448"/>
        <v>0</v>
      </c>
      <c r="GK140" s="5">
        <f t="shared" si="408"/>
        <v>0</v>
      </c>
      <c r="GL140" s="44"/>
      <c r="GM140" s="44"/>
      <c r="GN140" s="346">
        <f t="shared" si="449"/>
        <v>0</v>
      </c>
      <c r="GO140" s="35"/>
      <c r="GP140" s="5"/>
      <c r="GQ140" s="35"/>
      <c r="GR140" s="45" t="e">
        <f t="shared" si="450"/>
        <v>#DIV/0!</v>
      </c>
      <c r="GS140" s="35"/>
      <c r="GT140" s="35"/>
      <c r="GU140" s="35"/>
      <c r="GV140" s="20">
        <f t="shared" si="460"/>
        <v>0</v>
      </c>
      <c r="GW140" s="20">
        <f t="shared" si="461"/>
        <v>0</v>
      </c>
      <c r="GX140" s="569"/>
      <c r="GY140" s="569"/>
      <c r="GZ140" s="569" t="e">
        <f>(#REF!+#REF!+GY140)/AD140</f>
        <v>#REF!</v>
      </c>
      <c r="HA140" s="569"/>
      <c r="HB140" s="569">
        <f t="shared" si="462"/>
        <v>0</v>
      </c>
      <c r="HC140" s="568" t="e">
        <f>(GG140+GP140+GY140+HA140)/(GX140+GB140-HD140)</f>
        <v>#DIV/0!</v>
      </c>
      <c r="HD140" s="569"/>
      <c r="HE140" s="569"/>
      <c r="HF140" s="503"/>
      <c r="HG140" s="633"/>
      <c r="HH140" s="634" t="e">
        <f t="shared" si="420"/>
        <v>#DIV/0!</v>
      </c>
      <c r="HI140" s="633">
        <f t="shared" si="421"/>
        <v>0</v>
      </c>
      <c r="HJ140" s="633" t="e">
        <f t="shared" ca="1" si="422"/>
        <v>#VALUE!</v>
      </c>
      <c r="HK140" s="634" t="e">
        <f t="shared" ca="1" si="423"/>
        <v>#VALUE!</v>
      </c>
      <c r="HL140" s="633"/>
      <c r="HM140" s="633">
        <f t="shared" si="424"/>
        <v>0</v>
      </c>
      <c r="HN140" s="633" t="e">
        <f t="shared" si="425"/>
        <v>#DIV/0!</v>
      </c>
      <c r="HO140" s="633"/>
      <c r="HP140" s="563"/>
      <c r="HQ140" s="47"/>
      <c r="HR140" s="563"/>
      <c r="HS140" s="563">
        <f>SUM(Tableau6[[#This Row],[GO]:[CARRELAGE]])</f>
        <v>0</v>
      </c>
      <c r="HT140" s="461"/>
      <c r="HU140" s="461"/>
      <c r="HV140" s="461"/>
      <c r="HW140" s="461"/>
      <c r="HX140" s="461"/>
      <c r="HY140" s="461"/>
      <c r="HZ140" s="461"/>
      <c r="IA140" s="461"/>
      <c r="IB140" s="461"/>
      <c r="IC140" s="461"/>
      <c r="ID140" s="461"/>
      <c r="IE140" s="461"/>
      <c r="IF140" s="461"/>
      <c r="IG140" s="563"/>
      <c r="IH140" s="563"/>
      <c r="II140" s="563">
        <f>HP140+HR140+Tableau6[[#This Row],[TRAVAUX BATIS]]+Tableau6[[#This Row],[HONORAIRES]]+IH140</f>
        <v>0</v>
      </c>
      <c r="IJ140" s="654">
        <f>Tableau6[[#This Row],[TOTAL PRP HT]]-Tableau6[[#This Row],[PRP TTC HORS FRAFU]]/1.021</f>
        <v>0</v>
      </c>
      <c r="IK140" s="9"/>
      <c r="IL140" s="9"/>
      <c r="IM140" s="9"/>
      <c r="IN140" s="9"/>
      <c r="IO140" s="9"/>
      <c r="IP140" s="9"/>
      <c r="IQ140" s="9"/>
      <c r="IR140" s="9"/>
      <c r="IS140" s="9"/>
      <c r="IT140" s="9"/>
      <c r="IU140" s="9"/>
      <c r="IV140" s="9"/>
    </row>
    <row r="141" spans="1:256 16329:16329" ht="15" customHeight="1">
      <c r="A141" s="43" t="s">
        <v>430</v>
      </c>
      <c r="B141" s="22" t="s">
        <v>21</v>
      </c>
      <c r="C141" s="22" t="s">
        <v>86</v>
      </c>
      <c r="D141" s="22">
        <v>2022</v>
      </c>
      <c r="E141" s="22"/>
      <c r="F141" s="22"/>
      <c r="G141" s="22"/>
      <c r="H141" s="22" t="s">
        <v>193</v>
      </c>
      <c r="I141" s="22"/>
      <c r="J141" s="22" t="s">
        <v>430</v>
      </c>
      <c r="K141" s="134" t="s">
        <v>641</v>
      </c>
      <c r="L141" s="81"/>
      <c r="M141" s="82"/>
      <c r="N141" s="83"/>
      <c r="O141" s="103">
        <v>2165</v>
      </c>
      <c r="P141" s="103">
        <v>866000</v>
      </c>
      <c r="Q141" s="103"/>
      <c r="R141" s="103">
        <f t="shared" si="451"/>
        <v>14433.333333333334</v>
      </c>
      <c r="S141" s="103">
        <f t="shared" si="452"/>
        <v>400</v>
      </c>
      <c r="T141" s="109">
        <f t="shared" si="453"/>
        <v>0</v>
      </c>
      <c r="U141" s="109" t="e">
        <f t="shared" si="454"/>
        <v>#DIV/0!</v>
      </c>
      <c r="V141" s="109">
        <f t="shared" si="455"/>
        <v>0</v>
      </c>
      <c r="W141" s="103">
        <f t="shared" si="456"/>
        <v>36.083333333333336</v>
      </c>
      <c r="X141" s="104"/>
      <c r="Y141" s="447">
        <f t="shared" si="457"/>
        <v>277.13625866050808</v>
      </c>
      <c r="Z141" s="104" t="s">
        <v>142</v>
      </c>
      <c r="AA141" s="104">
        <v>500</v>
      </c>
      <c r="AB141" s="105">
        <v>0.1</v>
      </c>
      <c r="AC141" s="23" t="s">
        <v>9</v>
      </c>
      <c r="AD141" s="426">
        <f t="shared" si="441"/>
        <v>60</v>
      </c>
      <c r="AE141" s="427">
        <f t="shared" si="458"/>
        <v>60</v>
      </c>
      <c r="AF141" s="22">
        <v>30</v>
      </c>
      <c r="AG141" s="32"/>
      <c r="AH141" s="22">
        <v>30</v>
      </c>
      <c r="AI141" s="32"/>
      <c r="AJ141" s="615"/>
      <c r="AK141" s="222"/>
      <c r="AL141" s="492">
        <f t="shared" si="402"/>
        <v>0</v>
      </c>
      <c r="AM141" s="4">
        <f t="shared" si="403"/>
        <v>0</v>
      </c>
      <c r="AN141" s="26"/>
      <c r="AO141" s="26"/>
      <c r="AP141" s="26"/>
      <c r="AQ141" s="39"/>
      <c r="AR141" s="39"/>
      <c r="AS141" s="39"/>
      <c r="AT141" s="39"/>
      <c r="AU141" s="39"/>
      <c r="AV141" s="26"/>
      <c r="AW141" s="37"/>
      <c r="AX141" s="39"/>
      <c r="AY141" s="26"/>
      <c r="AZ141" s="25"/>
      <c r="BA141" s="22"/>
      <c r="BB141" s="22"/>
      <c r="BC141" s="437" t="e">
        <f t="shared" si="404"/>
        <v>#DIV/0!</v>
      </c>
      <c r="BD141" s="332" t="e">
        <f t="shared" si="405"/>
        <v>#DIV/0!</v>
      </c>
      <c r="BE141" s="334">
        <f t="shared" si="406"/>
        <v>0</v>
      </c>
      <c r="BF141" s="89"/>
      <c r="BG141" s="89"/>
      <c r="BH141" s="22"/>
      <c r="BI141" s="22"/>
      <c r="BJ141" s="548"/>
      <c r="BK141" s="548"/>
      <c r="BL141" s="549"/>
      <c r="BM141" s="547">
        <f t="shared" si="410"/>
        <v>0</v>
      </c>
      <c r="BN141" s="490" t="s">
        <v>229</v>
      </c>
      <c r="BO141" s="77"/>
      <c r="BP141" s="100"/>
      <c r="BQ141" s="536">
        <f t="shared" si="411"/>
        <v>0</v>
      </c>
      <c r="BR141" s="529"/>
      <c r="BS141" s="77"/>
      <c r="BT141" s="77"/>
      <c r="BU141" s="151"/>
      <c r="BV141" s="150">
        <f t="shared" si="442"/>
        <v>1096</v>
      </c>
      <c r="BW141" s="373"/>
      <c r="BX141" s="150" t="str">
        <f>IF(Tableau6[[#This Row],[Montant des loyers perçus avant 1e échéance]]&lt;BW141,"oui","non")</f>
        <v>non</v>
      </c>
      <c r="BY141" s="475">
        <f t="shared" si="412"/>
        <v>-1513.7333333333333</v>
      </c>
      <c r="BZ141" s="373">
        <f t="shared" si="413"/>
        <v>0</v>
      </c>
      <c r="CA141" s="373">
        <f>IF(BW141-BZ141&lt;0,0,Tableau6[[#This Row],[Montant échéance annuelle]]-Tableau6[[#This Row],[Montant des loyers perçus avant 1e échéance]])</f>
        <v>0</v>
      </c>
      <c r="CB141" s="288"/>
      <c r="CC141" s="288"/>
      <c r="CD141" s="288"/>
      <c r="CE141" s="290" t="str">
        <f t="shared" si="414"/>
        <v>0</v>
      </c>
      <c r="CF141" s="288"/>
      <c r="CG141" s="288"/>
      <c r="CH141" s="290" t="str">
        <f t="shared" si="415"/>
        <v>0</v>
      </c>
      <c r="CI141" s="288"/>
      <c r="CJ141" s="288"/>
      <c r="CK141" s="290" t="str">
        <f t="shared" si="416"/>
        <v>0</v>
      </c>
      <c r="CL141" s="288"/>
      <c r="CM141" s="288"/>
      <c r="CN141" s="290" t="str">
        <f t="shared" si="417"/>
        <v>0</v>
      </c>
      <c r="CO141" s="288"/>
      <c r="CP141" s="288"/>
      <c r="CQ141" s="290" t="str">
        <f t="shared" si="418"/>
        <v>0</v>
      </c>
      <c r="CR141" s="237"/>
      <c r="CS141" s="289"/>
      <c r="CT141" s="277"/>
      <c r="CU141" s="278"/>
      <c r="CV141" s="279" t="str">
        <f t="shared" si="407"/>
        <v>0</v>
      </c>
      <c r="CW141" s="277"/>
      <c r="CX141" s="382">
        <v>45108</v>
      </c>
      <c r="CY141" s="178"/>
      <c r="CZ141" s="231">
        <f t="shared" ref="CZ141:CZ163" si="465">(DATEDIF(BK141,CX141,"d"))/30</f>
        <v>1503.6</v>
      </c>
      <c r="DA141" s="279" t="str">
        <f t="shared" si="426"/>
        <v>0</v>
      </c>
      <c r="DB141" s="383">
        <v>42</v>
      </c>
      <c r="DC141" s="127">
        <f t="shared" si="427"/>
        <v>45</v>
      </c>
      <c r="DD141" s="277"/>
      <c r="DE141" s="282">
        <f t="shared" ca="1" si="428"/>
        <v>43998</v>
      </c>
      <c r="DF141" s="279" t="str">
        <f t="shared" ca="1" si="429"/>
        <v>0</v>
      </c>
      <c r="DG141" s="277"/>
      <c r="DH141" s="295">
        <f t="shared" ca="1" si="397"/>
        <v>43998</v>
      </c>
      <c r="DI141" s="280" t="str">
        <f t="shared" ca="1" si="430"/>
        <v>0</v>
      </c>
      <c r="DJ141" s="281"/>
      <c r="DK141" s="295">
        <f t="shared" ca="1" si="395"/>
        <v>43998</v>
      </c>
      <c r="DL141" s="279" t="str">
        <f t="shared" ca="1" si="431"/>
        <v>0</v>
      </c>
      <c r="DM141" s="282">
        <v>43542</v>
      </c>
      <c r="DN141" s="282">
        <f t="shared" ca="1" si="396"/>
        <v>43998</v>
      </c>
      <c r="DO141" s="279">
        <f t="shared" ca="1" si="432"/>
        <v>456</v>
      </c>
      <c r="DP141" s="283"/>
      <c r="DQ141" s="283"/>
      <c r="DR141" s="279" t="str">
        <f t="shared" si="433"/>
        <v>0</v>
      </c>
      <c r="DS141" s="282"/>
      <c r="DT141" s="282">
        <f t="shared" ca="1" si="434"/>
        <v>43998</v>
      </c>
      <c r="DU141" s="279" t="str">
        <f t="shared" ca="1" si="435"/>
        <v>0</v>
      </c>
      <c r="DV141" s="282">
        <v>43619</v>
      </c>
      <c r="DW141" s="282">
        <f t="shared" ca="1" si="436"/>
        <v>43998</v>
      </c>
      <c r="DX141" s="279">
        <f t="shared" ca="1" si="437"/>
        <v>379</v>
      </c>
      <c r="DY141" s="282"/>
      <c r="DZ141" s="282"/>
      <c r="EA141" s="282"/>
      <c r="EB141" s="410">
        <f t="shared" si="443"/>
        <v>46388</v>
      </c>
      <c r="EC141" s="409">
        <f>DATE(YEAR(EB141),MONTH(EB141)+3,DAY(EB141))</f>
        <v>46478</v>
      </c>
      <c r="ED141" s="406">
        <f t="shared" si="444"/>
        <v>3</v>
      </c>
      <c r="EE141" s="505">
        <f t="shared" ca="1" si="438"/>
        <v>82.666666666666671</v>
      </c>
      <c r="EF141" s="409">
        <f t="shared" ca="1" si="389"/>
        <v>44728</v>
      </c>
      <c r="EG141" s="457"/>
      <c r="EH141" s="448"/>
      <c r="EI141" s="458">
        <f t="shared" si="463"/>
        <v>46602</v>
      </c>
      <c r="EJ141" s="242"/>
      <c r="EK141" s="456">
        <f t="shared" si="387"/>
        <v>46419</v>
      </c>
      <c r="EL141" s="409">
        <f t="shared" si="383"/>
        <v>46508</v>
      </c>
      <c r="EM141" s="314"/>
      <c r="EN141" s="404">
        <f t="shared" ref="EN141:EN163" si="466">(EL141-EK141)/30</f>
        <v>2.9666666666666668</v>
      </c>
      <c r="EO141" s="394"/>
      <c r="EP141" s="131">
        <f t="shared" si="445"/>
        <v>0</v>
      </c>
      <c r="EQ141" s="60"/>
      <c r="ER141" s="60"/>
      <c r="ES141" s="742"/>
      <c r="ET141" s="300"/>
      <c r="EU141" s="300">
        <v>0</v>
      </c>
      <c r="EV141" s="300"/>
      <c r="EW141" s="300"/>
      <c r="EX141" s="415"/>
      <c r="EY141" s="416" t="e">
        <f t="shared" si="439"/>
        <v>#DIV/0!</v>
      </c>
      <c r="EZ141" s="297"/>
      <c r="FA141" s="308"/>
      <c r="FB141" s="302"/>
      <c r="FC141" s="302"/>
      <c r="FD141" s="89">
        <f t="shared" ca="1" si="388"/>
        <v>44728</v>
      </c>
      <c r="FE141" s="63"/>
      <c r="FF141" s="63"/>
      <c r="FG141" s="63"/>
      <c r="FH141" s="63"/>
      <c r="FI141" s="63"/>
      <c r="FJ141" s="22"/>
      <c r="FK141" s="146">
        <f t="shared" si="464"/>
        <v>46844</v>
      </c>
      <c r="FL141" s="146"/>
      <c r="FM141" s="146"/>
      <c r="FN141" s="22"/>
      <c r="FO141" s="22"/>
      <c r="FP141" s="22"/>
      <c r="FQ141" s="22"/>
      <c r="FR141" s="22"/>
      <c r="FS141" s="22"/>
      <c r="FT141" s="22"/>
      <c r="FU141" s="22"/>
      <c r="FV141" s="22"/>
      <c r="FW141" s="22"/>
      <c r="FX141" s="22"/>
      <c r="FY141" s="22"/>
      <c r="FZ141" s="22"/>
      <c r="GA141" s="451"/>
      <c r="GB141" s="471">
        <f>GD141+GG141+GJ141+HF141+Tableau6[[#This Row],[PRÊT CREDIT D''IMPOT (PM)]]</f>
        <v>0</v>
      </c>
      <c r="GC141" s="645">
        <f t="shared" si="446"/>
        <v>0</v>
      </c>
      <c r="GD141" s="507">
        <f t="shared" si="459"/>
        <v>0</v>
      </c>
      <c r="GE141" s="20" t="e">
        <f t="shared" si="447"/>
        <v>#DIV/0!</v>
      </c>
      <c r="GF141" s="20">
        <f t="shared" si="440"/>
        <v>0</v>
      </c>
      <c r="GG141" s="503"/>
      <c r="GH141" s="351"/>
      <c r="GI141" s="20">
        <f t="shared" si="409"/>
        <v>0</v>
      </c>
      <c r="GJ141" s="503">
        <f t="shared" si="448"/>
        <v>0</v>
      </c>
      <c r="GK141" s="5">
        <f t="shared" si="408"/>
        <v>0</v>
      </c>
      <c r="GL141" s="44"/>
      <c r="GM141" s="44"/>
      <c r="GN141" s="346">
        <f t="shared" si="449"/>
        <v>0</v>
      </c>
      <c r="GO141" s="35"/>
      <c r="GP141" s="5"/>
      <c r="GQ141" s="35"/>
      <c r="GR141" s="45" t="e">
        <f t="shared" si="450"/>
        <v>#DIV/0!</v>
      </c>
      <c r="GS141" s="35"/>
      <c r="GT141" s="35"/>
      <c r="GU141" s="35"/>
      <c r="GV141" s="20">
        <f t="shared" si="460"/>
        <v>0</v>
      </c>
      <c r="GW141" s="20">
        <f t="shared" si="461"/>
        <v>0</v>
      </c>
      <c r="GX141" s="569"/>
      <c r="GY141" s="569"/>
      <c r="GZ141" s="569" t="e">
        <f>(#REF!+#REF!+GY141)/AD141</f>
        <v>#REF!</v>
      </c>
      <c r="HA141" s="569"/>
      <c r="HB141" s="569">
        <f t="shared" si="462"/>
        <v>0</v>
      </c>
      <c r="HC141" s="568" t="e">
        <f>(#REF!+#REF!+GY141+HA141)/(GX141+#REF!-HD141)</f>
        <v>#REF!</v>
      </c>
      <c r="HD141" s="569"/>
      <c r="HE141" s="569"/>
      <c r="HF141" s="503">
        <f>EU141</f>
        <v>0</v>
      </c>
      <c r="HG141" s="633"/>
      <c r="HH141" s="634" t="e">
        <f t="shared" si="420"/>
        <v>#DIV/0!</v>
      </c>
      <c r="HI141" s="633">
        <f t="shared" si="421"/>
        <v>0</v>
      </c>
      <c r="HJ141" s="633" t="e">
        <f t="shared" ca="1" si="422"/>
        <v>#VALUE!</v>
      </c>
      <c r="HK141" s="634" t="e">
        <f t="shared" ca="1" si="423"/>
        <v>#VALUE!</v>
      </c>
      <c r="HL141" s="633"/>
      <c r="HM141" s="633">
        <f t="shared" si="424"/>
        <v>0</v>
      </c>
      <c r="HN141" s="633" t="e">
        <f t="shared" si="425"/>
        <v>#DIV/0!</v>
      </c>
      <c r="HO141" s="633"/>
      <c r="HP141" s="563"/>
      <c r="HQ141" s="47"/>
      <c r="HR141" s="563"/>
      <c r="HS141" s="563">
        <f>SUM(Tableau6[[#This Row],[GO]:[CARRELAGE]])</f>
        <v>0</v>
      </c>
      <c r="HT141" s="461"/>
      <c r="HU141" s="461"/>
      <c r="HV141" s="461"/>
      <c r="HW141" s="461"/>
      <c r="HX141" s="461"/>
      <c r="HY141" s="461"/>
      <c r="HZ141" s="461"/>
      <c r="IA141" s="461"/>
      <c r="IB141" s="461"/>
      <c r="IC141" s="461"/>
      <c r="ID141" s="461"/>
      <c r="IE141" s="461"/>
      <c r="IF141" s="461"/>
      <c r="IG141" s="563"/>
      <c r="IH141" s="563"/>
      <c r="II141" s="563">
        <f>HP141+HR141+Tableau6[[#This Row],[TRAVAUX BATIS]]+Tableau6[[#This Row],[HONORAIRES]]+IH141</f>
        <v>0</v>
      </c>
      <c r="IJ141" s="654">
        <f>Tableau6[[#This Row],[TOTAL PRP HT]]-Tableau6[[#This Row],[PRP TTC HORS FRAFU]]/1.021</f>
        <v>0</v>
      </c>
      <c r="IK141" s="9"/>
      <c r="IL141" s="9"/>
      <c r="IM141" s="9"/>
      <c r="IN141" s="9"/>
      <c r="IO141" s="9"/>
      <c r="IP141" s="9"/>
      <c r="IQ141" s="9"/>
      <c r="IR141" s="9"/>
      <c r="IS141" s="9"/>
      <c r="IT141" s="9"/>
      <c r="IU141" s="9"/>
      <c r="IV141" s="9"/>
    </row>
    <row r="142" spans="1:256 16329:16329" ht="15" customHeight="1">
      <c r="A142" s="441" t="s">
        <v>642</v>
      </c>
      <c r="B142" s="22" t="s">
        <v>21</v>
      </c>
      <c r="C142" s="22" t="s">
        <v>86</v>
      </c>
      <c r="D142" s="22">
        <v>2022</v>
      </c>
      <c r="E142" s="22"/>
      <c r="F142" s="22"/>
      <c r="G142" s="22"/>
      <c r="H142" s="24"/>
      <c r="I142" s="22"/>
      <c r="J142" s="22" t="s">
        <v>643</v>
      </c>
      <c r="K142" s="134" t="s">
        <v>644</v>
      </c>
      <c r="L142" s="81" t="s">
        <v>639</v>
      </c>
      <c r="M142" s="82"/>
      <c r="N142" s="83"/>
      <c r="O142" s="103">
        <v>45094</v>
      </c>
      <c r="P142" s="103">
        <v>2460000</v>
      </c>
      <c r="Q142" s="103"/>
      <c r="R142" s="103">
        <f t="shared" si="451"/>
        <v>27333.333333333332</v>
      </c>
      <c r="S142" s="103">
        <f t="shared" si="452"/>
        <v>54.552712112476158</v>
      </c>
      <c r="T142" s="109">
        <f t="shared" si="453"/>
        <v>0</v>
      </c>
      <c r="U142" s="109" t="e">
        <f t="shared" si="454"/>
        <v>#DIV/0!</v>
      </c>
      <c r="V142" s="109">
        <f t="shared" si="455"/>
        <v>0</v>
      </c>
      <c r="W142" s="103">
        <f t="shared" si="456"/>
        <v>501.04444444444442</v>
      </c>
      <c r="X142" s="104"/>
      <c r="Y142" s="444">
        <f t="shared" si="457"/>
        <v>19.958309309442498</v>
      </c>
      <c r="Z142" s="104" t="s">
        <v>611</v>
      </c>
      <c r="AA142" s="104">
        <v>1300</v>
      </c>
      <c r="AB142" s="105">
        <v>0.1</v>
      </c>
      <c r="AC142" s="22" t="s">
        <v>10</v>
      </c>
      <c r="AD142" s="426">
        <f t="shared" si="441"/>
        <v>90</v>
      </c>
      <c r="AE142" s="426">
        <f t="shared" si="458"/>
        <v>90</v>
      </c>
      <c r="AF142" s="32"/>
      <c r="AG142" s="22">
        <v>90</v>
      </c>
      <c r="AH142" s="32"/>
      <c r="AI142" s="32"/>
      <c r="AJ142" s="615"/>
      <c r="AK142" s="225"/>
      <c r="AL142" s="492">
        <f t="shared" si="402"/>
        <v>0</v>
      </c>
      <c r="AM142" s="26">
        <f t="shared" si="403"/>
        <v>0</v>
      </c>
      <c r="AN142" s="26"/>
      <c r="AO142" s="26"/>
      <c r="AP142" s="26"/>
      <c r="AQ142" s="39"/>
      <c r="AR142" s="39"/>
      <c r="AS142" s="39"/>
      <c r="AT142" s="39"/>
      <c r="AU142" s="39"/>
      <c r="AV142" s="26"/>
      <c r="AW142" s="37"/>
      <c r="AX142" s="39"/>
      <c r="AY142" s="26"/>
      <c r="AZ142" s="25"/>
      <c r="BA142" s="22"/>
      <c r="BB142" s="22"/>
      <c r="BC142" s="437" t="e">
        <f t="shared" si="404"/>
        <v>#DIV/0!</v>
      </c>
      <c r="BD142" s="332" t="e">
        <f t="shared" si="405"/>
        <v>#DIV/0!</v>
      </c>
      <c r="BE142" s="334">
        <f t="shared" si="406"/>
        <v>0</v>
      </c>
      <c r="BF142" s="123"/>
      <c r="BG142" s="123"/>
      <c r="BH142" s="89"/>
      <c r="BI142" s="89"/>
      <c r="BJ142" s="548"/>
      <c r="BK142" s="548"/>
      <c r="BL142" s="549"/>
      <c r="BM142" s="547">
        <f t="shared" si="410"/>
        <v>0</v>
      </c>
      <c r="BN142" s="490" t="s">
        <v>229</v>
      </c>
      <c r="BO142" s="77"/>
      <c r="BP142" s="100"/>
      <c r="BQ142" s="536">
        <f t="shared" si="411"/>
        <v>0</v>
      </c>
      <c r="BR142" s="529"/>
      <c r="BS142" s="77"/>
      <c r="BT142" s="77"/>
      <c r="BU142" s="151"/>
      <c r="BV142" s="150">
        <f t="shared" si="442"/>
        <v>1096</v>
      </c>
      <c r="BW142" s="373"/>
      <c r="BX142" s="150" t="str">
        <f>IF(Tableau6[[#This Row],[Montant des loyers perçus avant 1e échéance]]&lt;BW142,"oui","non")</f>
        <v>non</v>
      </c>
      <c r="BY142" s="475">
        <f t="shared" si="412"/>
        <v>-1519.8666666666666</v>
      </c>
      <c r="BZ142" s="373">
        <f t="shared" si="413"/>
        <v>0</v>
      </c>
      <c r="CA142" s="373">
        <f>IF(BW142-BZ142&lt;0,0,Tableau6[[#This Row],[Montant échéance annuelle]]-Tableau6[[#This Row],[Montant des loyers perçus avant 1e échéance]])</f>
        <v>0</v>
      </c>
      <c r="CB142" s="286"/>
      <c r="CC142" s="288"/>
      <c r="CD142" s="288"/>
      <c r="CE142" s="290" t="str">
        <f t="shared" si="414"/>
        <v>0</v>
      </c>
      <c r="CF142" s="288"/>
      <c r="CG142" s="288"/>
      <c r="CH142" s="290" t="str">
        <f t="shared" si="415"/>
        <v>0</v>
      </c>
      <c r="CI142" s="288"/>
      <c r="CJ142" s="288"/>
      <c r="CK142" s="290" t="str">
        <f t="shared" si="416"/>
        <v>0</v>
      </c>
      <c r="CL142" s="288"/>
      <c r="CM142" s="288"/>
      <c r="CN142" s="290" t="str">
        <f t="shared" si="417"/>
        <v>0</v>
      </c>
      <c r="CO142" s="288"/>
      <c r="CP142" s="288"/>
      <c r="CQ142" s="290" t="str">
        <f t="shared" si="418"/>
        <v>0</v>
      </c>
      <c r="CR142" s="237"/>
      <c r="CS142" s="292"/>
      <c r="CT142" s="277"/>
      <c r="CU142" s="278"/>
      <c r="CV142" s="279" t="str">
        <f t="shared" si="407"/>
        <v>0</v>
      </c>
      <c r="CW142" s="277"/>
      <c r="CX142" s="581">
        <v>45108</v>
      </c>
      <c r="CY142" s="178"/>
      <c r="CZ142" s="130">
        <f t="shared" si="465"/>
        <v>1503.6</v>
      </c>
      <c r="DA142" s="279" t="str">
        <f t="shared" si="426"/>
        <v>0</v>
      </c>
      <c r="DB142" s="383">
        <v>48</v>
      </c>
      <c r="DC142" s="127">
        <f t="shared" si="427"/>
        <v>51</v>
      </c>
      <c r="DD142" s="277"/>
      <c r="DE142" s="282">
        <f t="shared" ca="1" si="428"/>
        <v>43998</v>
      </c>
      <c r="DF142" s="279" t="str">
        <f t="shared" ca="1" si="429"/>
        <v>0</v>
      </c>
      <c r="DG142" s="277"/>
      <c r="DH142" s="295">
        <f t="shared" ca="1" si="397"/>
        <v>43998</v>
      </c>
      <c r="DI142" s="280" t="str">
        <f t="shared" ca="1" si="430"/>
        <v>0</v>
      </c>
      <c r="DJ142" s="281"/>
      <c r="DK142" s="295">
        <f t="shared" ca="1" si="395"/>
        <v>43998</v>
      </c>
      <c r="DL142" s="279" t="str">
        <f t="shared" ca="1" si="431"/>
        <v>0</v>
      </c>
      <c r="DM142" s="282"/>
      <c r="DN142" s="282">
        <f t="shared" ca="1" si="396"/>
        <v>43998</v>
      </c>
      <c r="DO142" s="279" t="str">
        <f t="shared" ca="1" si="432"/>
        <v>0</v>
      </c>
      <c r="DP142" s="283"/>
      <c r="DQ142" s="283"/>
      <c r="DR142" s="279" t="str">
        <f t="shared" si="433"/>
        <v>0</v>
      </c>
      <c r="DS142" s="282"/>
      <c r="DT142" s="282">
        <f t="shared" ca="1" si="434"/>
        <v>43998</v>
      </c>
      <c r="DU142" s="279" t="str">
        <f t="shared" ca="1" si="435"/>
        <v>0</v>
      </c>
      <c r="DV142" s="282"/>
      <c r="DW142" s="282">
        <f t="shared" ca="1" si="436"/>
        <v>43998</v>
      </c>
      <c r="DX142" s="279" t="str">
        <f t="shared" ca="1" si="437"/>
        <v>0</v>
      </c>
      <c r="DY142" s="282"/>
      <c r="DZ142" s="282"/>
      <c r="EA142" s="282"/>
      <c r="EB142" s="410">
        <f t="shared" si="443"/>
        <v>46569</v>
      </c>
      <c r="EC142" s="409">
        <f>DATE(YEAR(EB142),MONTH(EB142)+3,DAY(EB142))</f>
        <v>46661</v>
      </c>
      <c r="ED142" s="406">
        <f t="shared" si="444"/>
        <v>3.0666666666666669</v>
      </c>
      <c r="EE142" s="505">
        <f t="shared" ca="1" si="438"/>
        <v>88.766666666666666</v>
      </c>
      <c r="EF142" s="409">
        <f t="shared" ca="1" si="389"/>
        <v>44728</v>
      </c>
      <c r="EG142" s="457"/>
      <c r="EH142" s="448"/>
      <c r="EI142" s="458">
        <f t="shared" si="463"/>
        <v>46786</v>
      </c>
      <c r="EJ142" s="242"/>
      <c r="EK142" s="456">
        <f t="shared" ref="EK142:EK163" si="467">DATE(YEAR(EB142),MONTH(EB142)+1,DAY(EB142))</f>
        <v>46600</v>
      </c>
      <c r="EL142" s="409">
        <f t="shared" si="383"/>
        <v>46692</v>
      </c>
      <c r="EM142" s="314"/>
      <c r="EN142" s="404">
        <f t="shared" si="466"/>
        <v>3.0666666666666669</v>
      </c>
      <c r="EO142" s="754"/>
      <c r="EP142" s="131">
        <f t="shared" si="445"/>
        <v>0</v>
      </c>
      <c r="EQ142" s="60"/>
      <c r="ER142" s="60"/>
      <c r="ES142" s="742"/>
      <c r="ET142" s="300"/>
      <c r="EU142" s="300"/>
      <c r="EV142" s="300"/>
      <c r="EW142" s="415"/>
      <c r="EX142" s="300"/>
      <c r="EY142" s="416" t="e">
        <f t="shared" si="439"/>
        <v>#DIV/0!</v>
      </c>
      <c r="EZ142" s="297"/>
      <c r="FA142" s="316"/>
      <c r="FB142" s="302"/>
      <c r="FC142" s="297"/>
      <c r="FD142" s="89">
        <f t="shared" ref="FD142:FD163" ca="1" si="468">DATE(YEAR(DH142),MONTH(DH142)+24,DAY(DH142))</f>
        <v>44728</v>
      </c>
      <c r="FE142" s="63"/>
      <c r="FF142" s="63"/>
      <c r="FG142" s="63"/>
      <c r="FH142" s="63"/>
      <c r="FI142" s="63"/>
      <c r="FJ142" s="22"/>
      <c r="FK142" s="146">
        <f t="shared" si="464"/>
        <v>47027</v>
      </c>
      <c r="FL142" s="146"/>
      <c r="FM142" s="146"/>
      <c r="FN142" s="22"/>
      <c r="FO142" s="22"/>
      <c r="FP142" s="22"/>
      <c r="FQ142" s="22"/>
      <c r="FR142" s="22"/>
      <c r="FS142" s="22"/>
      <c r="FT142" s="22"/>
      <c r="FU142" s="22"/>
      <c r="FV142" s="22"/>
      <c r="FW142" s="22"/>
      <c r="FX142" s="22"/>
      <c r="FY142" s="22"/>
      <c r="FZ142" s="22"/>
      <c r="GA142" s="451"/>
      <c r="GB142" s="471">
        <f>GD142+GG142+GJ142+HF142+Tableau6[[#This Row],[PRÊT CREDIT D''IMPOT (PM)]]</f>
        <v>0</v>
      </c>
      <c r="GC142" s="645">
        <f t="shared" si="446"/>
        <v>0</v>
      </c>
      <c r="GD142" s="507">
        <f t="shared" si="459"/>
        <v>0</v>
      </c>
      <c r="GE142" s="20" t="e">
        <f t="shared" si="447"/>
        <v>#DIV/0!</v>
      </c>
      <c r="GF142" s="20">
        <f t="shared" si="440"/>
        <v>0</v>
      </c>
      <c r="GG142" s="503"/>
      <c r="GH142" s="351"/>
      <c r="GI142" s="20">
        <f t="shared" si="409"/>
        <v>0</v>
      </c>
      <c r="GJ142" s="503">
        <f t="shared" si="448"/>
        <v>0</v>
      </c>
      <c r="GK142" s="5">
        <f t="shared" si="408"/>
        <v>0</v>
      </c>
      <c r="GL142" s="44"/>
      <c r="GM142" s="44"/>
      <c r="GN142" s="346">
        <f t="shared" si="449"/>
        <v>0</v>
      </c>
      <c r="GO142" s="35"/>
      <c r="GP142" s="5"/>
      <c r="GQ142" s="35"/>
      <c r="GR142" s="45" t="e">
        <f t="shared" si="450"/>
        <v>#DIV/0!</v>
      </c>
      <c r="GS142" s="35"/>
      <c r="GT142" s="35"/>
      <c r="GU142" s="35"/>
      <c r="GV142" s="20">
        <f t="shared" si="460"/>
        <v>0</v>
      </c>
      <c r="GW142" s="20">
        <f t="shared" si="461"/>
        <v>0</v>
      </c>
      <c r="GX142" s="569"/>
      <c r="GY142" s="569"/>
      <c r="GZ142" s="569" t="e">
        <f>(#REF!+#REF!+GY142)/AD142</f>
        <v>#REF!</v>
      </c>
      <c r="HA142" s="569"/>
      <c r="HB142" s="569">
        <f t="shared" si="462"/>
        <v>0</v>
      </c>
      <c r="HC142" s="568" t="e">
        <f>(GG142+GP142+GY142+HA142)/(GX142+GB142-HD142)</f>
        <v>#DIV/0!</v>
      </c>
      <c r="HD142" s="569"/>
      <c r="HE142" s="569"/>
      <c r="HF142" s="503"/>
      <c r="HG142" s="633"/>
      <c r="HH142" s="634" t="e">
        <f t="shared" si="420"/>
        <v>#DIV/0!</v>
      </c>
      <c r="HI142" s="633">
        <f t="shared" si="421"/>
        <v>0</v>
      </c>
      <c r="HJ142" s="633" t="e">
        <f t="shared" ca="1" si="422"/>
        <v>#VALUE!</v>
      </c>
      <c r="HK142" s="634" t="e">
        <f t="shared" ca="1" si="423"/>
        <v>#VALUE!</v>
      </c>
      <c r="HL142" s="633"/>
      <c r="HM142" s="633">
        <f t="shared" si="424"/>
        <v>0</v>
      </c>
      <c r="HN142" s="633" t="e">
        <f t="shared" si="425"/>
        <v>#DIV/0!</v>
      </c>
      <c r="HO142" s="633"/>
      <c r="HP142" s="563"/>
      <c r="HQ142" s="47"/>
      <c r="HR142" s="563"/>
      <c r="HS142" s="563">
        <f>SUM(Tableau6[[#This Row],[GO]:[CARRELAGE]])</f>
        <v>0</v>
      </c>
      <c r="HT142" s="461"/>
      <c r="HU142" s="461"/>
      <c r="HV142" s="461"/>
      <c r="HW142" s="461"/>
      <c r="HX142" s="461"/>
      <c r="HY142" s="461"/>
      <c r="HZ142" s="461"/>
      <c r="IA142" s="461"/>
      <c r="IB142" s="461"/>
      <c r="IC142" s="461"/>
      <c r="ID142" s="461"/>
      <c r="IE142" s="461"/>
      <c r="IF142" s="461"/>
      <c r="IG142" s="563"/>
      <c r="IH142" s="563"/>
      <c r="II142" s="563">
        <f>HP142+HR142+Tableau6[[#This Row],[TRAVAUX BATIS]]+Tableau6[[#This Row],[HONORAIRES]]+IH142</f>
        <v>0</v>
      </c>
      <c r="IJ142" s="654">
        <f>Tableau6[[#This Row],[TOTAL PRP HT]]-Tableau6[[#This Row],[PRP TTC HORS FRAFU]]/1.021</f>
        <v>0</v>
      </c>
      <c r="IK142" s="9"/>
      <c r="IL142" s="9"/>
      <c r="IM142" s="9"/>
      <c r="IN142" s="9"/>
      <c r="IO142" s="9"/>
      <c r="IP142" s="9"/>
      <c r="IQ142" s="9"/>
      <c r="IR142" s="9"/>
      <c r="IS142" s="9"/>
      <c r="IT142" s="9"/>
      <c r="IU142" s="9"/>
      <c r="IV142" s="9"/>
      <c r="XDA142" s="48"/>
    </row>
    <row r="143" spans="1:256 16329:16329" ht="15" customHeight="1">
      <c r="A143" s="777" t="s">
        <v>423</v>
      </c>
      <c r="B143" s="22" t="s">
        <v>58</v>
      </c>
      <c r="C143" s="22" t="s">
        <v>88</v>
      </c>
      <c r="D143" s="22">
        <v>2024</v>
      </c>
      <c r="E143" s="22"/>
      <c r="F143" s="22"/>
      <c r="G143" s="22"/>
      <c r="H143" s="22" t="s">
        <v>279</v>
      </c>
      <c r="I143" s="22"/>
      <c r="J143" s="22" t="s">
        <v>424</v>
      </c>
      <c r="K143" s="134" t="s">
        <v>624</v>
      </c>
      <c r="L143" s="81" t="s">
        <v>425</v>
      </c>
      <c r="M143" s="82"/>
      <c r="N143" s="83"/>
      <c r="O143" s="103">
        <f>1707+1545</f>
        <v>3252</v>
      </c>
      <c r="P143" s="103">
        <v>567840</v>
      </c>
      <c r="Q143" s="103">
        <v>567840</v>
      </c>
      <c r="R143" s="103">
        <f t="shared" si="451"/>
        <v>37856</v>
      </c>
      <c r="S143" s="103">
        <f t="shared" si="452"/>
        <v>174.61254612546125</v>
      </c>
      <c r="T143" s="109">
        <f t="shared" si="453"/>
        <v>174.61254612546125</v>
      </c>
      <c r="U143" s="109" t="e">
        <f t="shared" si="454"/>
        <v>#DIV/0!</v>
      </c>
      <c r="V143" s="109">
        <f t="shared" si="455"/>
        <v>37856</v>
      </c>
      <c r="W143" s="103">
        <f t="shared" si="456"/>
        <v>216.8</v>
      </c>
      <c r="X143" s="104"/>
      <c r="Y143" s="447">
        <f t="shared" si="457"/>
        <v>46.125461254612546</v>
      </c>
      <c r="Z143" s="104"/>
      <c r="AA143" s="104"/>
      <c r="AB143" s="105"/>
      <c r="AC143" s="23" t="s">
        <v>10</v>
      </c>
      <c r="AD143" s="426">
        <f t="shared" si="441"/>
        <v>15</v>
      </c>
      <c r="AE143" s="427">
        <f t="shared" si="458"/>
        <v>15</v>
      </c>
      <c r="AF143" s="32"/>
      <c r="AG143" s="22">
        <v>15</v>
      </c>
      <c r="AH143" s="32"/>
      <c r="AI143" s="32"/>
      <c r="AJ143" s="615"/>
      <c r="AK143" s="222"/>
      <c r="AL143" s="492">
        <f t="shared" si="402"/>
        <v>0</v>
      </c>
      <c r="AM143" s="4">
        <f t="shared" si="403"/>
        <v>0</v>
      </c>
      <c r="AN143" s="26"/>
      <c r="AO143" s="26"/>
      <c r="AP143" s="26"/>
      <c r="AQ143" s="39"/>
      <c r="AR143" s="39"/>
      <c r="AS143" s="39"/>
      <c r="AT143" s="39"/>
      <c r="AU143" s="39"/>
      <c r="AV143" s="26"/>
      <c r="AW143" s="37"/>
      <c r="AX143" s="39"/>
      <c r="AY143" s="26"/>
      <c r="AZ143" s="25"/>
      <c r="BA143" s="22"/>
      <c r="BB143" s="22"/>
      <c r="BC143" s="437" t="e">
        <f t="shared" si="404"/>
        <v>#DIV/0!</v>
      </c>
      <c r="BD143" s="332" t="e">
        <f t="shared" si="405"/>
        <v>#DIV/0!</v>
      </c>
      <c r="BE143" s="334">
        <f t="shared" si="406"/>
        <v>0</v>
      </c>
      <c r="BF143" s="89"/>
      <c r="BG143" s="89"/>
      <c r="BH143" s="89"/>
      <c r="BI143" s="89"/>
      <c r="BJ143" s="548"/>
      <c r="BK143" s="548"/>
      <c r="BL143" s="549"/>
      <c r="BM143" s="547">
        <f t="shared" si="410"/>
        <v>0</v>
      </c>
      <c r="BN143" s="490" t="s">
        <v>229</v>
      </c>
      <c r="BO143" s="77"/>
      <c r="BP143" s="100"/>
      <c r="BQ143" s="536">
        <f t="shared" si="411"/>
        <v>0</v>
      </c>
      <c r="BR143" s="529"/>
      <c r="BS143" s="77"/>
      <c r="BT143" s="77"/>
      <c r="BU143" s="151"/>
      <c r="BV143" s="150">
        <f t="shared" si="442"/>
        <v>1096</v>
      </c>
      <c r="BW143" s="373"/>
      <c r="BX143" s="150" t="str">
        <f>IF(Tableau6[[#This Row],[Montant des loyers perçus avant 1e échéance]]&lt;BW143,"oui","non")</f>
        <v>non</v>
      </c>
      <c r="BY143" s="475">
        <f t="shared" si="412"/>
        <v>-1487.3666666666666</v>
      </c>
      <c r="BZ143" s="373">
        <f t="shared" si="413"/>
        <v>0</v>
      </c>
      <c r="CA143" s="373">
        <f>IF(BW143-BZ143&lt;0,0,Tableau6[[#This Row],[Montant échéance annuelle]]-Tableau6[[#This Row],[Montant des loyers perçus avant 1e échéance]])</f>
        <v>0</v>
      </c>
      <c r="CB143" s="288"/>
      <c r="CC143" s="288"/>
      <c r="CD143" s="288"/>
      <c r="CE143" s="290" t="str">
        <f t="shared" si="414"/>
        <v>0</v>
      </c>
      <c r="CF143" s="288"/>
      <c r="CG143" s="288"/>
      <c r="CH143" s="290" t="str">
        <f t="shared" si="415"/>
        <v>0</v>
      </c>
      <c r="CI143" s="288"/>
      <c r="CJ143" s="288"/>
      <c r="CK143" s="290" t="str">
        <f t="shared" si="416"/>
        <v>0</v>
      </c>
      <c r="CL143" s="288"/>
      <c r="CM143" s="288"/>
      <c r="CN143" s="290" t="str">
        <f t="shared" si="417"/>
        <v>0</v>
      </c>
      <c r="CO143" s="288"/>
      <c r="CP143" s="288"/>
      <c r="CQ143" s="290" t="str">
        <f t="shared" si="418"/>
        <v>0</v>
      </c>
      <c r="CR143" s="237"/>
      <c r="CS143" s="292"/>
      <c r="CT143" s="277"/>
      <c r="CU143" s="278"/>
      <c r="CV143" s="279" t="str">
        <f t="shared" si="407"/>
        <v>0</v>
      </c>
      <c r="CW143" s="277"/>
      <c r="CX143" s="382">
        <v>45108</v>
      </c>
      <c r="CY143" s="178"/>
      <c r="CZ143" s="231">
        <f t="shared" si="465"/>
        <v>1503.6</v>
      </c>
      <c r="DA143" s="279" t="str">
        <f t="shared" si="426"/>
        <v>0</v>
      </c>
      <c r="DB143" s="383">
        <v>18</v>
      </c>
      <c r="DC143" s="127">
        <f t="shared" si="427"/>
        <v>19</v>
      </c>
      <c r="DD143" s="277"/>
      <c r="DE143" s="282">
        <f t="shared" ca="1" si="428"/>
        <v>43998</v>
      </c>
      <c r="DF143" s="279" t="str">
        <f t="shared" ca="1" si="429"/>
        <v>0</v>
      </c>
      <c r="DG143" s="277"/>
      <c r="DH143" s="295">
        <f t="shared" ca="1" si="397"/>
        <v>43998</v>
      </c>
      <c r="DI143" s="280" t="str">
        <f t="shared" ca="1" si="430"/>
        <v>0</v>
      </c>
      <c r="DJ143" s="281"/>
      <c r="DK143" s="295">
        <f t="shared" ca="1" si="395"/>
        <v>43998</v>
      </c>
      <c r="DL143" s="279" t="str">
        <f t="shared" ca="1" si="431"/>
        <v>0</v>
      </c>
      <c r="DM143" s="282"/>
      <c r="DN143" s="282">
        <f t="shared" ca="1" si="396"/>
        <v>43998</v>
      </c>
      <c r="DO143" s="279" t="str">
        <f t="shared" ca="1" si="432"/>
        <v>0</v>
      </c>
      <c r="DP143" s="283"/>
      <c r="DQ143" s="283"/>
      <c r="DR143" s="279" t="str">
        <f t="shared" si="433"/>
        <v>0</v>
      </c>
      <c r="DS143" s="282"/>
      <c r="DT143" s="282">
        <f t="shared" ca="1" si="434"/>
        <v>43998</v>
      </c>
      <c r="DU143" s="279" t="str">
        <f t="shared" ca="1" si="435"/>
        <v>0</v>
      </c>
      <c r="DV143" s="282"/>
      <c r="DW143" s="282">
        <f t="shared" ca="1" si="436"/>
        <v>43998</v>
      </c>
      <c r="DX143" s="279" t="str">
        <f t="shared" ca="1" si="437"/>
        <v>0</v>
      </c>
      <c r="DY143" s="282"/>
      <c r="DZ143" s="282"/>
      <c r="EA143" s="283"/>
      <c r="EB143" s="410">
        <f t="shared" si="443"/>
        <v>45658</v>
      </c>
      <c r="EC143" s="409">
        <f t="shared" ref="EC143:EC163" si="469">DATE(YEAR(EB143),MONTH(EB143)+1,DAY(EB143))</f>
        <v>45689</v>
      </c>
      <c r="ED143" s="406">
        <f t="shared" si="444"/>
        <v>1.0333333333333334</v>
      </c>
      <c r="EE143" s="505">
        <f t="shared" ca="1" si="438"/>
        <v>56.366666666666667</v>
      </c>
      <c r="EF143" s="409">
        <f t="shared" ca="1" si="389"/>
        <v>44728</v>
      </c>
      <c r="EG143" s="457"/>
      <c r="EH143" s="448"/>
      <c r="EI143" s="458">
        <f t="shared" si="463"/>
        <v>45811</v>
      </c>
      <c r="EJ143" s="242"/>
      <c r="EK143" s="456">
        <f t="shared" si="467"/>
        <v>45689</v>
      </c>
      <c r="EL143" s="409">
        <f t="shared" si="383"/>
        <v>45717</v>
      </c>
      <c r="EM143" s="314"/>
      <c r="EN143" s="404">
        <f t="shared" si="466"/>
        <v>0.93333333333333335</v>
      </c>
      <c r="EO143" s="390"/>
      <c r="EP143" s="131">
        <f t="shared" si="445"/>
        <v>0</v>
      </c>
      <c r="EQ143" s="60"/>
      <c r="ER143" s="60"/>
      <c r="ES143" s="742"/>
      <c r="ET143" s="300"/>
      <c r="EU143" s="300"/>
      <c r="EV143" s="300"/>
      <c r="EW143" s="300"/>
      <c r="EX143" s="415"/>
      <c r="EY143" s="416" t="e">
        <f t="shared" si="439"/>
        <v>#DIV/0!</v>
      </c>
      <c r="EZ143" s="297"/>
      <c r="FA143" s="308"/>
      <c r="FB143" s="302"/>
      <c r="FC143" s="302"/>
      <c r="FD143" s="89">
        <f t="shared" ca="1" si="468"/>
        <v>44728</v>
      </c>
      <c r="FE143" s="63"/>
      <c r="FF143" s="63"/>
      <c r="FG143" s="63"/>
      <c r="FH143" s="63"/>
      <c r="FI143" s="63"/>
      <c r="FJ143" s="22"/>
      <c r="FK143" s="146">
        <f t="shared" si="464"/>
        <v>46054</v>
      </c>
      <c r="FL143" s="146"/>
      <c r="FM143" s="146"/>
      <c r="FN143" s="22"/>
      <c r="FO143" s="22"/>
      <c r="FP143" s="22"/>
      <c r="FQ143" s="22"/>
      <c r="FR143" s="22"/>
      <c r="FS143" s="22"/>
      <c r="FT143" s="22"/>
      <c r="FU143" s="22"/>
      <c r="FV143" s="22"/>
      <c r="FW143" s="22"/>
      <c r="FX143" s="22"/>
      <c r="FY143" s="22"/>
      <c r="FZ143" s="22"/>
      <c r="GA143" s="451"/>
      <c r="GB143" s="471">
        <f>GD143+GG143+GJ143+HF143+Tableau6[[#This Row],[PRÊT CREDIT D''IMPOT (PM)]]</f>
        <v>0</v>
      </c>
      <c r="GC143" s="645">
        <f t="shared" si="446"/>
        <v>0</v>
      </c>
      <c r="GD143" s="507">
        <f t="shared" si="459"/>
        <v>0</v>
      </c>
      <c r="GE143" s="20" t="e">
        <f t="shared" si="447"/>
        <v>#DIV/0!</v>
      </c>
      <c r="GF143" s="20">
        <f t="shared" si="440"/>
        <v>0</v>
      </c>
      <c r="GG143" s="503"/>
      <c r="GH143" s="351"/>
      <c r="GI143" s="20">
        <f t="shared" si="409"/>
        <v>0</v>
      </c>
      <c r="GJ143" s="503">
        <f t="shared" si="448"/>
        <v>0</v>
      </c>
      <c r="GK143" s="5">
        <f t="shared" si="408"/>
        <v>0</v>
      </c>
      <c r="GL143" s="44"/>
      <c r="GM143" s="44"/>
      <c r="GN143" s="346">
        <f t="shared" si="449"/>
        <v>0</v>
      </c>
      <c r="GO143" s="35"/>
      <c r="GP143" s="5"/>
      <c r="GQ143" s="35"/>
      <c r="GR143" s="45" t="e">
        <f t="shared" si="450"/>
        <v>#DIV/0!</v>
      </c>
      <c r="GS143" s="35"/>
      <c r="GT143" s="35"/>
      <c r="GU143" s="35"/>
      <c r="GV143" s="20">
        <f t="shared" si="460"/>
        <v>0</v>
      </c>
      <c r="GW143" s="20">
        <f t="shared" si="461"/>
        <v>0</v>
      </c>
      <c r="GX143" s="569"/>
      <c r="GY143" s="569"/>
      <c r="GZ143" s="569" t="e">
        <f>(#REF!+#REF!+GY143)/AD143</f>
        <v>#REF!</v>
      </c>
      <c r="HA143" s="569"/>
      <c r="HB143" s="569">
        <f t="shared" si="462"/>
        <v>0</v>
      </c>
      <c r="HC143" s="568" t="e">
        <f>(GG143+GP143+GY143+HA143)/(GX143+GB143-HD143)</f>
        <v>#DIV/0!</v>
      </c>
      <c r="HD143" s="569"/>
      <c r="HE143" s="569"/>
      <c r="HF143" s="503"/>
      <c r="HG143" s="633"/>
      <c r="HH143" s="634" t="e">
        <f t="shared" si="420"/>
        <v>#DIV/0!</v>
      </c>
      <c r="HI143" s="633">
        <f t="shared" si="421"/>
        <v>0</v>
      </c>
      <c r="HJ143" s="633" t="e">
        <f t="shared" ca="1" si="422"/>
        <v>#VALUE!</v>
      </c>
      <c r="HK143" s="634" t="e">
        <f t="shared" ca="1" si="423"/>
        <v>#VALUE!</v>
      </c>
      <c r="HL143" s="633"/>
      <c r="HM143" s="633">
        <f t="shared" si="424"/>
        <v>0</v>
      </c>
      <c r="HN143" s="633" t="e">
        <f t="shared" si="425"/>
        <v>#DIV/0!</v>
      </c>
      <c r="HO143" s="633"/>
      <c r="HP143" s="563"/>
      <c r="HQ143" s="47"/>
      <c r="HR143" s="563"/>
      <c r="HS143" s="563">
        <f>SUM(Tableau6[[#This Row],[GO]:[CARRELAGE]])</f>
        <v>0</v>
      </c>
      <c r="HT143" s="461"/>
      <c r="HU143" s="461"/>
      <c r="HV143" s="461"/>
      <c r="HW143" s="461"/>
      <c r="HX143" s="461"/>
      <c r="HY143" s="461"/>
      <c r="HZ143" s="461"/>
      <c r="IA143" s="461"/>
      <c r="IB143" s="461"/>
      <c r="IC143" s="461"/>
      <c r="ID143" s="461"/>
      <c r="IE143" s="461"/>
      <c r="IF143" s="461"/>
      <c r="IG143" s="563"/>
      <c r="IH143" s="563"/>
      <c r="II143" s="563">
        <f>HP143+HR143+Tableau6[[#This Row],[TRAVAUX BATIS]]+Tableau6[[#This Row],[HONORAIRES]]+IH143</f>
        <v>0</v>
      </c>
      <c r="IJ143" s="654">
        <f>Tableau6[[#This Row],[TOTAL PRP HT]]-Tableau6[[#This Row],[PRP TTC HORS FRAFU]]/1.021</f>
        <v>0</v>
      </c>
      <c r="IK143" s="9"/>
      <c r="IL143" s="9"/>
      <c r="IM143" s="9"/>
      <c r="IN143" s="9"/>
      <c r="IO143" s="9"/>
      <c r="IP143" s="9"/>
      <c r="IQ143" s="9"/>
      <c r="IR143" s="9"/>
      <c r="IS143" s="9"/>
      <c r="IT143" s="9"/>
      <c r="IU143" s="9"/>
      <c r="IV143" s="9"/>
    </row>
    <row r="144" spans="1:256 16329:16329" ht="15" customHeight="1">
      <c r="A144" s="43" t="s">
        <v>709</v>
      </c>
      <c r="B144" s="22" t="s">
        <v>21</v>
      </c>
      <c r="C144" s="22" t="s">
        <v>86</v>
      </c>
      <c r="D144" s="22">
        <v>2024</v>
      </c>
      <c r="E144" s="22"/>
      <c r="F144" s="22"/>
      <c r="G144" s="22"/>
      <c r="H144" s="22"/>
      <c r="I144" s="22"/>
      <c r="J144" s="22" t="s">
        <v>709</v>
      </c>
      <c r="K144" s="134"/>
      <c r="L144" s="81"/>
      <c r="M144" s="82"/>
      <c r="N144" s="83"/>
      <c r="O144" s="103">
        <v>5375</v>
      </c>
      <c r="P144" s="103"/>
      <c r="Q144" s="103"/>
      <c r="R144" s="103">
        <f t="shared" si="451"/>
        <v>0</v>
      </c>
      <c r="S144" s="103">
        <f t="shared" si="452"/>
        <v>0</v>
      </c>
      <c r="T144" s="109">
        <f t="shared" si="453"/>
        <v>0</v>
      </c>
      <c r="U144" s="109" t="e">
        <f t="shared" si="454"/>
        <v>#DIV/0!</v>
      </c>
      <c r="V144" s="109">
        <f t="shared" si="455"/>
        <v>0</v>
      </c>
      <c r="W144" s="103">
        <f t="shared" si="456"/>
        <v>111.97916666666667</v>
      </c>
      <c r="X144" s="104"/>
      <c r="Y144" s="447">
        <f t="shared" si="457"/>
        <v>89.302325581395351</v>
      </c>
      <c r="Z144" s="104"/>
      <c r="AA144" s="104">
        <v>580</v>
      </c>
      <c r="AB144" s="105">
        <v>0.15</v>
      </c>
      <c r="AC144" s="23" t="s">
        <v>10</v>
      </c>
      <c r="AD144" s="426">
        <f t="shared" si="441"/>
        <v>48</v>
      </c>
      <c r="AE144" s="427">
        <f t="shared" si="458"/>
        <v>48</v>
      </c>
      <c r="AF144" s="22">
        <v>48</v>
      </c>
      <c r="AG144" s="32"/>
      <c r="AH144" s="32"/>
      <c r="AI144" s="32"/>
      <c r="AJ144" s="615"/>
      <c r="AK144" s="222"/>
      <c r="AL144" s="492">
        <f t="shared" si="402"/>
        <v>0</v>
      </c>
      <c r="AM144" s="4">
        <f t="shared" si="403"/>
        <v>0</v>
      </c>
      <c r="AN144" s="26"/>
      <c r="AO144" s="26"/>
      <c r="AP144" s="26"/>
      <c r="AQ144" s="39"/>
      <c r="AR144" s="39"/>
      <c r="AS144" s="39"/>
      <c r="AT144" s="39"/>
      <c r="AU144" s="39"/>
      <c r="AV144" s="26"/>
      <c r="AW144" s="37"/>
      <c r="AX144" s="39"/>
      <c r="AY144" s="26"/>
      <c r="AZ144" s="25"/>
      <c r="BA144" s="22"/>
      <c r="BB144" s="22"/>
      <c r="BC144" s="437" t="e">
        <f t="shared" si="404"/>
        <v>#DIV/0!</v>
      </c>
      <c r="BD144" s="332" t="e">
        <f t="shared" si="405"/>
        <v>#DIV/0!</v>
      </c>
      <c r="BE144" s="334">
        <f t="shared" si="406"/>
        <v>0</v>
      </c>
      <c r="BF144" s="89"/>
      <c r="BG144" s="89"/>
      <c r="BH144" s="22"/>
      <c r="BI144" s="22"/>
      <c r="BJ144" s="548"/>
      <c r="BK144" s="548"/>
      <c r="BL144" s="549"/>
      <c r="BM144" s="547">
        <f t="shared" si="410"/>
        <v>0</v>
      </c>
      <c r="BN144" s="490" t="s">
        <v>229</v>
      </c>
      <c r="BO144" s="77"/>
      <c r="BP144" s="100"/>
      <c r="BQ144" s="536">
        <f t="shared" si="411"/>
        <v>0</v>
      </c>
      <c r="BR144" s="529"/>
      <c r="BS144" s="77"/>
      <c r="BT144" s="77"/>
      <c r="BU144" s="151"/>
      <c r="BV144" s="150">
        <f t="shared" si="442"/>
        <v>1096</v>
      </c>
      <c r="BW144" s="373"/>
      <c r="BX144" s="150" t="str">
        <f>IF(Tableau6[[#This Row],[Montant des loyers perçus avant 1e échéance]]&lt;BW144,"oui","non")</f>
        <v>non</v>
      </c>
      <c r="BY144" s="475">
        <f t="shared" si="412"/>
        <v>-1487.9333333333334</v>
      </c>
      <c r="BZ144" s="373">
        <f t="shared" si="413"/>
        <v>0</v>
      </c>
      <c r="CA144" s="373">
        <f>IF(BW144-BZ144&lt;0,0,Tableau6[[#This Row],[Montant échéance annuelle]]-Tableau6[[#This Row],[Montant des loyers perçus avant 1e échéance]])</f>
        <v>0</v>
      </c>
      <c r="CB144" s="288"/>
      <c r="CC144" s="288"/>
      <c r="CD144" s="288"/>
      <c r="CE144" s="290" t="str">
        <f t="shared" si="414"/>
        <v>0</v>
      </c>
      <c r="CF144" s="288"/>
      <c r="CG144" s="288"/>
      <c r="CH144" s="290" t="str">
        <f t="shared" si="415"/>
        <v>0</v>
      </c>
      <c r="CI144" s="288"/>
      <c r="CJ144" s="288"/>
      <c r="CK144" s="290" t="str">
        <f t="shared" si="416"/>
        <v>0</v>
      </c>
      <c r="CL144" s="288"/>
      <c r="CM144" s="288"/>
      <c r="CN144" s="290" t="str">
        <f t="shared" si="417"/>
        <v>0</v>
      </c>
      <c r="CO144" s="288"/>
      <c r="CP144" s="288"/>
      <c r="CQ144" s="290" t="str">
        <f t="shared" si="418"/>
        <v>0</v>
      </c>
      <c r="CR144" s="237"/>
      <c r="CS144" s="292"/>
      <c r="CT144" s="277"/>
      <c r="CU144" s="278"/>
      <c r="CV144" s="279" t="str">
        <f t="shared" si="407"/>
        <v>0</v>
      </c>
      <c r="CW144" s="277"/>
      <c r="CX144" s="382">
        <v>45125</v>
      </c>
      <c r="CY144" s="178"/>
      <c r="CZ144" s="231">
        <f t="shared" si="465"/>
        <v>1504.1666666666667</v>
      </c>
      <c r="DA144" s="279" t="str">
        <f t="shared" si="426"/>
        <v>0</v>
      </c>
      <c r="DB144" s="383">
        <v>18</v>
      </c>
      <c r="DC144" s="127">
        <f t="shared" si="427"/>
        <v>19</v>
      </c>
      <c r="DD144" s="277"/>
      <c r="DE144" s="282">
        <f t="shared" ca="1" si="428"/>
        <v>43998</v>
      </c>
      <c r="DF144" s="279" t="str">
        <f t="shared" ca="1" si="429"/>
        <v>0</v>
      </c>
      <c r="DG144" s="277"/>
      <c r="DH144" s="295">
        <f t="shared" ca="1" si="397"/>
        <v>43998</v>
      </c>
      <c r="DI144" s="280" t="str">
        <f t="shared" ca="1" si="430"/>
        <v>0</v>
      </c>
      <c r="DJ144" s="281"/>
      <c r="DK144" s="295">
        <f t="shared" ca="1" si="395"/>
        <v>43998</v>
      </c>
      <c r="DL144" s="279" t="str">
        <f t="shared" ca="1" si="431"/>
        <v>0</v>
      </c>
      <c r="DM144" s="282"/>
      <c r="DN144" s="282">
        <f t="shared" ca="1" si="396"/>
        <v>43998</v>
      </c>
      <c r="DO144" s="279" t="str">
        <f t="shared" ca="1" si="432"/>
        <v>0</v>
      </c>
      <c r="DP144" s="283"/>
      <c r="DQ144" s="283"/>
      <c r="DR144" s="279" t="str">
        <f t="shared" si="433"/>
        <v>0</v>
      </c>
      <c r="DS144" s="282"/>
      <c r="DT144" s="282">
        <f t="shared" ca="1" si="434"/>
        <v>43998</v>
      </c>
      <c r="DU144" s="279" t="str">
        <f t="shared" ca="1" si="435"/>
        <v>0</v>
      </c>
      <c r="DV144" s="282"/>
      <c r="DW144" s="282">
        <f t="shared" ca="1" si="436"/>
        <v>43998</v>
      </c>
      <c r="DX144" s="279" t="str">
        <f t="shared" ca="1" si="437"/>
        <v>0</v>
      </c>
      <c r="DY144" s="282"/>
      <c r="DZ144" s="282"/>
      <c r="EA144" s="283"/>
      <c r="EB144" s="410">
        <f t="shared" si="443"/>
        <v>45675</v>
      </c>
      <c r="EC144" s="409">
        <f t="shared" si="469"/>
        <v>45706</v>
      </c>
      <c r="ED144" s="406">
        <f t="shared" si="444"/>
        <v>1.0333333333333334</v>
      </c>
      <c r="EE144" s="505">
        <f t="shared" ca="1" si="438"/>
        <v>56.93333333333333</v>
      </c>
      <c r="EF144" s="409">
        <f t="shared" ca="1" si="389"/>
        <v>44728</v>
      </c>
      <c r="EG144" s="457"/>
      <c r="EH144" s="448"/>
      <c r="EI144" s="458">
        <f t="shared" si="463"/>
        <v>45828</v>
      </c>
      <c r="EJ144" s="242"/>
      <c r="EK144" s="456">
        <f t="shared" si="467"/>
        <v>45706</v>
      </c>
      <c r="EL144" s="409">
        <f t="shared" si="383"/>
        <v>45734</v>
      </c>
      <c r="EM144" s="314"/>
      <c r="EN144" s="404">
        <f t="shared" si="466"/>
        <v>0.93333333333333335</v>
      </c>
      <c r="EO144" s="394"/>
      <c r="EP144" s="131">
        <f t="shared" si="445"/>
        <v>0</v>
      </c>
      <c r="EQ144" s="60"/>
      <c r="ER144" s="60"/>
      <c r="ES144" s="742"/>
      <c r="ET144" s="300"/>
      <c r="EU144" s="300"/>
      <c r="EV144" s="300"/>
      <c r="EW144" s="300"/>
      <c r="EX144" s="415"/>
      <c r="EY144" s="416" t="e">
        <f t="shared" si="439"/>
        <v>#DIV/0!</v>
      </c>
      <c r="EZ144" s="297"/>
      <c r="FA144" s="308"/>
      <c r="FB144" s="302"/>
      <c r="FC144" s="302"/>
      <c r="FD144" s="89">
        <f t="shared" ca="1" si="468"/>
        <v>44728</v>
      </c>
      <c r="FE144" s="63"/>
      <c r="FF144" s="63"/>
      <c r="FG144" s="63"/>
      <c r="FH144" s="63"/>
      <c r="FI144" s="63"/>
      <c r="FJ144" s="22"/>
      <c r="FK144" s="146">
        <f t="shared" si="464"/>
        <v>46071</v>
      </c>
      <c r="FL144" s="146"/>
      <c r="FM144" s="146"/>
      <c r="FN144" s="22"/>
      <c r="FO144" s="22"/>
      <c r="FP144" s="22"/>
      <c r="FQ144" s="22"/>
      <c r="FR144" s="22"/>
      <c r="FS144" s="22"/>
      <c r="FT144" s="22"/>
      <c r="FU144" s="22"/>
      <c r="FV144" s="22"/>
      <c r="FW144" s="22"/>
      <c r="FX144" s="22"/>
      <c r="FY144" s="22"/>
      <c r="FZ144" s="22"/>
      <c r="GA144" s="451"/>
      <c r="GB144" s="471">
        <f>GD144+GG144+GJ144+HF144+Tableau6[[#This Row],[PRÊT CREDIT D''IMPOT (PM)]]</f>
        <v>0</v>
      </c>
      <c r="GC144" s="645">
        <f t="shared" si="446"/>
        <v>0</v>
      </c>
      <c r="GD144" s="507">
        <f t="shared" si="459"/>
        <v>0</v>
      </c>
      <c r="GE144" s="20" t="e">
        <f t="shared" si="447"/>
        <v>#DIV/0!</v>
      </c>
      <c r="GF144" s="20">
        <f t="shared" si="440"/>
        <v>0</v>
      </c>
      <c r="GG144" s="503"/>
      <c r="GH144" s="351"/>
      <c r="GI144" s="20">
        <f t="shared" si="409"/>
        <v>0</v>
      </c>
      <c r="GJ144" s="503">
        <f t="shared" si="448"/>
        <v>0</v>
      </c>
      <c r="GK144" s="5">
        <f t="shared" si="408"/>
        <v>0</v>
      </c>
      <c r="GL144" s="44"/>
      <c r="GM144" s="44"/>
      <c r="GN144" s="346">
        <f t="shared" si="449"/>
        <v>0</v>
      </c>
      <c r="GO144" s="35"/>
      <c r="GP144" s="5"/>
      <c r="GQ144" s="35"/>
      <c r="GR144" s="45" t="e">
        <f t="shared" si="450"/>
        <v>#DIV/0!</v>
      </c>
      <c r="GS144" s="35"/>
      <c r="GT144" s="35"/>
      <c r="GU144" s="35"/>
      <c r="GV144" s="20"/>
      <c r="GW144" s="20"/>
      <c r="GX144" s="569"/>
      <c r="GY144" s="569"/>
      <c r="GZ144" s="569"/>
      <c r="HA144" s="569"/>
      <c r="HB144" s="569"/>
      <c r="HC144" s="568"/>
      <c r="HD144" s="569"/>
      <c r="HE144" s="569"/>
      <c r="HF144" s="503"/>
      <c r="HG144" s="633"/>
      <c r="HH144" s="634" t="e">
        <f t="shared" si="420"/>
        <v>#DIV/0!</v>
      </c>
      <c r="HI144" s="633">
        <f t="shared" si="421"/>
        <v>0</v>
      </c>
      <c r="HJ144" s="633" t="e">
        <f t="shared" ca="1" si="422"/>
        <v>#VALUE!</v>
      </c>
      <c r="HK144" s="634" t="e">
        <f t="shared" ca="1" si="423"/>
        <v>#VALUE!</v>
      </c>
      <c r="HL144" s="633"/>
      <c r="HM144" s="633">
        <f t="shared" si="424"/>
        <v>0</v>
      </c>
      <c r="HN144" s="633" t="e">
        <f t="shared" si="425"/>
        <v>#DIV/0!</v>
      </c>
      <c r="HO144" s="633"/>
      <c r="HP144" s="563"/>
      <c r="HQ144" s="47"/>
      <c r="HR144" s="563"/>
      <c r="HS144" s="563">
        <f>SUM(Tableau6[[#This Row],[GO]:[CARRELAGE]])</f>
        <v>0</v>
      </c>
      <c r="HT144" s="461"/>
      <c r="HU144" s="461"/>
      <c r="HV144" s="461"/>
      <c r="HW144" s="461"/>
      <c r="HX144" s="461"/>
      <c r="HY144" s="461"/>
      <c r="HZ144" s="461"/>
      <c r="IA144" s="461"/>
      <c r="IB144" s="461"/>
      <c r="IC144" s="461"/>
      <c r="ID144" s="461"/>
      <c r="IE144" s="461"/>
      <c r="IF144" s="461"/>
      <c r="IG144" s="563"/>
      <c r="IH144" s="563"/>
      <c r="II144" s="563">
        <f>HP144+HR144+Tableau6[[#This Row],[TRAVAUX BATIS]]+Tableau6[[#This Row],[HONORAIRES]]+IH144</f>
        <v>0</v>
      </c>
      <c r="IJ144" s="654">
        <f>Tableau6[[#This Row],[TOTAL PRP HT]]-Tableau6[[#This Row],[PRP TTC HORS FRAFU]]/1.021</f>
        <v>0</v>
      </c>
      <c r="IK144" s="9"/>
      <c r="IL144" s="9"/>
      <c r="IM144" s="9"/>
      <c r="IN144" s="9"/>
      <c r="IO144" s="9"/>
      <c r="IP144" s="9"/>
      <c r="IQ144" s="9"/>
      <c r="IR144" s="9"/>
      <c r="IS144" s="9"/>
      <c r="IT144" s="9"/>
      <c r="IU144" s="9"/>
      <c r="IV144" s="9"/>
    </row>
    <row r="145" spans="1:256" ht="15" customHeight="1">
      <c r="A145" s="43" t="s">
        <v>276</v>
      </c>
      <c r="B145" s="22" t="s">
        <v>21</v>
      </c>
      <c r="C145" s="22" t="s">
        <v>86</v>
      </c>
      <c r="D145" s="22" t="s">
        <v>626</v>
      </c>
      <c r="E145" s="22"/>
      <c r="F145" s="22"/>
      <c r="G145" s="22"/>
      <c r="H145" s="22" t="s">
        <v>179</v>
      </c>
      <c r="I145" s="22"/>
      <c r="J145" s="22" t="s">
        <v>633</v>
      </c>
      <c r="K145" s="134" t="s">
        <v>634</v>
      </c>
      <c r="L145" s="81"/>
      <c r="M145" s="82"/>
      <c r="N145" s="103"/>
      <c r="O145" s="103">
        <v>12700</v>
      </c>
      <c r="P145" s="103">
        <v>787400</v>
      </c>
      <c r="Q145" s="103"/>
      <c r="R145" s="103">
        <f t="shared" si="451"/>
        <v>13123.333333333334</v>
      </c>
      <c r="S145" s="103">
        <f t="shared" si="452"/>
        <v>62</v>
      </c>
      <c r="T145" s="109">
        <f t="shared" si="453"/>
        <v>0</v>
      </c>
      <c r="U145" s="109" t="e">
        <f t="shared" si="454"/>
        <v>#DIV/0!</v>
      </c>
      <c r="V145" s="109">
        <f t="shared" si="455"/>
        <v>0</v>
      </c>
      <c r="W145" s="103">
        <f t="shared" si="456"/>
        <v>211.66666666666666</v>
      </c>
      <c r="X145" s="104"/>
      <c r="Y145" s="444">
        <f t="shared" si="457"/>
        <v>47.244094488188978</v>
      </c>
      <c r="Z145" s="104" t="s">
        <v>611</v>
      </c>
      <c r="AA145" s="104"/>
      <c r="AB145" s="105"/>
      <c r="AC145" s="22" t="s">
        <v>10</v>
      </c>
      <c r="AD145" s="426">
        <f t="shared" si="441"/>
        <v>60</v>
      </c>
      <c r="AE145" s="427">
        <f t="shared" si="458"/>
        <v>60</v>
      </c>
      <c r="AF145" s="32"/>
      <c r="AG145" s="22">
        <v>60</v>
      </c>
      <c r="AH145" s="32"/>
      <c r="AI145" s="32"/>
      <c r="AJ145" s="614"/>
      <c r="AK145" s="222"/>
      <c r="AL145" s="492">
        <f t="shared" si="402"/>
        <v>0</v>
      </c>
      <c r="AM145" s="4">
        <f t="shared" si="403"/>
        <v>0</v>
      </c>
      <c r="AN145" s="26"/>
      <c r="AO145" s="26"/>
      <c r="AP145" s="26"/>
      <c r="AQ145" s="39"/>
      <c r="AR145" s="39"/>
      <c r="AS145" s="39"/>
      <c r="AT145" s="39"/>
      <c r="AU145" s="39"/>
      <c r="AV145" s="26"/>
      <c r="AW145" s="37"/>
      <c r="AX145" s="39"/>
      <c r="AY145" s="26"/>
      <c r="AZ145" s="25"/>
      <c r="BA145" s="22"/>
      <c r="BB145" s="22"/>
      <c r="BC145" s="437" t="e">
        <f t="shared" si="404"/>
        <v>#DIV/0!</v>
      </c>
      <c r="BD145" s="332" t="e">
        <f t="shared" si="405"/>
        <v>#DIV/0!</v>
      </c>
      <c r="BE145" s="334">
        <f t="shared" si="406"/>
        <v>0</v>
      </c>
      <c r="BF145" s="122"/>
      <c r="BG145" s="122"/>
      <c r="BH145" s="22"/>
      <c r="BI145" s="22"/>
      <c r="BJ145" s="548"/>
      <c r="BK145" s="548"/>
      <c r="BL145" s="549"/>
      <c r="BM145" s="547">
        <f t="shared" si="410"/>
        <v>0</v>
      </c>
      <c r="BN145" s="490" t="s">
        <v>229</v>
      </c>
      <c r="BO145" s="77"/>
      <c r="BP145" s="100"/>
      <c r="BQ145" s="536">
        <f t="shared" si="411"/>
        <v>0</v>
      </c>
      <c r="BR145" s="529"/>
      <c r="BS145" s="77"/>
      <c r="BT145" s="77"/>
      <c r="BU145" s="151"/>
      <c r="BV145" s="150">
        <f t="shared" si="442"/>
        <v>1096</v>
      </c>
      <c r="BW145" s="373"/>
      <c r="BX145" s="150" t="str">
        <f>IF(Tableau6[[#This Row],[Montant des loyers perçus avant 1e échéance]]&lt;BW145,"oui","non")</f>
        <v>non</v>
      </c>
      <c r="BY145" s="475">
        <f t="shared" si="412"/>
        <v>-1487.3666666666666</v>
      </c>
      <c r="BZ145" s="373">
        <f t="shared" si="413"/>
        <v>0</v>
      </c>
      <c r="CA145" s="373">
        <f>IF(BW145-BZ145&lt;0,0,Tableau6[[#This Row],[Montant échéance annuelle]]-Tableau6[[#This Row],[Montant des loyers perçus avant 1e échéance]])</f>
        <v>0</v>
      </c>
      <c r="CB145" s="286"/>
      <c r="CC145" s="287"/>
      <c r="CD145" s="288"/>
      <c r="CE145" s="290" t="str">
        <f t="shared" si="414"/>
        <v>0</v>
      </c>
      <c r="CF145" s="288"/>
      <c r="CG145" s="288"/>
      <c r="CH145" s="290" t="str">
        <f t="shared" si="415"/>
        <v>0</v>
      </c>
      <c r="CI145" s="288"/>
      <c r="CJ145" s="288"/>
      <c r="CK145" s="290" t="str">
        <f t="shared" si="416"/>
        <v>0</v>
      </c>
      <c r="CL145" s="288"/>
      <c r="CM145" s="288"/>
      <c r="CN145" s="290" t="str">
        <f t="shared" si="417"/>
        <v>0</v>
      </c>
      <c r="CO145" s="288"/>
      <c r="CP145" s="288"/>
      <c r="CQ145" s="290" t="str">
        <f t="shared" si="418"/>
        <v>0</v>
      </c>
      <c r="CR145" s="237"/>
      <c r="CS145" s="292"/>
      <c r="CT145" s="277"/>
      <c r="CU145" s="278"/>
      <c r="CV145" s="279" t="str">
        <f t="shared" si="407"/>
        <v>0</v>
      </c>
      <c r="CW145" s="277"/>
      <c r="CX145" s="382">
        <v>45108</v>
      </c>
      <c r="CY145" s="178"/>
      <c r="CZ145" s="231">
        <f t="shared" si="465"/>
        <v>1503.6</v>
      </c>
      <c r="DA145" s="279" t="str">
        <f t="shared" si="426"/>
        <v>0</v>
      </c>
      <c r="DB145" s="383">
        <v>18</v>
      </c>
      <c r="DC145" s="127">
        <f t="shared" si="427"/>
        <v>19</v>
      </c>
      <c r="DD145" s="277"/>
      <c r="DE145" s="282">
        <f t="shared" ca="1" si="428"/>
        <v>43998</v>
      </c>
      <c r="DF145" s="279" t="str">
        <f t="shared" ca="1" si="429"/>
        <v>0</v>
      </c>
      <c r="DG145" s="277"/>
      <c r="DH145" s="295">
        <f t="shared" ca="1" si="397"/>
        <v>43998</v>
      </c>
      <c r="DI145" s="280" t="str">
        <f t="shared" ca="1" si="430"/>
        <v>0</v>
      </c>
      <c r="DJ145" s="281"/>
      <c r="DK145" s="295">
        <f t="shared" ca="1" si="395"/>
        <v>43998</v>
      </c>
      <c r="DL145" s="279" t="str">
        <f t="shared" ca="1" si="431"/>
        <v>0</v>
      </c>
      <c r="DM145" s="282"/>
      <c r="DN145" s="282">
        <f t="shared" ca="1" si="396"/>
        <v>43998</v>
      </c>
      <c r="DO145" s="279" t="str">
        <f t="shared" ca="1" si="432"/>
        <v>0</v>
      </c>
      <c r="DP145" s="283"/>
      <c r="DQ145" s="283"/>
      <c r="DR145" s="279" t="str">
        <f t="shared" si="433"/>
        <v>0</v>
      </c>
      <c r="DS145" s="282"/>
      <c r="DT145" s="282">
        <f t="shared" ca="1" si="434"/>
        <v>43998</v>
      </c>
      <c r="DU145" s="279" t="str">
        <f t="shared" ca="1" si="435"/>
        <v>0</v>
      </c>
      <c r="DV145" s="282"/>
      <c r="DW145" s="282">
        <f t="shared" ca="1" si="436"/>
        <v>43998</v>
      </c>
      <c r="DX145" s="279" t="str">
        <f t="shared" ca="1" si="437"/>
        <v>0</v>
      </c>
      <c r="DY145" s="282"/>
      <c r="DZ145" s="282"/>
      <c r="EA145" s="283"/>
      <c r="EB145" s="410">
        <f t="shared" si="443"/>
        <v>45658</v>
      </c>
      <c r="EC145" s="409">
        <f t="shared" si="469"/>
        <v>45689</v>
      </c>
      <c r="ED145" s="406">
        <f t="shared" si="444"/>
        <v>1.0333333333333334</v>
      </c>
      <c r="EE145" s="505">
        <f t="shared" ca="1" si="438"/>
        <v>56.366666666666667</v>
      </c>
      <c r="EF145" s="409">
        <f t="shared" ref="EF145:EF163" ca="1" si="470">DATE(YEAR(DH145)+2,MONTH(DH145),DAY(DH145))</f>
        <v>44728</v>
      </c>
      <c r="EG145" s="457"/>
      <c r="EH145" s="448"/>
      <c r="EI145" s="458">
        <f t="shared" si="463"/>
        <v>45811</v>
      </c>
      <c r="EJ145" s="242"/>
      <c r="EK145" s="456">
        <f t="shared" si="467"/>
        <v>45689</v>
      </c>
      <c r="EL145" s="409">
        <f t="shared" si="383"/>
        <v>45717</v>
      </c>
      <c r="EM145" s="314"/>
      <c r="EN145" s="404">
        <f t="shared" si="466"/>
        <v>0.93333333333333335</v>
      </c>
      <c r="EO145" s="394"/>
      <c r="EP145" s="131">
        <f t="shared" si="445"/>
        <v>0</v>
      </c>
      <c r="EQ145" s="60"/>
      <c r="ER145" s="60"/>
      <c r="ES145" s="742"/>
      <c r="ET145" s="300"/>
      <c r="EU145" s="300"/>
      <c r="EV145" s="300"/>
      <c r="EW145" s="300"/>
      <c r="EX145" s="415"/>
      <c r="EY145" s="416" t="e">
        <f t="shared" si="439"/>
        <v>#DIV/0!</v>
      </c>
      <c r="EZ145" s="297"/>
      <c r="FA145" s="308"/>
      <c r="FB145" s="302"/>
      <c r="FC145" s="302"/>
      <c r="FD145" s="89">
        <f t="shared" ca="1" si="468"/>
        <v>44728</v>
      </c>
      <c r="FE145" s="63"/>
      <c r="FF145" s="63"/>
      <c r="FG145" s="63"/>
      <c r="FH145" s="63"/>
      <c r="FI145" s="63"/>
      <c r="FJ145" s="22"/>
      <c r="FK145" s="146">
        <f t="shared" si="464"/>
        <v>46054</v>
      </c>
      <c r="FL145" s="146"/>
      <c r="FM145" s="146"/>
      <c r="FN145" s="22"/>
      <c r="FO145" s="22"/>
      <c r="FP145" s="22"/>
      <c r="FQ145" s="22"/>
      <c r="FR145" s="22"/>
      <c r="FS145" s="22"/>
      <c r="FT145" s="22"/>
      <c r="FU145" s="22"/>
      <c r="FV145" s="22"/>
      <c r="FW145" s="22"/>
      <c r="FX145" s="22"/>
      <c r="FY145" s="22"/>
      <c r="FZ145" s="22"/>
      <c r="GA145" s="451"/>
      <c r="GB145" s="471">
        <f>GD145+GG145+GJ145+HF145+Tableau6[[#This Row],[PRÊT CREDIT D''IMPOT (PM)]]</f>
        <v>0</v>
      </c>
      <c r="GC145" s="645">
        <f t="shared" si="446"/>
        <v>0</v>
      </c>
      <c r="GD145" s="507">
        <f t="shared" si="459"/>
        <v>0</v>
      </c>
      <c r="GE145" s="20" t="e">
        <f t="shared" si="447"/>
        <v>#DIV/0!</v>
      </c>
      <c r="GF145" s="20">
        <f t="shared" si="440"/>
        <v>0</v>
      </c>
      <c r="GG145" s="503"/>
      <c r="GH145" s="351"/>
      <c r="GI145" s="20">
        <f t="shared" si="409"/>
        <v>0</v>
      </c>
      <c r="GJ145" s="503">
        <f t="shared" si="448"/>
        <v>0</v>
      </c>
      <c r="GK145" s="5">
        <f t="shared" si="408"/>
        <v>0</v>
      </c>
      <c r="GL145" s="44"/>
      <c r="GM145" s="44"/>
      <c r="GN145" s="346">
        <f t="shared" si="449"/>
        <v>0</v>
      </c>
      <c r="GO145" s="35"/>
      <c r="GP145" s="5"/>
      <c r="GQ145" s="35"/>
      <c r="GR145" s="45" t="e">
        <f t="shared" si="450"/>
        <v>#DIV/0!</v>
      </c>
      <c r="GS145" s="35"/>
      <c r="GT145" s="35"/>
      <c r="GU145" s="35"/>
      <c r="GV145" s="20">
        <f t="shared" ref="GV145:GV152" si="471">GP145/AD145</f>
        <v>0</v>
      </c>
      <c r="GW145" s="20">
        <f t="shared" ref="GW145:GW152" si="472">(GG145+GP145)/AD145</f>
        <v>0</v>
      </c>
      <c r="GX145" s="569"/>
      <c r="GY145" s="569"/>
      <c r="GZ145" s="569" t="e">
        <f>(#REF!+#REF!+GY145)/AD145</f>
        <v>#REF!</v>
      </c>
      <c r="HA145" s="569"/>
      <c r="HB145" s="569">
        <f t="shared" ref="HB145:HB152" si="473">(GG145+GP145+GY145+HA145)/AD145</f>
        <v>0</v>
      </c>
      <c r="HC145" s="568" t="e">
        <f t="shared" ref="HC145:HC152" si="474">(GG145+GP145+GY145+HA145)/(GX145+GB145-HD145)</f>
        <v>#DIV/0!</v>
      </c>
      <c r="HD145" s="569"/>
      <c r="HE145" s="569"/>
      <c r="HF145" s="503">
        <f>EU145</f>
        <v>0</v>
      </c>
      <c r="HG145" s="633"/>
      <c r="HH145" s="634" t="e">
        <f t="shared" si="420"/>
        <v>#DIV/0!</v>
      </c>
      <c r="HI145" s="633">
        <f t="shared" si="421"/>
        <v>0</v>
      </c>
      <c r="HJ145" s="633" t="e">
        <f t="shared" ca="1" si="422"/>
        <v>#VALUE!</v>
      </c>
      <c r="HK145" s="634" t="e">
        <f t="shared" ca="1" si="423"/>
        <v>#VALUE!</v>
      </c>
      <c r="HL145" s="633"/>
      <c r="HM145" s="633">
        <f t="shared" si="424"/>
        <v>0</v>
      </c>
      <c r="HN145" s="633" t="e">
        <f t="shared" si="425"/>
        <v>#DIV/0!</v>
      </c>
      <c r="HO145" s="633"/>
      <c r="HP145" s="563"/>
      <c r="HQ145" s="47"/>
      <c r="HR145" s="563"/>
      <c r="HS145" s="563">
        <f>SUM(Tableau6[[#This Row],[GO]:[CARRELAGE]])</f>
        <v>0</v>
      </c>
      <c r="HT145" s="461"/>
      <c r="HU145" s="461"/>
      <c r="HV145" s="461"/>
      <c r="HW145" s="461"/>
      <c r="HX145" s="461"/>
      <c r="HY145" s="461"/>
      <c r="HZ145" s="461"/>
      <c r="IA145" s="461"/>
      <c r="IB145" s="461"/>
      <c r="IC145" s="461"/>
      <c r="ID145" s="461"/>
      <c r="IE145" s="461"/>
      <c r="IF145" s="461"/>
      <c r="IG145" s="563"/>
      <c r="IH145" s="563"/>
      <c r="II145" s="563">
        <f>HP145+HR145+Tableau6[[#This Row],[TRAVAUX BATIS]]+Tableau6[[#This Row],[HONORAIRES]]+IH145</f>
        <v>0</v>
      </c>
      <c r="IJ145" s="654">
        <f>Tableau6[[#This Row],[TOTAL PRP HT]]-Tableau6[[#This Row],[PRP TTC HORS FRAFU]]/1.021</f>
        <v>0</v>
      </c>
      <c r="IK145" s="9"/>
      <c r="IL145" s="9"/>
      <c r="IM145" s="9"/>
      <c r="IN145" s="9"/>
      <c r="IO145" s="9"/>
      <c r="IP145" s="9"/>
      <c r="IQ145" s="9"/>
      <c r="IR145" s="9"/>
      <c r="IS145" s="9"/>
      <c r="IT145" s="9"/>
      <c r="IU145" s="9"/>
      <c r="IV145" s="9"/>
    </row>
    <row r="146" spans="1:256" ht="15" customHeight="1">
      <c r="A146" s="48" t="s">
        <v>297</v>
      </c>
      <c r="B146" s="22" t="s">
        <v>21</v>
      </c>
      <c r="C146" s="22" t="s">
        <v>86</v>
      </c>
      <c r="D146" s="22" t="s">
        <v>626</v>
      </c>
      <c r="E146" s="22"/>
      <c r="F146" s="22"/>
      <c r="G146" s="22"/>
      <c r="H146" s="22" t="s">
        <v>179</v>
      </c>
      <c r="I146" s="22"/>
      <c r="J146" s="22" t="s">
        <v>550</v>
      </c>
      <c r="K146" s="134" t="s">
        <v>640</v>
      </c>
      <c r="L146" s="81"/>
      <c r="M146" s="82"/>
      <c r="N146" s="83"/>
      <c r="O146" s="109">
        <v>6396</v>
      </c>
      <c r="P146" s="109">
        <v>703760</v>
      </c>
      <c r="Q146" s="109">
        <v>703760</v>
      </c>
      <c r="R146" s="103">
        <f t="shared" si="451"/>
        <v>19020.54054054054</v>
      </c>
      <c r="S146" s="103">
        <f t="shared" si="452"/>
        <v>110.03126954346466</v>
      </c>
      <c r="T146" s="109">
        <f t="shared" si="453"/>
        <v>110.03126954346466</v>
      </c>
      <c r="U146" s="109">
        <f t="shared" si="454"/>
        <v>253.39079776911251</v>
      </c>
      <c r="V146" s="109">
        <f t="shared" si="455"/>
        <v>19020.54054054054</v>
      </c>
      <c r="W146" s="103">
        <f t="shared" si="456"/>
        <v>172.86486486486487</v>
      </c>
      <c r="X146" s="112"/>
      <c r="Y146" s="447">
        <f t="shared" si="457"/>
        <v>57.848655409631021</v>
      </c>
      <c r="Z146" s="112" t="s">
        <v>597</v>
      </c>
      <c r="AA146" s="104">
        <v>730</v>
      </c>
      <c r="AB146" s="105">
        <v>0.2</v>
      </c>
      <c r="AC146" s="22" t="s">
        <v>10</v>
      </c>
      <c r="AD146" s="426">
        <f t="shared" si="441"/>
        <v>37</v>
      </c>
      <c r="AE146" s="427">
        <f t="shared" si="458"/>
        <v>37</v>
      </c>
      <c r="AF146" s="32"/>
      <c r="AG146" s="22">
        <v>37</v>
      </c>
      <c r="AH146" s="32"/>
      <c r="AI146" s="32"/>
      <c r="AJ146" s="615"/>
      <c r="AK146" s="222">
        <v>2777.37</v>
      </c>
      <c r="AL146" s="492">
        <f t="shared" si="402"/>
        <v>0</v>
      </c>
      <c r="AM146" s="4">
        <f t="shared" si="403"/>
        <v>75.064054054054054</v>
      </c>
      <c r="AN146" s="26"/>
      <c r="AO146" s="26"/>
      <c r="AP146" s="26"/>
      <c r="AQ146" s="28"/>
      <c r="AR146" s="28"/>
      <c r="AS146" s="28"/>
      <c r="AT146" s="28"/>
      <c r="AU146" s="28"/>
      <c r="AV146" s="26"/>
      <c r="AW146" s="37"/>
      <c r="AX146" s="443">
        <v>598</v>
      </c>
      <c r="AY146" s="26">
        <v>1.5</v>
      </c>
      <c r="AZ146" s="25" t="s">
        <v>386</v>
      </c>
      <c r="BA146" s="22" t="s">
        <v>95</v>
      </c>
      <c r="BB146" s="22"/>
      <c r="BC146" s="437" t="e">
        <f t="shared" si="404"/>
        <v>#DIV/0!</v>
      </c>
      <c r="BD146" s="332">
        <f t="shared" si="405"/>
        <v>0</v>
      </c>
      <c r="BE146" s="334">
        <f t="shared" si="406"/>
        <v>0</v>
      </c>
      <c r="BF146" s="93"/>
      <c r="BG146" s="93"/>
      <c r="BH146" s="22"/>
      <c r="BI146" s="22"/>
      <c r="BJ146" s="548"/>
      <c r="BK146" s="548"/>
      <c r="BL146" s="549"/>
      <c r="BM146" s="547">
        <f t="shared" si="410"/>
        <v>0</v>
      </c>
      <c r="BN146" s="490" t="s">
        <v>229</v>
      </c>
      <c r="BO146" s="77"/>
      <c r="BP146" s="100"/>
      <c r="BQ146" s="536">
        <f t="shared" si="411"/>
        <v>0</v>
      </c>
      <c r="BR146" s="529"/>
      <c r="BS146" s="77"/>
      <c r="BT146" s="77"/>
      <c r="BU146" s="151"/>
      <c r="BV146" s="150">
        <f t="shared" si="442"/>
        <v>1096</v>
      </c>
      <c r="BW146" s="373"/>
      <c r="BX146" s="150" t="str">
        <f>IF(Tableau6[[#This Row],[Montant des loyers perçus avant 1e échéance]]&lt;BW146,"oui","non")</f>
        <v>non</v>
      </c>
      <c r="BY146" s="475">
        <f t="shared" si="412"/>
        <v>-1487.3666666666666</v>
      </c>
      <c r="BZ146" s="373">
        <f t="shared" si="413"/>
        <v>0</v>
      </c>
      <c r="CA146" s="373">
        <f>IF(BW146-BZ146&lt;0,0,Tableau6[[#This Row],[Montant échéance annuelle]]-Tableau6[[#This Row],[Montant des loyers perçus avant 1e échéance]])</f>
        <v>0</v>
      </c>
      <c r="CB146" s="288"/>
      <c r="CC146" s="287"/>
      <c r="CD146" s="288"/>
      <c r="CE146" s="290" t="str">
        <f t="shared" si="414"/>
        <v>0</v>
      </c>
      <c r="CF146" s="288"/>
      <c r="CG146" s="288"/>
      <c r="CH146" s="290" t="str">
        <f t="shared" si="415"/>
        <v>0</v>
      </c>
      <c r="CI146" s="288"/>
      <c r="CJ146" s="288"/>
      <c r="CK146" s="290" t="str">
        <f t="shared" si="416"/>
        <v>0</v>
      </c>
      <c r="CL146" s="288"/>
      <c r="CM146" s="288"/>
      <c r="CN146" s="290" t="str">
        <f t="shared" si="417"/>
        <v>0</v>
      </c>
      <c r="CO146" s="288"/>
      <c r="CP146" s="288"/>
      <c r="CQ146" s="290" t="str">
        <f t="shared" si="418"/>
        <v>0</v>
      </c>
      <c r="CR146" s="237"/>
      <c r="CS146" s="292"/>
      <c r="CT146" s="277"/>
      <c r="CU146" s="278"/>
      <c r="CV146" s="279" t="str">
        <f t="shared" si="407"/>
        <v>0</v>
      </c>
      <c r="CW146" s="277"/>
      <c r="CX146" s="382">
        <v>45108</v>
      </c>
      <c r="CY146" s="180"/>
      <c r="CZ146" s="231">
        <f t="shared" si="465"/>
        <v>1503.6</v>
      </c>
      <c r="DA146" s="279" t="str">
        <f t="shared" si="426"/>
        <v>0</v>
      </c>
      <c r="DB146" s="383">
        <v>18</v>
      </c>
      <c r="DC146" s="127">
        <f t="shared" si="427"/>
        <v>19</v>
      </c>
      <c r="DD146" s="277"/>
      <c r="DE146" s="282">
        <f t="shared" ca="1" si="428"/>
        <v>43998</v>
      </c>
      <c r="DF146" s="279" t="str">
        <f t="shared" ca="1" si="429"/>
        <v>0</v>
      </c>
      <c r="DG146" s="277"/>
      <c r="DH146" s="295">
        <f t="shared" ca="1" si="397"/>
        <v>43998</v>
      </c>
      <c r="DI146" s="280" t="str">
        <f t="shared" ca="1" si="430"/>
        <v>0</v>
      </c>
      <c r="DJ146" s="281"/>
      <c r="DK146" s="295">
        <f t="shared" ca="1" si="395"/>
        <v>43998</v>
      </c>
      <c r="DL146" s="279" t="str">
        <f t="shared" ca="1" si="431"/>
        <v>0</v>
      </c>
      <c r="DM146" s="282"/>
      <c r="DN146" s="282">
        <f t="shared" ca="1" si="396"/>
        <v>43998</v>
      </c>
      <c r="DO146" s="279" t="str">
        <f t="shared" ca="1" si="432"/>
        <v>0</v>
      </c>
      <c r="DP146" s="283"/>
      <c r="DQ146" s="283"/>
      <c r="DR146" s="279" t="str">
        <f t="shared" si="433"/>
        <v>0</v>
      </c>
      <c r="DS146" s="282"/>
      <c r="DT146" s="282">
        <f t="shared" ca="1" si="434"/>
        <v>43998</v>
      </c>
      <c r="DU146" s="279" t="str">
        <f t="shared" ca="1" si="435"/>
        <v>0</v>
      </c>
      <c r="DV146" s="282"/>
      <c r="DW146" s="282">
        <f t="shared" ca="1" si="436"/>
        <v>43998</v>
      </c>
      <c r="DX146" s="279" t="str">
        <f t="shared" ca="1" si="437"/>
        <v>0</v>
      </c>
      <c r="DY146" s="282"/>
      <c r="DZ146" s="282"/>
      <c r="EA146" s="283"/>
      <c r="EB146" s="410">
        <f t="shared" si="443"/>
        <v>45658</v>
      </c>
      <c r="EC146" s="409">
        <f t="shared" si="469"/>
        <v>45689</v>
      </c>
      <c r="ED146" s="406">
        <f t="shared" si="444"/>
        <v>1.0333333333333334</v>
      </c>
      <c r="EE146" s="505">
        <f t="shared" ca="1" si="438"/>
        <v>56.366666666666667</v>
      </c>
      <c r="EF146" s="409">
        <f t="shared" ca="1" si="470"/>
        <v>44728</v>
      </c>
      <c r="EG146" s="457"/>
      <c r="EH146" s="448"/>
      <c r="EI146" s="458">
        <f t="shared" si="463"/>
        <v>45811</v>
      </c>
      <c r="EJ146" s="242"/>
      <c r="EK146" s="456">
        <f t="shared" si="467"/>
        <v>45689</v>
      </c>
      <c r="EL146" s="409">
        <f t="shared" si="383"/>
        <v>45717</v>
      </c>
      <c r="EM146" s="314"/>
      <c r="EN146" s="404">
        <f t="shared" si="466"/>
        <v>0.93333333333333335</v>
      </c>
      <c r="EO146" s="390"/>
      <c r="EP146" s="131">
        <f t="shared" si="445"/>
        <v>0</v>
      </c>
      <c r="EQ146" s="60"/>
      <c r="ER146" s="60"/>
      <c r="ES146" s="742"/>
      <c r="ET146" s="300"/>
      <c r="EU146" s="300"/>
      <c r="EV146" s="300"/>
      <c r="EW146" s="300"/>
      <c r="EX146" s="415"/>
      <c r="EY146" s="416" t="e">
        <f t="shared" si="439"/>
        <v>#DIV/0!</v>
      </c>
      <c r="EZ146" s="297"/>
      <c r="FA146" s="308"/>
      <c r="FB146" s="302"/>
      <c r="FC146" s="302"/>
      <c r="FD146" s="89">
        <f t="shared" ca="1" si="468"/>
        <v>44728</v>
      </c>
      <c r="FE146" s="63"/>
      <c r="FF146" s="63"/>
      <c r="FG146" s="63"/>
      <c r="FH146" s="63"/>
      <c r="FI146" s="63"/>
      <c r="FJ146" s="22"/>
      <c r="FK146" s="146">
        <f t="shared" si="464"/>
        <v>46054</v>
      </c>
      <c r="FL146" s="146"/>
      <c r="FM146" s="146"/>
      <c r="FN146" s="22"/>
      <c r="FO146" s="22"/>
      <c r="FP146" s="22"/>
      <c r="FQ146" s="22"/>
      <c r="FR146" s="22"/>
      <c r="FS146" s="22"/>
      <c r="FT146" s="22"/>
      <c r="FU146" s="22"/>
      <c r="FV146" s="22"/>
      <c r="FW146" s="22"/>
      <c r="FX146" s="22"/>
      <c r="FY146" s="22"/>
      <c r="FZ146" s="22"/>
      <c r="GA146" s="451"/>
      <c r="GB146" s="471">
        <f>GD146+GG146+GJ146+HF146+Tableau6[[#This Row],[PRÊT CREDIT D''IMPOT (PM)]]</f>
        <v>0</v>
      </c>
      <c r="GC146" s="645">
        <f t="shared" si="446"/>
        <v>0</v>
      </c>
      <c r="GD146" s="507">
        <f t="shared" si="459"/>
        <v>0</v>
      </c>
      <c r="GE146" s="20">
        <f t="shared" si="447"/>
        <v>0</v>
      </c>
      <c r="GF146" s="20">
        <f t="shared" si="440"/>
        <v>0</v>
      </c>
      <c r="GG146" s="503"/>
      <c r="GH146" s="351"/>
      <c r="GI146" s="20">
        <f t="shared" si="409"/>
        <v>0</v>
      </c>
      <c r="GJ146" s="503">
        <f t="shared" si="448"/>
        <v>0</v>
      </c>
      <c r="GK146" s="5">
        <f t="shared" si="408"/>
        <v>0</v>
      </c>
      <c r="GL146" s="44"/>
      <c r="GM146" s="44"/>
      <c r="GN146" s="346">
        <f t="shared" si="449"/>
        <v>0</v>
      </c>
      <c r="GO146" s="35"/>
      <c r="GP146" s="5"/>
      <c r="GQ146" s="35"/>
      <c r="GR146" s="45" t="e">
        <f t="shared" si="450"/>
        <v>#DIV/0!</v>
      </c>
      <c r="GS146" s="35"/>
      <c r="GT146" s="35"/>
      <c r="GU146" s="35"/>
      <c r="GV146" s="20">
        <f t="shared" si="471"/>
        <v>0</v>
      </c>
      <c r="GW146" s="20">
        <f t="shared" si="472"/>
        <v>0</v>
      </c>
      <c r="GX146" s="569"/>
      <c r="GY146" s="569"/>
      <c r="GZ146" s="569" t="e">
        <f>(#REF!+#REF!+GY146)/AD146</f>
        <v>#REF!</v>
      </c>
      <c r="HA146" s="569"/>
      <c r="HB146" s="569">
        <f t="shared" si="473"/>
        <v>0</v>
      </c>
      <c r="HC146" s="568" t="e">
        <f t="shared" si="474"/>
        <v>#DIV/0!</v>
      </c>
      <c r="HD146" s="569"/>
      <c r="HE146" s="569"/>
      <c r="HF146" s="503">
        <f>EU146</f>
        <v>0</v>
      </c>
      <c r="HG146" s="633"/>
      <c r="HH146" s="634" t="e">
        <f t="shared" si="420"/>
        <v>#DIV/0!</v>
      </c>
      <c r="HI146" s="633">
        <f t="shared" si="421"/>
        <v>0</v>
      </c>
      <c r="HJ146" s="633" t="e">
        <f t="shared" ca="1" si="422"/>
        <v>#VALUE!</v>
      </c>
      <c r="HK146" s="634" t="e">
        <f t="shared" ca="1" si="423"/>
        <v>#VALUE!</v>
      </c>
      <c r="HL146" s="633"/>
      <c r="HM146" s="633">
        <f t="shared" si="424"/>
        <v>0</v>
      </c>
      <c r="HN146" s="633" t="e">
        <f t="shared" si="425"/>
        <v>#DIV/0!</v>
      </c>
      <c r="HO146" s="633"/>
      <c r="HP146" s="563"/>
      <c r="HQ146" s="47"/>
      <c r="HR146" s="563"/>
      <c r="HS146" s="563">
        <f>SUM(Tableau6[[#This Row],[GO]:[CARRELAGE]])</f>
        <v>0</v>
      </c>
      <c r="HT146" s="461"/>
      <c r="HU146" s="461"/>
      <c r="HV146" s="461"/>
      <c r="HW146" s="461"/>
      <c r="HX146" s="461"/>
      <c r="HY146" s="461"/>
      <c r="HZ146" s="461"/>
      <c r="IA146" s="461"/>
      <c r="IB146" s="461"/>
      <c r="IC146" s="461"/>
      <c r="ID146" s="461"/>
      <c r="IE146" s="461"/>
      <c r="IF146" s="461"/>
      <c r="IG146" s="563"/>
      <c r="IH146" s="563"/>
      <c r="II146" s="563">
        <f>HP146+HR146+Tableau6[[#This Row],[TRAVAUX BATIS]]+Tableau6[[#This Row],[HONORAIRES]]+IH146</f>
        <v>0</v>
      </c>
      <c r="IJ146" s="654">
        <f>Tableau6[[#This Row],[TOTAL PRP HT]]-Tableau6[[#This Row],[PRP TTC HORS FRAFU]]/1.021</f>
        <v>0</v>
      </c>
      <c r="IK146" s="9"/>
      <c r="IL146" s="9"/>
      <c r="IM146" s="9"/>
      <c r="IN146" s="9"/>
      <c r="IO146" s="9"/>
      <c r="IP146" s="9"/>
      <c r="IQ146" s="9"/>
      <c r="IR146" s="9"/>
      <c r="IS146" s="9"/>
      <c r="IT146" s="9"/>
      <c r="IU146" s="9"/>
      <c r="IV146" s="9"/>
    </row>
    <row r="147" spans="1:256" ht="15" customHeight="1">
      <c r="A147" s="428" t="s">
        <v>615</v>
      </c>
      <c r="B147" s="22" t="s">
        <v>14</v>
      </c>
      <c r="C147" s="22" t="s">
        <v>86</v>
      </c>
      <c r="D147" s="22" t="s">
        <v>626</v>
      </c>
      <c r="E147" s="22"/>
      <c r="F147" s="22"/>
      <c r="G147" s="22"/>
      <c r="H147" s="24"/>
      <c r="I147" s="22"/>
      <c r="J147" s="22" t="s">
        <v>616</v>
      </c>
      <c r="K147" s="134" t="s">
        <v>617</v>
      </c>
      <c r="L147" s="81"/>
      <c r="M147" s="82"/>
      <c r="N147" s="83"/>
      <c r="O147" s="103">
        <v>18000</v>
      </c>
      <c r="P147" s="103"/>
      <c r="Q147" s="103"/>
      <c r="R147" s="103">
        <f t="shared" si="451"/>
        <v>0</v>
      </c>
      <c r="S147" s="103">
        <f t="shared" si="452"/>
        <v>0</v>
      </c>
      <c r="T147" s="109">
        <f t="shared" si="453"/>
        <v>0</v>
      </c>
      <c r="U147" s="109" t="e">
        <f t="shared" si="454"/>
        <v>#DIV/0!</v>
      </c>
      <c r="V147" s="109">
        <f t="shared" si="455"/>
        <v>0</v>
      </c>
      <c r="W147" s="103">
        <f t="shared" si="456"/>
        <v>400</v>
      </c>
      <c r="X147" s="104"/>
      <c r="Y147" s="447">
        <f t="shared" si="457"/>
        <v>25</v>
      </c>
      <c r="Z147" s="104" t="s">
        <v>600</v>
      </c>
      <c r="AA147" s="104"/>
      <c r="AB147" s="105"/>
      <c r="AC147" s="22" t="s">
        <v>10</v>
      </c>
      <c r="AD147" s="426">
        <f t="shared" si="441"/>
        <v>45</v>
      </c>
      <c r="AE147" s="427">
        <f t="shared" si="458"/>
        <v>45</v>
      </c>
      <c r="AF147" s="32"/>
      <c r="AG147" s="22">
        <v>45</v>
      </c>
      <c r="AH147" s="32"/>
      <c r="AI147" s="32"/>
      <c r="AJ147" s="615"/>
      <c r="AK147" s="222"/>
      <c r="AL147" s="492">
        <f t="shared" si="402"/>
        <v>0</v>
      </c>
      <c r="AM147" s="4">
        <f t="shared" si="403"/>
        <v>0</v>
      </c>
      <c r="AN147" s="26"/>
      <c r="AO147" s="26"/>
      <c r="AP147" s="26"/>
      <c r="AQ147" s="39"/>
      <c r="AR147" s="39"/>
      <c r="AS147" s="39"/>
      <c r="AT147" s="39"/>
      <c r="AU147" s="39"/>
      <c r="AV147" s="26"/>
      <c r="AW147" s="37"/>
      <c r="AX147" s="39"/>
      <c r="AY147" s="26"/>
      <c r="AZ147" s="25"/>
      <c r="BA147" s="22"/>
      <c r="BB147" s="22"/>
      <c r="BC147" s="437" t="e">
        <f t="shared" si="404"/>
        <v>#DIV/0!</v>
      </c>
      <c r="BD147" s="332" t="e">
        <f t="shared" si="405"/>
        <v>#DIV/0!</v>
      </c>
      <c r="BE147" s="334">
        <f t="shared" si="406"/>
        <v>0</v>
      </c>
      <c r="BF147" s="123"/>
      <c r="BG147" s="123"/>
      <c r="BH147" s="89"/>
      <c r="BI147" s="89"/>
      <c r="BJ147" s="548"/>
      <c r="BK147" s="548"/>
      <c r="BL147" s="549"/>
      <c r="BM147" s="547">
        <f t="shared" si="410"/>
        <v>0</v>
      </c>
      <c r="BN147" s="490" t="s">
        <v>229</v>
      </c>
      <c r="BO147" s="77"/>
      <c r="BP147" s="100"/>
      <c r="BQ147" s="536">
        <f t="shared" si="411"/>
        <v>0</v>
      </c>
      <c r="BR147" s="529"/>
      <c r="BS147" s="77"/>
      <c r="BT147" s="77"/>
      <c r="BU147" s="151"/>
      <c r="BV147" s="150">
        <f t="shared" si="442"/>
        <v>1096</v>
      </c>
      <c r="BW147" s="373"/>
      <c r="BX147" s="150" t="str">
        <f>IF(Tableau6[[#This Row],[Montant des loyers perçus avant 1e échéance]]&lt;BW147,"oui","non")</f>
        <v>non</v>
      </c>
      <c r="BY147" s="475">
        <f t="shared" si="412"/>
        <v>-1487.4</v>
      </c>
      <c r="BZ147" s="373">
        <f t="shared" si="413"/>
        <v>0</v>
      </c>
      <c r="CA147" s="373">
        <f>IF(BW147-BZ147&lt;0,0,Tableau6[[#This Row],[Montant échéance annuelle]]-Tableau6[[#This Row],[Montant des loyers perçus avant 1e échéance]])</f>
        <v>0</v>
      </c>
      <c r="CB147" s="286"/>
      <c r="CC147" s="288"/>
      <c r="CD147" s="288"/>
      <c r="CE147" s="290" t="str">
        <f t="shared" si="414"/>
        <v>0</v>
      </c>
      <c r="CF147" s="288"/>
      <c r="CG147" s="288"/>
      <c r="CH147" s="290" t="str">
        <f t="shared" si="415"/>
        <v>0</v>
      </c>
      <c r="CI147" s="288"/>
      <c r="CJ147" s="288"/>
      <c r="CK147" s="290" t="str">
        <f t="shared" si="416"/>
        <v>0</v>
      </c>
      <c r="CL147" s="288"/>
      <c r="CM147" s="288"/>
      <c r="CN147" s="290" t="str">
        <f t="shared" si="417"/>
        <v>0</v>
      </c>
      <c r="CO147" s="288"/>
      <c r="CP147" s="288"/>
      <c r="CQ147" s="290" t="str">
        <f t="shared" si="418"/>
        <v>0</v>
      </c>
      <c r="CR147" s="237"/>
      <c r="CS147" s="292"/>
      <c r="CT147" s="277"/>
      <c r="CU147" s="278"/>
      <c r="CV147" s="279" t="str">
        <f t="shared" si="407"/>
        <v>0</v>
      </c>
      <c r="CW147" s="277"/>
      <c r="CX147" s="382">
        <v>45109</v>
      </c>
      <c r="CY147" s="178"/>
      <c r="CZ147" s="231">
        <f t="shared" si="465"/>
        <v>1503.6333333333334</v>
      </c>
      <c r="DA147" s="279" t="str">
        <f t="shared" si="426"/>
        <v>0</v>
      </c>
      <c r="DB147" s="383">
        <v>18</v>
      </c>
      <c r="DC147" s="127">
        <f t="shared" si="427"/>
        <v>19</v>
      </c>
      <c r="DD147" s="277"/>
      <c r="DE147" s="282">
        <f t="shared" ca="1" si="428"/>
        <v>43998</v>
      </c>
      <c r="DF147" s="279" t="str">
        <f t="shared" ca="1" si="429"/>
        <v>0</v>
      </c>
      <c r="DG147" s="277"/>
      <c r="DH147" s="295">
        <f t="shared" ca="1" si="397"/>
        <v>43998</v>
      </c>
      <c r="DI147" s="280" t="str">
        <f t="shared" ca="1" si="430"/>
        <v>0</v>
      </c>
      <c r="DJ147" s="281"/>
      <c r="DK147" s="295">
        <f t="shared" ca="1" si="395"/>
        <v>43998</v>
      </c>
      <c r="DL147" s="279" t="str">
        <f t="shared" ca="1" si="431"/>
        <v>0</v>
      </c>
      <c r="DM147" s="282"/>
      <c r="DN147" s="282">
        <f t="shared" ca="1" si="396"/>
        <v>43998</v>
      </c>
      <c r="DO147" s="279" t="str">
        <f t="shared" ca="1" si="432"/>
        <v>0</v>
      </c>
      <c r="DP147" s="283"/>
      <c r="DQ147" s="283"/>
      <c r="DR147" s="279" t="str">
        <f t="shared" si="433"/>
        <v>0</v>
      </c>
      <c r="DS147" s="282"/>
      <c r="DT147" s="282">
        <f t="shared" ca="1" si="434"/>
        <v>43998</v>
      </c>
      <c r="DU147" s="279" t="str">
        <f t="shared" ca="1" si="435"/>
        <v>0</v>
      </c>
      <c r="DV147" s="282"/>
      <c r="DW147" s="282">
        <f t="shared" ca="1" si="436"/>
        <v>43998</v>
      </c>
      <c r="DX147" s="279" t="str">
        <f t="shared" ca="1" si="437"/>
        <v>0</v>
      </c>
      <c r="DY147" s="282"/>
      <c r="DZ147" s="282"/>
      <c r="EA147" s="283"/>
      <c r="EB147" s="410">
        <f t="shared" si="443"/>
        <v>45659</v>
      </c>
      <c r="EC147" s="409">
        <f t="shared" si="469"/>
        <v>45690</v>
      </c>
      <c r="ED147" s="406">
        <f t="shared" si="444"/>
        <v>1.0333333333333334</v>
      </c>
      <c r="EE147" s="505">
        <f t="shared" ca="1" si="438"/>
        <v>56.4</v>
      </c>
      <c r="EF147" s="409">
        <f t="shared" ca="1" si="470"/>
        <v>44728</v>
      </c>
      <c r="EG147" s="457"/>
      <c r="EH147" s="448"/>
      <c r="EI147" s="458">
        <f t="shared" si="463"/>
        <v>45812</v>
      </c>
      <c r="EJ147" s="242"/>
      <c r="EK147" s="456">
        <f t="shared" si="467"/>
        <v>45690</v>
      </c>
      <c r="EL147" s="409">
        <f t="shared" si="383"/>
        <v>45718</v>
      </c>
      <c r="EM147" s="314"/>
      <c r="EN147" s="404">
        <f t="shared" si="466"/>
        <v>0.93333333333333335</v>
      </c>
      <c r="EO147" s="394"/>
      <c r="EP147" s="131">
        <f t="shared" si="445"/>
        <v>0</v>
      </c>
      <c r="EQ147" s="60"/>
      <c r="ER147" s="60"/>
      <c r="ES147" s="742"/>
      <c r="ET147" s="300"/>
      <c r="EU147" s="300"/>
      <c r="EV147" s="300"/>
      <c r="EW147" s="300"/>
      <c r="EX147" s="415"/>
      <c r="EY147" s="416" t="e">
        <f t="shared" si="439"/>
        <v>#DIV/0!</v>
      </c>
      <c r="EZ147" s="297"/>
      <c r="FA147" s="308"/>
      <c r="FB147" s="302"/>
      <c r="FC147" s="297"/>
      <c r="FD147" s="89">
        <f t="shared" ca="1" si="468"/>
        <v>44728</v>
      </c>
      <c r="FE147" s="63"/>
      <c r="FF147" s="63"/>
      <c r="FG147" s="63"/>
      <c r="FH147" s="63"/>
      <c r="FI147" s="63"/>
      <c r="FJ147" s="22"/>
      <c r="FK147" s="146">
        <f t="shared" si="464"/>
        <v>46055</v>
      </c>
      <c r="FL147" s="146"/>
      <c r="FM147" s="146"/>
      <c r="FN147" s="22"/>
      <c r="FO147" s="22"/>
      <c r="FP147" s="22"/>
      <c r="FQ147" s="22"/>
      <c r="FR147" s="22"/>
      <c r="FS147" s="22"/>
      <c r="FT147" s="22"/>
      <c r="FU147" s="22"/>
      <c r="FV147" s="22"/>
      <c r="FW147" s="22"/>
      <c r="FX147" s="22"/>
      <c r="FY147" s="22"/>
      <c r="FZ147" s="22"/>
      <c r="GA147" s="451"/>
      <c r="GB147" s="471">
        <f>GD147+GG147+GJ147+HF147+Tableau6[[#This Row],[PRÊT CREDIT D''IMPOT (PM)]]</f>
        <v>0</v>
      </c>
      <c r="GC147" s="645">
        <f t="shared" si="446"/>
        <v>0</v>
      </c>
      <c r="GD147" s="507">
        <f t="shared" si="459"/>
        <v>0</v>
      </c>
      <c r="GE147" s="20" t="e">
        <f t="shared" si="447"/>
        <v>#DIV/0!</v>
      </c>
      <c r="GF147" s="20">
        <f t="shared" si="440"/>
        <v>0</v>
      </c>
      <c r="GG147" s="503"/>
      <c r="GH147" s="351"/>
      <c r="GI147" s="20">
        <f t="shared" si="409"/>
        <v>0</v>
      </c>
      <c r="GJ147" s="503">
        <f t="shared" si="448"/>
        <v>0</v>
      </c>
      <c r="GK147" s="5">
        <f t="shared" si="408"/>
        <v>0</v>
      </c>
      <c r="GL147" s="44"/>
      <c r="GM147" s="44"/>
      <c r="GN147" s="346">
        <f t="shared" si="449"/>
        <v>0</v>
      </c>
      <c r="GO147" s="35"/>
      <c r="GP147" s="5"/>
      <c r="GQ147" s="35"/>
      <c r="GR147" s="45" t="e">
        <f t="shared" si="450"/>
        <v>#DIV/0!</v>
      </c>
      <c r="GS147" s="35"/>
      <c r="GT147" s="35"/>
      <c r="GU147" s="35"/>
      <c r="GV147" s="20">
        <f t="shared" si="471"/>
        <v>0</v>
      </c>
      <c r="GW147" s="20">
        <f t="shared" si="472"/>
        <v>0</v>
      </c>
      <c r="GX147" s="569"/>
      <c r="GY147" s="569"/>
      <c r="GZ147" s="569" t="e">
        <f>(#REF!+#REF!+GY147)/AD147</f>
        <v>#REF!</v>
      </c>
      <c r="HA147" s="569"/>
      <c r="HB147" s="569">
        <f t="shared" si="473"/>
        <v>0</v>
      </c>
      <c r="HC147" s="568" t="e">
        <f t="shared" si="474"/>
        <v>#DIV/0!</v>
      </c>
      <c r="HD147" s="569"/>
      <c r="HE147" s="569"/>
      <c r="HF147" s="503"/>
      <c r="HG147" s="633"/>
      <c r="HH147" s="634" t="e">
        <f t="shared" si="420"/>
        <v>#DIV/0!</v>
      </c>
      <c r="HI147" s="633">
        <f t="shared" si="421"/>
        <v>0</v>
      </c>
      <c r="HJ147" s="633" t="e">
        <f t="shared" ca="1" si="422"/>
        <v>#VALUE!</v>
      </c>
      <c r="HK147" s="634" t="e">
        <f t="shared" ca="1" si="423"/>
        <v>#VALUE!</v>
      </c>
      <c r="HL147" s="633"/>
      <c r="HM147" s="633">
        <f t="shared" si="424"/>
        <v>0</v>
      </c>
      <c r="HN147" s="633" t="e">
        <f t="shared" si="425"/>
        <v>#DIV/0!</v>
      </c>
      <c r="HO147" s="633"/>
      <c r="HP147" s="563"/>
      <c r="HQ147" s="47"/>
      <c r="HR147" s="563"/>
      <c r="HS147" s="563">
        <f>SUM(Tableau6[[#This Row],[GO]:[CARRELAGE]])</f>
        <v>0</v>
      </c>
      <c r="HT147" s="461"/>
      <c r="HU147" s="461"/>
      <c r="HV147" s="461"/>
      <c r="HW147" s="461"/>
      <c r="HX147" s="461"/>
      <c r="HY147" s="461"/>
      <c r="HZ147" s="461"/>
      <c r="IA147" s="461"/>
      <c r="IB147" s="461"/>
      <c r="IC147" s="461"/>
      <c r="ID147" s="461"/>
      <c r="IE147" s="461"/>
      <c r="IF147" s="461"/>
      <c r="IG147" s="563"/>
      <c r="IH147" s="563"/>
      <c r="II147" s="563">
        <f>HP147+HR147+Tableau6[[#This Row],[TRAVAUX BATIS]]+Tableau6[[#This Row],[HONORAIRES]]+IH147</f>
        <v>0</v>
      </c>
      <c r="IJ147" s="654">
        <f>Tableau6[[#This Row],[TOTAL PRP HT]]-Tableau6[[#This Row],[PRP TTC HORS FRAFU]]/1.021</f>
        <v>0</v>
      </c>
      <c r="IK147" s="9"/>
      <c r="IL147" s="9"/>
      <c r="IM147" s="9"/>
      <c r="IN147" s="9"/>
      <c r="IO147" s="9"/>
      <c r="IP147" s="9"/>
      <c r="IQ147" s="9"/>
      <c r="IR147" s="9"/>
      <c r="IS147" s="9"/>
      <c r="IT147" s="9"/>
      <c r="IU147" s="9"/>
      <c r="IV147" s="9"/>
    </row>
    <row r="148" spans="1:256" s="363" customFormat="1" ht="15" customHeight="1">
      <c r="A148" s="428" t="s">
        <v>618</v>
      </c>
      <c r="B148" s="22" t="s">
        <v>14</v>
      </c>
      <c r="C148" s="22" t="s">
        <v>86</v>
      </c>
      <c r="D148" s="22" t="s">
        <v>626</v>
      </c>
      <c r="E148" s="22"/>
      <c r="F148" s="22"/>
      <c r="G148" s="22"/>
      <c r="H148" s="24"/>
      <c r="I148" s="22"/>
      <c r="J148" s="22" t="s">
        <v>619</v>
      </c>
      <c r="K148" s="134" t="s">
        <v>620</v>
      </c>
      <c r="L148" s="81"/>
      <c r="M148" s="82"/>
      <c r="N148" s="83"/>
      <c r="O148" s="103">
        <v>30000</v>
      </c>
      <c r="P148" s="103"/>
      <c r="Q148" s="103"/>
      <c r="R148" s="103">
        <f t="shared" si="451"/>
        <v>0</v>
      </c>
      <c r="S148" s="103">
        <f t="shared" si="452"/>
        <v>0</v>
      </c>
      <c r="T148" s="109">
        <f t="shared" si="453"/>
        <v>0</v>
      </c>
      <c r="U148" s="109" t="e">
        <f t="shared" si="454"/>
        <v>#DIV/0!</v>
      </c>
      <c r="V148" s="109">
        <f t="shared" si="455"/>
        <v>0</v>
      </c>
      <c r="W148" s="103">
        <f t="shared" si="456"/>
        <v>666.66666666666663</v>
      </c>
      <c r="X148" s="104"/>
      <c r="Y148" s="447">
        <f t="shared" si="457"/>
        <v>15</v>
      </c>
      <c r="Z148" s="104" t="s">
        <v>600</v>
      </c>
      <c r="AA148" s="104"/>
      <c r="AB148" s="105"/>
      <c r="AC148" s="22" t="s">
        <v>10</v>
      </c>
      <c r="AD148" s="426">
        <f t="shared" si="441"/>
        <v>45</v>
      </c>
      <c r="AE148" s="427">
        <f t="shared" si="458"/>
        <v>45</v>
      </c>
      <c r="AF148" s="32"/>
      <c r="AG148" s="22">
        <v>45</v>
      </c>
      <c r="AH148" s="32"/>
      <c r="AI148" s="32"/>
      <c r="AJ148" s="615"/>
      <c r="AK148" s="222"/>
      <c r="AL148" s="492">
        <f t="shared" si="402"/>
        <v>0</v>
      </c>
      <c r="AM148" s="4">
        <f t="shared" si="403"/>
        <v>0</v>
      </c>
      <c r="AN148" s="26"/>
      <c r="AO148" s="26"/>
      <c r="AP148" s="26"/>
      <c r="AQ148" s="39"/>
      <c r="AR148" s="39"/>
      <c r="AS148" s="39"/>
      <c r="AT148" s="39"/>
      <c r="AU148" s="39"/>
      <c r="AV148" s="26"/>
      <c r="AW148" s="37"/>
      <c r="AX148" s="39"/>
      <c r="AY148" s="26"/>
      <c r="AZ148" s="25"/>
      <c r="BA148" s="22"/>
      <c r="BB148" s="22"/>
      <c r="BC148" s="437" t="e">
        <f t="shared" si="404"/>
        <v>#DIV/0!</v>
      </c>
      <c r="BD148" s="332" t="e">
        <f t="shared" si="405"/>
        <v>#DIV/0!</v>
      </c>
      <c r="BE148" s="334">
        <f t="shared" si="406"/>
        <v>0</v>
      </c>
      <c r="BF148" s="123"/>
      <c r="BG148" s="123"/>
      <c r="BH148" s="89"/>
      <c r="BI148" s="89"/>
      <c r="BJ148" s="548"/>
      <c r="BK148" s="548"/>
      <c r="BL148" s="549"/>
      <c r="BM148" s="547">
        <f t="shared" si="410"/>
        <v>0</v>
      </c>
      <c r="BN148" s="490" t="s">
        <v>229</v>
      </c>
      <c r="BO148" s="77"/>
      <c r="BP148" s="100"/>
      <c r="BQ148" s="536">
        <f t="shared" si="411"/>
        <v>0</v>
      </c>
      <c r="BR148" s="529"/>
      <c r="BS148" s="77"/>
      <c r="BT148" s="77"/>
      <c r="BU148" s="151"/>
      <c r="BV148" s="150">
        <f t="shared" si="442"/>
        <v>1096</v>
      </c>
      <c r="BW148" s="373"/>
      <c r="BX148" s="150" t="str">
        <f>IF(Tableau6[[#This Row],[Montant des loyers perçus avant 1e échéance]]&lt;BW148,"oui","non")</f>
        <v>non</v>
      </c>
      <c r="BY148" s="475">
        <f t="shared" si="412"/>
        <v>-1487.4333333333334</v>
      </c>
      <c r="BZ148" s="373">
        <f t="shared" si="413"/>
        <v>0</v>
      </c>
      <c r="CA148" s="373">
        <f>IF(BW148-BZ148&lt;0,0,Tableau6[[#This Row],[Montant échéance annuelle]]-Tableau6[[#This Row],[Montant des loyers perçus avant 1e échéance]])</f>
        <v>0</v>
      </c>
      <c r="CB148" s="286"/>
      <c r="CC148" s="622"/>
      <c r="CD148" s="288"/>
      <c r="CE148" s="290" t="str">
        <f t="shared" si="414"/>
        <v>0</v>
      </c>
      <c r="CF148" s="288"/>
      <c r="CG148" s="288"/>
      <c r="CH148" s="290" t="str">
        <f t="shared" si="415"/>
        <v>0</v>
      </c>
      <c r="CI148" s="288"/>
      <c r="CJ148" s="288"/>
      <c r="CK148" s="290" t="str">
        <f t="shared" si="416"/>
        <v>0</v>
      </c>
      <c r="CL148" s="288"/>
      <c r="CM148" s="288"/>
      <c r="CN148" s="290" t="str">
        <f t="shared" si="417"/>
        <v>0</v>
      </c>
      <c r="CO148" s="288"/>
      <c r="CP148" s="288"/>
      <c r="CQ148" s="290" t="str">
        <f t="shared" si="418"/>
        <v>0</v>
      </c>
      <c r="CR148" s="237"/>
      <c r="CS148" s="292"/>
      <c r="CT148" s="277"/>
      <c r="CU148" s="278"/>
      <c r="CV148" s="279" t="str">
        <f t="shared" si="407"/>
        <v>0</v>
      </c>
      <c r="CW148" s="277"/>
      <c r="CX148" s="382">
        <v>45110</v>
      </c>
      <c r="CY148" s="172"/>
      <c r="CZ148" s="231">
        <f t="shared" si="465"/>
        <v>1503.6666666666667</v>
      </c>
      <c r="DA148" s="279" t="str">
        <f t="shared" si="426"/>
        <v>0</v>
      </c>
      <c r="DB148" s="383">
        <v>18</v>
      </c>
      <c r="DC148" s="127">
        <f t="shared" si="427"/>
        <v>19</v>
      </c>
      <c r="DD148" s="277"/>
      <c r="DE148" s="282">
        <f t="shared" ca="1" si="428"/>
        <v>43998</v>
      </c>
      <c r="DF148" s="279" t="str">
        <f t="shared" ca="1" si="429"/>
        <v>0</v>
      </c>
      <c r="DG148" s="277"/>
      <c r="DH148" s="295">
        <f t="shared" ca="1" si="397"/>
        <v>43998</v>
      </c>
      <c r="DI148" s="280" t="str">
        <f t="shared" ca="1" si="430"/>
        <v>0</v>
      </c>
      <c r="DJ148" s="281"/>
      <c r="DK148" s="295">
        <f t="shared" ca="1" si="395"/>
        <v>43998</v>
      </c>
      <c r="DL148" s="279" t="str">
        <f t="shared" ca="1" si="431"/>
        <v>0</v>
      </c>
      <c r="DM148" s="282"/>
      <c r="DN148" s="282">
        <f t="shared" ca="1" si="396"/>
        <v>43998</v>
      </c>
      <c r="DO148" s="279" t="str">
        <f t="shared" ca="1" si="432"/>
        <v>0</v>
      </c>
      <c r="DP148" s="283"/>
      <c r="DQ148" s="283"/>
      <c r="DR148" s="279" t="str">
        <f t="shared" si="433"/>
        <v>0</v>
      </c>
      <c r="DS148" s="282"/>
      <c r="DT148" s="282">
        <f t="shared" ca="1" si="434"/>
        <v>43998</v>
      </c>
      <c r="DU148" s="279" t="str">
        <f t="shared" ca="1" si="435"/>
        <v>0</v>
      </c>
      <c r="DV148" s="282"/>
      <c r="DW148" s="282">
        <f t="shared" ca="1" si="436"/>
        <v>43998</v>
      </c>
      <c r="DX148" s="279" t="str">
        <f t="shared" ca="1" si="437"/>
        <v>0</v>
      </c>
      <c r="DY148" s="282"/>
      <c r="DZ148" s="282"/>
      <c r="EA148" s="283"/>
      <c r="EB148" s="410">
        <f t="shared" si="443"/>
        <v>45660</v>
      </c>
      <c r="EC148" s="409">
        <f t="shared" si="469"/>
        <v>45691</v>
      </c>
      <c r="ED148" s="406">
        <f t="shared" si="444"/>
        <v>1.0333333333333334</v>
      </c>
      <c r="EE148" s="505">
        <f t="shared" ca="1" si="438"/>
        <v>56.43333333333333</v>
      </c>
      <c r="EF148" s="409">
        <f t="shared" ca="1" si="470"/>
        <v>44728</v>
      </c>
      <c r="EG148" s="457"/>
      <c r="EH148" s="448"/>
      <c r="EI148" s="458">
        <f t="shared" si="463"/>
        <v>45813</v>
      </c>
      <c r="EJ148" s="242"/>
      <c r="EK148" s="456">
        <f t="shared" si="467"/>
        <v>45691</v>
      </c>
      <c r="EL148" s="409">
        <f t="shared" si="383"/>
        <v>45719</v>
      </c>
      <c r="EM148" s="314"/>
      <c r="EN148" s="404">
        <f t="shared" si="466"/>
        <v>0.93333333333333335</v>
      </c>
      <c r="EO148" s="131"/>
      <c r="EP148" s="131">
        <f t="shared" si="445"/>
        <v>0</v>
      </c>
      <c r="EQ148" s="60"/>
      <c r="ER148" s="60"/>
      <c r="ES148" s="742"/>
      <c r="ET148" s="300"/>
      <c r="EU148" s="300"/>
      <c r="EV148" s="300"/>
      <c r="EW148" s="300"/>
      <c r="EX148" s="300"/>
      <c r="EY148" s="416" t="e">
        <f t="shared" si="439"/>
        <v>#DIV/0!</v>
      </c>
      <c r="EZ148" s="297"/>
      <c r="FA148" s="308"/>
      <c r="FB148" s="297"/>
      <c r="FC148" s="297"/>
      <c r="FD148" s="89">
        <f t="shared" ca="1" si="468"/>
        <v>44728</v>
      </c>
      <c r="FE148" s="63"/>
      <c r="FF148" s="63"/>
      <c r="FG148" s="63"/>
      <c r="FH148" s="63"/>
      <c r="FI148" s="63"/>
      <c r="FJ148" s="22"/>
      <c r="FK148" s="146">
        <f t="shared" si="464"/>
        <v>46056</v>
      </c>
      <c r="FL148" s="146"/>
      <c r="FM148" s="146"/>
      <c r="FN148" s="22"/>
      <c r="FO148" s="22"/>
      <c r="FP148" s="22"/>
      <c r="FQ148" s="22"/>
      <c r="FR148" s="22"/>
      <c r="FS148" s="22"/>
      <c r="FT148" s="22"/>
      <c r="FU148" s="22"/>
      <c r="FV148" s="22"/>
      <c r="FW148" s="22"/>
      <c r="FX148" s="22"/>
      <c r="FY148" s="22"/>
      <c r="FZ148" s="22"/>
      <c r="GA148" s="451"/>
      <c r="GB148" s="471">
        <f>GD148+GG148+GJ148+HF148+Tableau6[[#This Row],[PRÊT CREDIT D''IMPOT (PM)]]</f>
        <v>0</v>
      </c>
      <c r="GC148" s="645">
        <f t="shared" si="446"/>
        <v>0</v>
      </c>
      <c r="GD148" s="507">
        <f t="shared" si="459"/>
        <v>0</v>
      </c>
      <c r="GE148" s="20" t="e">
        <f t="shared" si="447"/>
        <v>#DIV/0!</v>
      </c>
      <c r="GF148" s="20">
        <f t="shared" si="440"/>
        <v>0</v>
      </c>
      <c r="GG148" s="503"/>
      <c r="GH148" s="351"/>
      <c r="GI148" s="20">
        <f t="shared" si="409"/>
        <v>0</v>
      </c>
      <c r="GJ148" s="503">
        <f t="shared" si="448"/>
        <v>0</v>
      </c>
      <c r="GK148" s="5">
        <f t="shared" si="408"/>
        <v>0</v>
      </c>
      <c r="GL148" s="44"/>
      <c r="GM148" s="44"/>
      <c r="GN148" s="346">
        <f t="shared" si="449"/>
        <v>0</v>
      </c>
      <c r="GO148" s="35"/>
      <c r="GP148" s="5"/>
      <c r="GQ148" s="35"/>
      <c r="GR148" s="45" t="e">
        <f t="shared" si="450"/>
        <v>#DIV/0!</v>
      </c>
      <c r="GS148" s="35"/>
      <c r="GT148" s="35"/>
      <c r="GU148" s="35"/>
      <c r="GV148" s="20">
        <f t="shared" si="471"/>
        <v>0</v>
      </c>
      <c r="GW148" s="20">
        <f t="shared" si="472"/>
        <v>0</v>
      </c>
      <c r="GX148" s="569"/>
      <c r="GY148" s="569"/>
      <c r="GZ148" s="569" t="e">
        <f>(#REF!+#REF!+GY148)/AD148</f>
        <v>#REF!</v>
      </c>
      <c r="HA148" s="569"/>
      <c r="HB148" s="569">
        <f t="shared" si="473"/>
        <v>0</v>
      </c>
      <c r="HC148" s="568" t="e">
        <f t="shared" si="474"/>
        <v>#DIV/0!</v>
      </c>
      <c r="HD148" s="569"/>
      <c r="HE148" s="569"/>
      <c r="HF148" s="503"/>
      <c r="HG148" s="633"/>
      <c r="HH148" s="634" t="e">
        <f t="shared" si="420"/>
        <v>#DIV/0!</v>
      </c>
      <c r="HI148" s="633">
        <f t="shared" si="421"/>
        <v>0</v>
      </c>
      <c r="HJ148" s="633" t="e">
        <f t="shared" ca="1" si="422"/>
        <v>#VALUE!</v>
      </c>
      <c r="HK148" s="634" t="e">
        <f t="shared" ca="1" si="423"/>
        <v>#VALUE!</v>
      </c>
      <c r="HL148" s="633"/>
      <c r="HM148" s="633">
        <f t="shared" si="424"/>
        <v>0</v>
      </c>
      <c r="HN148" s="633" t="e">
        <f t="shared" si="425"/>
        <v>#DIV/0!</v>
      </c>
      <c r="HO148" s="633"/>
      <c r="HP148" s="563"/>
      <c r="HQ148" s="47"/>
      <c r="HR148" s="563"/>
      <c r="HS148" s="563">
        <f>SUM(Tableau6[[#This Row],[GO]:[CARRELAGE]])</f>
        <v>0</v>
      </c>
      <c r="HT148" s="461"/>
      <c r="HU148" s="461"/>
      <c r="HV148" s="461"/>
      <c r="HW148" s="461"/>
      <c r="HX148" s="461"/>
      <c r="HY148" s="461"/>
      <c r="HZ148" s="461"/>
      <c r="IA148" s="461"/>
      <c r="IB148" s="461"/>
      <c r="IC148" s="461"/>
      <c r="ID148" s="461"/>
      <c r="IE148" s="461"/>
      <c r="IF148" s="461"/>
      <c r="IG148" s="563"/>
      <c r="IH148" s="563"/>
      <c r="II148" s="563">
        <f>HP148+HR148+Tableau6[[#This Row],[TRAVAUX BATIS]]+Tableau6[[#This Row],[HONORAIRES]]+IH148</f>
        <v>0</v>
      </c>
      <c r="IJ148" s="654">
        <f>Tableau6[[#This Row],[TOTAL PRP HT]]-Tableau6[[#This Row],[PRP TTC HORS FRAFU]]/1.021</f>
        <v>0</v>
      </c>
    </row>
    <row r="149" spans="1:256" ht="15" customHeight="1">
      <c r="A149" s="48" t="s">
        <v>607</v>
      </c>
      <c r="B149" s="22" t="s">
        <v>14</v>
      </c>
      <c r="C149" s="22" t="s">
        <v>86</v>
      </c>
      <c r="D149" s="22" t="s">
        <v>626</v>
      </c>
      <c r="E149" s="22"/>
      <c r="F149" s="22"/>
      <c r="G149" s="22"/>
      <c r="H149" s="24"/>
      <c r="I149" s="22"/>
      <c r="J149" s="22" t="s">
        <v>715</v>
      </c>
      <c r="K149" s="134" t="s">
        <v>608</v>
      </c>
      <c r="L149" s="81"/>
      <c r="M149" s="82"/>
      <c r="N149" s="83"/>
      <c r="O149" s="103">
        <v>4900</v>
      </c>
      <c r="P149" s="103"/>
      <c r="Q149" s="103"/>
      <c r="R149" s="103">
        <f t="shared" si="451"/>
        <v>0</v>
      </c>
      <c r="S149" s="103">
        <f t="shared" si="452"/>
        <v>0</v>
      </c>
      <c r="T149" s="109">
        <f t="shared" si="453"/>
        <v>0</v>
      </c>
      <c r="U149" s="109" t="e">
        <f t="shared" si="454"/>
        <v>#DIV/0!</v>
      </c>
      <c r="V149" s="109">
        <f t="shared" si="455"/>
        <v>0</v>
      </c>
      <c r="W149" s="103">
        <f t="shared" si="456"/>
        <v>163.33333333333334</v>
      </c>
      <c r="X149" s="104"/>
      <c r="Y149" s="447">
        <f t="shared" si="457"/>
        <v>61.224489795918366</v>
      </c>
      <c r="Z149" s="104"/>
      <c r="AA149" s="104"/>
      <c r="AB149" s="105"/>
      <c r="AC149" s="22" t="s">
        <v>10</v>
      </c>
      <c r="AD149" s="426">
        <f t="shared" si="441"/>
        <v>30</v>
      </c>
      <c r="AE149" s="427">
        <f t="shared" si="458"/>
        <v>30</v>
      </c>
      <c r="AF149" s="32"/>
      <c r="AG149" s="22">
        <v>30</v>
      </c>
      <c r="AH149" s="32"/>
      <c r="AI149" s="32"/>
      <c r="AJ149" s="615"/>
      <c r="AK149" s="222"/>
      <c r="AL149" s="492">
        <f t="shared" si="402"/>
        <v>0</v>
      </c>
      <c r="AM149" s="4">
        <f t="shared" si="403"/>
        <v>0</v>
      </c>
      <c r="AN149" s="26"/>
      <c r="AO149" s="26"/>
      <c r="AP149" s="26"/>
      <c r="AQ149" s="39"/>
      <c r="AR149" s="39"/>
      <c r="AS149" s="39"/>
      <c r="AT149" s="39"/>
      <c r="AU149" s="39"/>
      <c r="AV149" s="26"/>
      <c r="AW149" s="37"/>
      <c r="AX149" s="39"/>
      <c r="AY149" s="26"/>
      <c r="AZ149" s="25"/>
      <c r="BA149" s="22"/>
      <c r="BB149" s="22"/>
      <c r="BC149" s="437" t="e">
        <f t="shared" si="404"/>
        <v>#DIV/0!</v>
      </c>
      <c r="BD149" s="332" t="e">
        <f t="shared" si="405"/>
        <v>#DIV/0!</v>
      </c>
      <c r="BE149" s="334">
        <f t="shared" si="406"/>
        <v>0</v>
      </c>
      <c r="BF149" s="123"/>
      <c r="BG149" s="123"/>
      <c r="BH149" s="89"/>
      <c r="BI149" s="89"/>
      <c r="BJ149" s="548"/>
      <c r="BK149" s="548"/>
      <c r="BL149" s="549"/>
      <c r="BM149" s="547">
        <f t="shared" si="410"/>
        <v>0</v>
      </c>
      <c r="BN149" s="490" t="s">
        <v>229</v>
      </c>
      <c r="BO149" s="77"/>
      <c r="BP149" s="100"/>
      <c r="BQ149" s="536">
        <f t="shared" si="411"/>
        <v>0</v>
      </c>
      <c r="BR149" s="529"/>
      <c r="BS149" s="77"/>
      <c r="BT149" s="77"/>
      <c r="BU149" s="151"/>
      <c r="BV149" s="150">
        <f t="shared" si="442"/>
        <v>1096</v>
      </c>
      <c r="BW149" s="373"/>
      <c r="BX149" s="150" t="str">
        <f>IF(Tableau6[[#This Row],[Montant des loyers perçus avant 1e échéance]]&lt;BW149,"oui","non")</f>
        <v>non</v>
      </c>
      <c r="BY149" s="475">
        <f t="shared" si="412"/>
        <v>-1487.4666666666667</v>
      </c>
      <c r="BZ149" s="373">
        <f t="shared" si="413"/>
        <v>0</v>
      </c>
      <c r="CA149" s="373">
        <f>IF(BW149-BZ149&lt;0,0,Tableau6[[#This Row],[Montant échéance annuelle]]-Tableau6[[#This Row],[Montant des loyers perçus avant 1e échéance]])</f>
        <v>0</v>
      </c>
      <c r="CB149" s="286"/>
      <c r="CC149" s="288"/>
      <c r="CD149" s="288"/>
      <c r="CE149" s="290" t="str">
        <f t="shared" si="414"/>
        <v>0</v>
      </c>
      <c r="CF149" s="288"/>
      <c r="CG149" s="288"/>
      <c r="CH149" s="290" t="str">
        <f t="shared" si="415"/>
        <v>0</v>
      </c>
      <c r="CI149" s="288"/>
      <c r="CJ149" s="288"/>
      <c r="CK149" s="290" t="str">
        <f t="shared" si="416"/>
        <v>0</v>
      </c>
      <c r="CL149" s="288"/>
      <c r="CM149" s="288"/>
      <c r="CN149" s="290" t="str">
        <f t="shared" si="417"/>
        <v>0</v>
      </c>
      <c r="CO149" s="288"/>
      <c r="CP149" s="288"/>
      <c r="CQ149" s="290" t="str">
        <f t="shared" si="418"/>
        <v>0</v>
      </c>
      <c r="CR149" s="237"/>
      <c r="CS149" s="292"/>
      <c r="CT149" s="277"/>
      <c r="CU149" s="278"/>
      <c r="CV149" s="279" t="str">
        <f t="shared" si="407"/>
        <v>0</v>
      </c>
      <c r="CW149" s="277"/>
      <c r="CX149" s="382">
        <v>45111</v>
      </c>
      <c r="CY149" s="178"/>
      <c r="CZ149" s="231">
        <f t="shared" si="465"/>
        <v>1503.7</v>
      </c>
      <c r="DA149" s="279" t="str">
        <f t="shared" si="426"/>
        <v>0</v>
      </c>
      <c r="DB149" s="383">
        <v>18</v>
      </c>
      <c r="DC149" s="127">
        <f t="shared" si="427"/>
        <v>19</v>
      </c>
      <c r="DD149" s="277"/>
      <c r="DE149" s="282">
        <f t="shared" ca="1" si="428"/>
        <v>43998</v>
      </c>
      <c r="DF149" s="279" t="str">
        <f t="shared" ca="1" si="429"/>
        <v>0</v>
      </c>
      <c r="DG149" s="277"/>
      <c r="DH149" s="295">
        <f t="shared" ca="1" si="397"/>
        <v>43998</v>
      </c>
      <c r="DI149" s="280" t="str">
        <f t="shared" ca="1" si="430"/>
        <v>0</v>
      </c>
      <c r="DJ149" s="281"/>
      <c r="DK149" s="295">
        <f t="shared" ca="1" si="395"/>
        <v>43998</v>
      </c>
      <c r="DL149" s="279" t="str">
        <f t="shared" ca="1" si="431"/>
        <v>0</v>
      </c>
      <c r="DM149" s="282"/>
      <c r="DN149" s="282">
        <f t="shared" ca="1" si="396"/>
        <v>43998</v>
      </c>
      <c r="DO149" s="279" t="str">
        <f t="shared" ca="1" si="432"/>
        <v>0</v>
      </c>
      <c r="DP149" s="283"/>
      <c r="DQ149" s="283"/>
      <c r="DR149" s="279" t="str">
        <f t="shared" si="433"/>
        <v>0</v>
      </c>
      <c r="DS149" s="282"/>
      <c r="DT149" s="282">
        <f t="shared" ca="1" si="434"/>
        <v>43998</v>
      </c>
      <c r="DU149" s="279" t="str">
        <f t="shared" ca="1" si="435"/>
        <v>0</v>
      </c>
      <c r="DV149" s="282"/>
      <c r="DW149" s="282">
        <f t="shared" ca="1" si="436"/>
        <v>43998</v>
      </c>
      <c r="DX149" s="279" t="str">
        <f t="shared" ca="1" si="437"/>
        <v>0</v>
      </c>
      <c r="DY149" s="282"/>
      <c r="DZ149" s="282"/>
      <c r="EA149" s="283"/>
      <c r="EB149" s="410">
        <f t="shared" si="443"/>
        <v>45661</v>
      </c>
      <c r="EC149" s="409">
        <f t="shared" si="469"/>
        <v>45692</v>
      </c>
      <c r="ED149" s="406">
        <f t="shared" si="444"/>
        <v>1.0333333333333334</v>
      </c>
      <c r="EE149" s="505">
        <f t="shared" ca="1" si="438"/>
        <v>56.466666666666669</v>
      </c>
      <c r="EF149" s="409">
        <f t="shared" ca="1" si="470"/>
        <v>44728</v>
      </c>
      <c r="EG149" s="457"/>
      <c r="EH149" s="448"/>
      <c r="EI149" s="458">
        <f t="shared" si="463"/>
        <v>45814</v>
      </c>
      <c r="EJ149" s="242"/>
      <c r="EK149" s="456">
        <f t="shared" si="467"/>
        <v>45692</v>
      </c>
      <c r="EL149" s="409">
        <f t="shared" si="383"/>
        <v>45720</v>
      </c>
      <c r="EM149" s="314"/>
      <c r="EN149" s="404">
        <f t="shared" si="466"/>
        <v>0.93333333333333335</v>
      </c>
      <c r="EO149" s="394"/>
      <c r="EP149" s="131">
        <f t="shared" si="445"/>
        <v>0</v>
      </c>
      <c r="EQ149" s="60"/>
      <c r="ER149" s="60"/>
      <c r="ES149" s="742"/>
      <c r="ET149" s="300"/>
      <c r="EU149" s="300"/>
      <c r="EV149" s="300"/>
      <c r="EW149" s="300"/>
      <c r="EX149" s="415"/>
      <c r="EY149" s="416" t="e">
        <f t="shared" si="439"/>
        <v>#DIV/0!</v>
      </c>
      <c r="EZ149" s="297"/>
      <c r="FA149" s="308"/>
      <c r="FB149" s="302"/>
      <c r="FC149" s="302"/>
      <c r="FD149" s="89">
        <f t="shared" ca="1" si="468"/>
        <v>44728</v>
      </c>
      <c r="FE149" s="63"/>
      <c r="FF149" s="63"/>
      <c r="FG149" s="63"/>
      <c r="FH149" s="63"/>
      <c r="FI149" s="63"/>
      <c r="FJ149" s="22"/>
      <c r="FK149" s="146">
        <f t="shared" si="464"/>
        <v>46057</v>
      </c>
      <c r="FL149" s="146"/>
      <c r="FM149" s="146"/>
      <c r="FN149" s="22"/>
      <c r="FO149" s="22"/>
      <c r="FP149" s="22"/>
      <c r="FQ149" s="22"/>
      <c r="FR149" s="22"/>
      <c r="FS149" s="22"/>
      <c r="FT149" s="22"/>
      <c r="FU149" s="22"/>
      <c r="FV149" s="22"/>
      <c r="FW149" s="22"/>
      <c r="FX149" s="22"/>
      <c r="FY149" s="22"/>
      <c r="FZ149" s="22"/>
      <c r="GA149" s="451"/>
      <c r="GB149" s="471">
        <f>GD149+GG149+GJ149+HF149+Tableau6[[#This Row],[PRÊT CREDIT D''IMPOT (PM)]]</f>
        <v>0</v>
      </c>
      <c r="GC149" s="645">
        <f t="shared" si="446"/>
        <v>0</v>
      </c>
      <c r="GD149" s="507">
        <f t="shared" si="459"/>
        <v>0</v>
      </c>
      <c r="GE149" s="20" t="e">
        <f t="shared" si="447"/>
        <v>#DIV/0!</v>
      </c>
      <c r="GF149" s="20">
        <f t="shared" si="440"/>
        <v>0</v>
      </c>
      <c r="GG149" s="503"/>
      <c r="GH149" s="351"/>
      <c r="GI149" s="20">
        <f t="shared" si="409"/>
        <v>0</v>
      </c>
      <c r="GJ149" s="503">
        <f t="shared" si="448"/>
        <v>0</v>
      </c>
      <c r="GK149" s="5">
        <f t="shared" si="408"/>
        <v>0</v>
      </c>
      <c r="GL149" s="44"/>
      <c r="GM149" s="44"/>
      <c r="GN149" s="346">
        <f t="shared" si="449"/>
        <v>0</v>
      </c>
      <c r="GO149" s="35"/>
      <c r="GP149" s="5"/>
      <c r="GQ149" s="35"/>
      <c r="GR149" s="45" t="e">
        <f t="shared" si="450"/>
        <v>#DIV/0!</v>
      </c>
      <c r="GS149" s="35"/>
      <c r="GT149" s="35"/>
      <c r="GU149" s="35"/>
      <c r="GV149" s="20">
        <f t="shared" si="471"/>
        <v>0</v>
      </c>
      <c r="GW149" s="20">
        <f t="shared" si="472"/>
        <v>0</v>
      </c>
      <c r="GX149" s="569"/>
      <c r="GY149" s="569"/>
      <c r="GZ149" s="569" t="e">
        <f>(#REF!+#REF!+GY149)/AD149</f>
        <v>#REF!</v>
      </c>
      <c r="HA149" s="569"/>
      <c r="HB149" s="569">
        <f t="shared" si="473"/>
        <v>0</v>
      </c>
      <c r="HC149" s="568" t="e">
        <f t="shared" si="474"/>
        <v>#DIV/0!</v>
      </c>
      <c r="HD149" s="569"/>
      <c r="HE149" s="569"/>
      <c r="HF149" s="503"/>
      <c r="HG149" s="633"/>
      <c r="HH149" s="634" t="e">
        <f t="shared" si="420"/>
        <v>#DIV/0!</v>
      </c>
      <c r="HI149" s="633">
        <f t="shared" si="421"/>
        <v>0</v>
      </c>
      <c r="HJ149" s="633" t="e">
        <f t="shared" ca="1" si="422"/>
        <v>#VALUE!</v>
      </c>
      <c r="HK149" s="634" t="e">
        <f t="shared" ca="1" si="423"/>
        <v>#VALUE!</v>
      </c>
      <c r="HL149" s="633"/>
      <c r="HM149" s="633">
        <f t="shared" si="424"/>
        <v>0</v>
      </c>
      <c r="HN149" s="633" t="e">
        <f t="shared" si="425"/>
        <v>#DIV/0!</v>
      </c>
      <c r="HO149" s="633"/>
      <c r="HP149" s="563"/>
      <c r="HQ149" s="47"/>
      <c r="HR149" s="563"/>
      <c r="HS149" s="563">
        <f>SUM(Tableau6[[#This Row],[GO]:[CARRELAGE]])</f>
        <v>0</v>
      </c>
      <c r="HT149" s="461"/>
      <c r="HU149" s="461"/>
      <c r="HV149" s="461"/>
      <c r="HW149" s="461"/>
      <c r="HX149" s="461"/>
      <c r="HY149" s="461"/>
      <c r="HZ149" s="461"/>
      <c r="IA149" s="461"/>
      <c r="IB149" s="461"/>
      <c r="IC149" s="461"/>
      <c r="ID149" s="461"/>
      <c r="IE149" s="461"/>
      <c r="IF149" s="461"/>
      <c r="IG149" s="563"/>
      <c r="IH149" s="563"/>
      <c r="II149" s="563">
        <f>HP149+HR149+Tableau6[[#This Row],[TRAVAUX BATIS]]+Tableau6[[#This Row],[HONORAIRES]]+IH149</f>
        <v>0</v>
      </c>
      <c r="IJ149" s="654">
        <f>Tableau6[[#This Row],[TOTAL PRP HT]]-Tableau6[[#This Row],[PRP TTC HORS FRAFU]]/1.021</f>
        <v>0</v>
      </c>
      <c r="IK149" s="9"/>
      <c r="IL149" s="9"/>
      <c r="IM149" s="9"/>
      <c r="IN149" s="9"/>
      <c r="IO149" s="9"/>
      <c r="IP149" s="9"/>
      <c r="IQ149" s="9"/>
      <c r="IR149" s="9"/>
      <c r="IS149" s="9"/>
      <c r="IT149" s="9"/>
      <c r="IU149" s="9"/>
      <c r="IV149" s="9"/>
    </row>
    <row r="150" spans="1:256" ht="15" customHeight="1">
      <c r="A150" s="428" t="s">
        <v>609</v>
      </c>
      <c r="B150" s="22" t="s">
        <v>14</v>
      </c>
      <c r="C150" s="22" t="s">
        <v>86</v>
      </c>
      <c r="D150" s="22" t="s">
        <v>626</v>
      </c>
      <c r="E150" s="22"/>
      <c r="F150" s="22"/>
      <c r="G150" s="22"/>
      <c r="H150" s="24"/>
      <c r="I150" s="22"/>
      <c r="J150" s="22" t="s">
        <v>610</v>
      </c>
      <c r="K150" s="134" t="s">
        <v>611</v>
      </c>
      <c r="L150" s="81"/>
      <c r="M150" s="82"/>
      <c r="N150" s="83"/>
      <c r="O150" s="103">
        <v>5900</v>
      </c>
      <c r="P150" s="103"/>
      <c r="Q150" s="103"/>
      <c r="R150" s="103">
        <f t="shared" si="451"/>
        <v>0</v>
      </c>
      <c r="S150" s="103">
        <f t="shared" si="452"/>
        <v>0</v>
      </c>
      <c r="T150" s="109">
        <f t="shared" si="453"/>
        <v>0</v>
      </c>
      <c r="U150" s="109" t="e">
        <f t="shared" si="454"/>
        <v>#DIV/0!</v>
      </c>
      <c r="V150" s="109">
        <f t="shared" si="455"/>
        <v>0</v>
      </c>
      <c r="W150" s="103">
        <f t="shared" si="456"/>
        <v>393.33333333333331</v>
      </c>
      <c r="X150" s="104"/>
      <c r="Y150" s="447">
        <f t="shared" si="457"/>
        <v>25.423728813559322</v>
      </c>
      <c r="Z150" s="104" t="s">
        <v>612</v>
      </c>
      <c r="AA150" s="104"/>
      <c r="AB150" s="105"/>
      <c r="AC150" s="22" t="s">
        <v>10</v>
      </c>
      <c r="AD150" s="426">
        <f t="shared" si="441"/>
        <v>15</v>
      </c>
      <c r="AE150" s="427">
        <f t="shared" si="458"/>
        <v>15</v>
      </c>
      <c r="AF150" s="32"/>
      <c r="AG150" s="22">
        <v>15</v>
      </c>
      <c r="AH150" s="32"/>
      <c r="AI150" s="32"/>
      <c r="AJ150" s="615"/>
      <c r="AK150" s="222"/>
      <c r="AL150" s="492">
        <f t="shared" si="402"/>
        <v>0</v>
      </c>
      <c r="AM150" s="4">
        <f t="shared" si="403"/>
        <v>0</v>
      </c>
      <c r="AN150" s="26"/>
      <c r="AO150" s="26"/>
      <c r="AP150" s="26"/>
      <c r="AQ150" s="39"/>
      <c r="AR150" s="39"/>
      <c r="AS150" s="39"/>
      <c r="AT150" s="39"/>
      <c r="AU150" s="39"/>
      <c r="AV150" s="26"/>
      <c r="AW150" s="37"/>
      <c r="AX150" s="39"/>
      <c r="AY150" s="26"/>
      <c r="AZ150" s="25"/>
      <c r="BA150" s="22"/>
      <c r="BB150" s="22"/>
      <c r="BC150" s="437" t="e">
        <f t="shared" si="404"/>
        <v>#DIV/0!</v>
      </c>
      <c r="BD150" s="332" t="e">
        <f t="shared" si="405"/>
        <v>#DIV/0!</v>
      </c>
      <c r="BE150" s="334">
        <f t="shared" si="406"/>
        <v>0</v>
      </c>
      <c r="BF150" s="123"/>
      <c r="BG150" s="123"/>
      <c r="BH150" s="89"/>
      <c r="BI150" s="89"/>
      <c r="BJ150" s="548"/>
      <c r="BK150" s="548"/>
      <c r="BL150" s="549"/>
      <c r="BM150" s="547">
        <f t="shared" si="410"/>
        <v>0</v>
      </c>
      <c r="BN150" s="490" t="s">
        <v>229</v>
      </c>
      <c r="BO150" s="77"/>
      <c r="BP150" s="100"/>
      <c r="BQ150" s="536">
        <f t="shared" si="411"/>
        <v>0</v>
      </c>
      <c r="BR150" s="529"/>
      <c r="BS150" s="77"/>
      <c r="BT150" s="77"/>
      <c r="BU150" s="151"/>
      <c r="BV150" s="150">
        <f t="shared" si="442"/>
        <v>1096</v>
      </c>
      <c r="BW150" s="373"/>
      <c r="BX150" s="150" t="str">
        <f>IF(Tableau6[[#This Row],[Montant des loyers perçus avant 1e échéance]]&lt;BW150,"oui","non")</f>
        <v>non</v>
      </c>
      <c r="BY150" s="475">
        <f t="shared" si="412"/>
        <v>-1487.5</v>
      </c>
      <c r="BZ150" s="373">
        <f t="shared" si="413"/>
        <v>0</v>
      </c>
      <c r="CA150" s="373">
        <f>IF(BW150-BZ150&lt;0,0,Tableau6[[#This Row],[Montant échéance annuelle]]-Tableau6[[#This Row],[Montant des loyers perçus avant 1e échéance]])</f>
        <v>0</v>
      </c>
      <c r="CB150" s="286"/>
      <c r="CC150" s="288"/>
      <c r="CD150" s="288"/>
      <c r="CE150" s="290" t="str">
        <f t="shared" si="414"/>
        <v>0</v>
      </c>
      <c r="CF150" s="288"/>
      <c r="CG150" s="288"/>
      <c r="CH150" s="290" t="str">
        <f t="shared" si="415"/>
        <v>0</v>
      </c>
      <c r="CI150" s="288"/>
      <c r="CJ150" s="288"/>
      <c r="CK150" s="290" t="str">
        <f t="shared" si="416"/>
        <v>0</v>
      </c>
      <c r="CL150" s="288"/>
      <c r="CM150" s="288"/>
      <c r="CN150" s="290" t="str">
        <f t="shared" si="417"/>
        <v>0</v>
      </c>
      <c r="CO150" s="288"/>
      <c r="CP150" s="288"/>
      <c r="CQ150" s="290" t="str">
        <f t="shared" si="418"/>
        <v>0</v>
      </c>
      <c r="CR150" s="237"/>
      <c r="CS150" s="292"/>
      <c r="CT150" s="277"/>
      <c r="CU150" s="278"/>
      <c r="CV150" s="279" t="str">
        <f t="shared" si="407"/>
        <v>0</v>
      </c>
      <c r="CW150" s="277"/>
      <c r="CX150" s="382">
        <v>45112</v>
      </c>
      <c r="CY150" s="178"/>
      <c r="CZ150" s="231">
        <f t="shared" si="465"/>
        <v>1503.7333333333333</v>
      </c>
      <c r="DA150" s="279" t="str">
        <f t="shared" si="426"/>
        <v>0</v>
      </c>
      <c r="DB150" s="383">
        <v>18</v>
      </c>
      <c r="DC150" s="127">
        <f t="shared" si="427"/>
        <v>19</v>
      </c>
      <c r="DD150" s="277"/>
      <c r="DE150" s="282">
        <f t="shared" ca="1" si="428"/>
        <v>43998</v>
      </c>
      <c r="DF150" s="279" t="str">
        <f t="shared" ca="1" si="429"/>
        <v>0</v>
      </c>
      <c r="DG150" s="277"/>
      <c r="DH150" s="295">
        <f t="shared" ca="1" si="397"/>
        <v>43998</v>
      </c>
      <c r="DI150" s="280" t="str">
        <f t="shared" ca="1" si="430"/>
        <v>0</v>
      </c>
      <c r="DJ150" s="281"/>
      <c r="DK150" s="295">
        <f t="shared" ca="1" si="395"/>
        <v>43998</v>
      </c>
      <c r="DL150" s="279" t="str">
        <f t="shared" ca="1" si="431"/>
        <v>0</v>
      </c>
      <c r="DM150" s="282"/>
      <c r="DN150" s="282">
        <f t="shared" ca="1" si="396"/>
        <v>43998</v>
      </c>
      <c r="DO150" s="279" t="str">
        <f t="shared" ca="1" si="432"/>
        <v>0</v>
      </c>
      <c r="DP150" s="283"/>
      <c r="DQ150" s="283"/>
      <c r="DR150" s="279" t="str">
        <f t="shared" si="433"/>
        <v>0</v>
      </c>
      <c r="DS150" s="282"/>
      <c r="DT150" s="282">
        <f t="shared" ca="1" si="434"/>
        <v>43998</v>
      </c>
      <c r="DU150" s="279" t="str">
        <f t="shared" ca="1" si="435"/>
        <v>0</v>
      </c>
      <c r="DV150" s="282"/>
      <c r="DW150" s="282">
        <f t="shared" ca="1" si="436"/>
        <v>43998</v>
      </c>
      <c r="DX150" s="279" t="str">
        <f t="shared" ca="1" si="437"/>
        <v>0</v>
      </c>
      <c r="DY150" s="282"/>
      <c r="DZ150" s="282"/>
      <c r="EA150" s="283"/>
      <c r="EB150" s="410">
        <f t="shared" si="443"/>
        <v>45662</v>
      </c>
      <c r="EC150" s="409">
        <f t="shared" si="469"/>
        <v>45693</v>
      </c>
      <c r="ED150" s="406">
        <f t="shared" si="444"/>
        <v>1.0333333333333334</v>
      </c>
      <c r="EE150" s="505">
        <f t="shared" ca="1" si="438"/>
        <v>56.5</v>
      </c>
      <c r="EF150" s="409">
        <f t="shared" ca="1" si="470"/>
        <v>44728</v>
      </c>
      <c r="EG150" s="457"/>
      <c r="EH150" s="448"/>
      <c r="EI150" s="458">
        <f t="shared" si="463"/>
        <v>45815</v>
      </c>
      <c r="EJ150" s="242"/>
      <c r="EK150" s="456">
        <f t="shared" si="467"/>
        <v>45693</v>
      </c>
      <c r="EL150" s="409">
        <f t="shared" si="383"/>
        <v>45721</v>
      </c>
      <c r="EM150" s="314"/>
      <c r="EN150" s="404">
        <f t="shared" si="466"/>
        <v>0.93333333333333335</v>
      </c>
      <c r="EO150" s="394"/>
      <c r="EP150" s="131">
        <f t="shared" si="445"/>
        <v>0</v>
      </c>
      <c r="EQ150" s="60"/>
      <c r="ER150" s="60"/>
      <c r="ES150" s="742"/>
      <c r="ET150" s="300"/>
      <c r="EU150" s="300"/>
      <c r="EV150" s="300"/>
      <c r="EW150" s="300"/>
      <c r="EX150" s="415"/>
      <c r="EY150" s="416" t="e">
        <f t="shared" si="439"/>
        <v>#DIV/0!</v>
      </c>
      <c r="EZ150" s="297"/>
      <c r="FA150" s="308"/>
      <c r="FB150" s="302"/>
      <c r="FC150" s="302"/>
      <c r="FD150" s="89">
        <f t="shared" ca="1" si="468"/>
        <v>44728</v>
      </c>
      <c r="FE150" s="63"/>
      <c r="FF150" s="63"/>
      <c r="FG150" s="63"/>
      <c r="FH150" s="63"/>
      <c r="FI150" s="63"/>
      <c r="FJ150" s="22"/>
      <c r="FK150" s="146">
        <f t="shared" si="464"/>
        <v>46058</v>
      </c>
      <c r="FL150" s="146"/>
      <c r="FM150" s="146"/>
      <c r="FN150" s="22"/>
      <c r="FO150" s="22"/>
      <c r="FP150" s="22"/>
      <c r="FQ150" s="22"/>
      <c r="FR150" s="22"/>
      <c r="FS150" s="22"/>
      <c r="FT150" s="22"/>
      <c r="FU150" s="22"/>
      <c r="FV150" s="22"/>
      <c r="FW150" s="22"/>
      <c r="FX150" s="22"/>
      <c r="FY150" s="22"/>
      <c r="FZ150" s="22"/>
      <c r="GA150" s="451"/>
      <c r="GB150" s="471">
        <f>GD150+GG150+GJ150+HF150+Tableau6[[#This Row],[PRÊT CREDIT D''IMPOT (PM)]]</f>
        <v>0</v>
      </c>
      <c r="GC150" s="645">
        <f t="shared" si="446"/>
        <v>0</v>
      </c>
      <c r="GD150" s="507">
        <f t="shared" si="459"/>
        <v>0</v>
      </c>
      <c r="GE150" s="20" t="e">
        <f t="shared" si="447"/>
        <v>#DIV/0!</v>
      </c>
      <c r="GF150" s="20">
        <f t="shared" si="440"/>
        <v>0</v>
      </c>
      <c r="GG150" s="503"/>
      <c r="GH150" s="351"/>
      <c r="GI150" s="20">
        <f t="shared" si="409"/>
        <v>0</v>
      </c>
      <c r="GJ150" s="503">
        <f t="shared" si="448"/>
        <v>0</v>
      </c>
      <c r="GK150" s="5">
        <f t="shared" si="408"/>
        <v>0</v>
      </c>
      <c r="GL150" s="44"/>
      <c r="GM150" s="44"/>
      <c r="GN150" s="346">
        <f t="shared" si="449"/>
        <v>0</v>
      </c>
      <c r="GO150" s="35"/>
      <c r="GP150" s="5"/>
      <c r="GQ150" s="35"/>
      <c r="GR150" s="45" t="e">
        <f t="shared" si="450"/>
        <v>#DIV/0!</v>
      </c>
      <c r="GS150" s="35"/>
      <c r="GT150" s="35"/>
      <c r="GU150" s="35"/>
      <c r="GV150" s="20">
        <f t="shared" si="471"/>
        <v>0</v>
      </c>
      <c r="GW150" s="20">
        <f t="shared" si="472"/>
        <v>0</v>
      </c>
      <c r="GX150" s="569"/>
      <c r="GY150" s="569"/>
      <c r="GZ150" s="569" t="e">
        <f>(#REF!+#REF!+GY150)/AD150</f>
        <v>#REF!</v>
      </c>
      <c r="HA150" s="569"/>
      <c r="HB150" s="569">
        <f t="shared" si="473"/>
        <v>0</v>
      </c>
      <c r="HC150" s="568" t="e">
        <f t="shared" si="474"/>
        <v>#DIV/0!</v>
      </c>
      <c r="HD150" s="569"/>
      <c r="HE150" s="569"/>
      <c r="HF150" s="503"/>
      <c r="HG150" s="633"/>
      <c r="HH150" s="634" t="e">
        <f t="shared" si="420"/>
        <v>#DIV/0!</v>
      </c>
      <c r="HI150" s="633">
        <f t="shared" si="421"/>
        <v>0</v>
      </c>
      <c r="HJ150" s="633" t="e">
        <f t="shared" ca="1" si="422"/>
        <v>#VALUE!</v>
      </c>
      <c r="HK150" s="634" t="e">
        <f t="shared" ca="1" si="423"/>
        <v>#VALUE!</v>
      </c>
      <c r="HL150" s="633"/>
      <c r="HM150" s="633">
        <f t="shared" si="424"/>
        <v>0</v>
      </c>
      <c r="HN150" s="633" t="e">
        <f t="shared" si="425"/>
        <v>#DIV/0!</v>
      </c>
      <c r="HO150" s="633"/>
      <c r="HP150" s="563"/>
      <c r="HQ150" s="47"/>
      <c r="HR150" s="563"/>
      <c r="HS150" s="563">
        <f>SUM(Tableau6[[#This Row],[GO]:[CARRELAGE]])</f>
        <v>0</v>
      </c>
      <c r="HT150" s="461"/>
      <c r="HU150" s="461"/>
      <c r="HV150" s="461"/>
      <c r="HW150" s="461"/>
      <c r="HX150" s="461"/>
      <c r="HY150" s="461"/>
      <c r="HZ150" s="461"/>
      <c r="IA150" s="461"/>
      <c r="IB150" s="461"/>
      <c r="IC150" s="461"/>
      <c r="ID150" s="461"/>
      <c r="IE150" s="461"/>
      <c r="IF150" s="461"/>
      <c r="IG150" s="563"/>
      <c r="IH150" s="563"/>
      <c r="II150" s="563">
        <f>HP150+HR150+Tableau6[[#This Row],[TRAVAUX BATIS]]+Tableau6[[#This Row],[HONORAIRES]]+IH150</f>
        <v>0</v>
      </c>
      <c r="IJ150" s="654">
        <f>Tableau6[[#This Row],[TOTAL PRP HT]]-Tableau6[[#This Row],[PRP TTC HORS FRAFU]]/1.021</f>
        <v>0</v>
      </c>
      <c r="IK150" s="9"/>
      <c r="IL150" s="9"/>
      <c r="IM150" s="9"/>
      <c r="IN150" s="9"/>
      <c r="IO150" s="9"/>
      <c r="IP150" s="9"/>
      <c r="IQ150" s="9"/>
      <c r="IR150" s="9"/>
      <c r="IS150" s="9"/>
      <c r="IT150" s="9"/>
      <c r="IU150" s="9"/>
      <c r="IV150" s="9"/>
    </row>
    <row r="151" spans="1:256" ht="15" customHeight="1">
      <c r="A151" s="48" t="s">
        <v>604</v>
      </c>
      <c r="B151" s="22" t="s">
        <v>14</v>
      </c>
      <c r="C151" s="22" t="s">
        <v>86</v>
      </c>
      <c r="D151" s="22" t="s">
        <v>626</v>
      </c>
      <c r="E151" s="22"/>
      <c r="F151" s="22"/>
      <c r="G151" s="22"/>
      <c r="H151" s="24"/>
      <c r="I151" s="22"/>
      <c r="J151" s="22" t="s">
        <v>605</v>
      </c>
      <c r="K151" s="134" t="s">
        <v>606</v>
      </c>
      <c r="L151" s="81"/>
      <c r="M151" s="82"/>
      <c r="N151" s="83"/>
      <c r="O151" s="103">
        <v>5300</v>
      </c>
      <c r="P151" s="103"/>
      <c r="Q151" s="103"/>
      <c r="R151" s="103">
        <f t="shared" si="451"/>
        <v>0</v>
      </c>
      <c r="S151" s="103">
        <f t="shared" si="452"/>
        <v>0</v>
      </c>
      <c r="T151" s="109">
        <f t="shared" si="453"/>
        <v>0</v>
      </c>
      <c r="U151" s="109" t="e">
        <f t="shared" si="454"/>
        <v>#DIV/0!</v>
      </c>
      <c r="V151" s="109">
        <f t="shared" si="455"/>
        <v>0</v>
      </c>
      <c r="W151" s="103">
        <f t="shared" si="456"/>
        <v>151.42857142857142</v>
      </c>
      <c r="X151" s="104"/>
      <c r="Y151" s="447">
        <f t="shared" si="457"/>
        <v>66.037735849056602</v>
      </c>
      <c r="Z151" s="104"/>
      <c r="AA151" s="104"/>
      <c r="AB151" s="105"/>
      <c r="AC151" s="22" t="s">
        <v>10</v>
      </c>
      <c r="AD151" s="426">
        <f t="shared" si="441"/>
        <v>35</v>
      </c>
      <c r="AE151" s="427">
        <f t="shared" si="458"/>
        <v>35</v>
      </c>
      <c r="AF151" s="32"/>
      <c r="AG151" s="22">
        <v>35</v>
      </c>
      <c r="AH151" s="32"/>
      <c r="AI151" s="32"/>
      <c r="AJ151" s="615"/>
      <c r="AK151" s="222"/>
      <c r="AL151" s="492">
        <f t="shared" si="402"/>
        <v>0</v>
      </c>
      <c r="AM151" s="4">
        <f t="shared" si="403"/>
        <v>0</v>
      </c>
      <c r="AN151" s="26"/>
      <c r="AO151" s="26"/>
      <c r="AP151" s="26"/>
      <c r="AQ151" s="39"/>
      <c r="AR151" s="39"/>
      <c r="AS151" s="39"/>
      <c r="AT151" s="39"/>
      <c r="AU151" s="39"/>
      <c r="AV151" s="26"/>
      <c r="AW151" s="37"/>
      <c r="AX151" s="39"/>
      <c r="AY151" s="26"/>
      <c r="AZ151" s="25"/>
      <c r="BA151" s="22"/>
      <c r="BB151" s="22"/>
      <c r="BC151" s="437" t="e">
        <f t="shared" si="404"/>
        <v>#DIV/0!</v>
      </c>
      <c r="BD151" s="332" t="e">
        <f t="shared" si="405"/>
        <v>#DIV/0!</v>
      </c>
      <c r="BE151" s="334">
        <f t="shared" si="406"/>
        <v>0</v>
      </c>
      <c r="BF151" s="123"/>
      <c r="BG151" s="123"/>
      <c r="BH151" s="89"/>
      <c r="BI151" s="89"/>
      <c r="BJ151" s="548"/>
      <c r="BK151" s="548"/>
      <c r="BL151" s="549"/>
      <c r="BM151" s="547">
        <f t="shared" si="410"/>
        <v>0</v>
      </c>
      <c r="BN151" s="490" t="s">
        <v>229</v>
      </c>
      <c r="BO151" s="77"/>
      <c r="BP151" s="100"/>
      <c r="BQ151" s="536">
        <f t="shared" si="411"/>
        <v>0</v>
      </c>
      <c r="BR151" s="529"/>
      <c r="BS151" s="77"/>
      <c r="BT151" s="77"/>
      <c r="BU151" s="151"/>
      <c r="BV151" s="150">
        <f t="shared" si="442"/>
        <v>1096</v>
      </c>
      <c r="BW151" s="373"/>
      <c r="BX151" s="150" t="str">
        <f>IF(Tableau6[[#This Row],[Montant des loyers perçus avant 1e échéance]]&lt;BW151,"oui","non")</f>
        <v>non</v>
      </c>
      <c r="BY151" s="475">
        <f t="shared" si="412"/>
        <v>-1487.5666666666666</v>
      </c>
      <c r="BZ151" s="373">
        <f t="shared" si="413"/>
        <v>0</v>
      </c>
      <c r="CA151" s="373">
        <f>IF(BW151-BZ151&lt;0,0,Tableau6[[#This Row],[Montant échéance annuelle]]-Tableau6[[#This Row],[Montant des loyers perçus avant 1e échéance]])</f>
        <v>0</v>
      </c>
      <c r="CB151" s="286"/>
      <c r="CC151" s="288"/>
      <c r="CD151" s="288"/>
      <c r="CE151" s="290" t="str">
        <f t="shared" si="414"/>
        <v>0</v>
      </c>
      <c r="CF151" s="288"/>
      <c r="CG151" s="288"/>
      <c r="CH151" s="290" t="str">
        <f t="shared" si="415"/>
        <v>0</v>
      </c>
      <c r="CI151" s="288"/>
      <c r="CJ151" s="288"/>
      <c r="CK151" s="290" t="str">
        <f t="shared" si="416"/>
        <v>0</v>
      </c>
      <c r="CL151" s="288"/>
      <c r="CM151" s="288"/>
      <c r="CN151" s="290" t="str">
        <f t="shared" si="417"/>
        <v>0</v>
      </c>
      <c r="CO151" s="288"/>
      <c r="CP151" s="288"/>
      <c r="CQ151" s="290" t="str">
        <f t="shared" si="418"/>
        <v>0</v>
      </c>
      <c r="CR151" s="237"/>
      <c r="CS151" s="292"/>
      <c r="CT151" s="277"/>
      <c r="CU151" s="278"/>
      <c r="CV151" s="279" t="str">
        <f t="shared" si="407"/>
        <v>0</v>
      </c>
      <c r="CW151" s="277"/>
      <c r="CX151" s="382">
        <v>45114</v>
      </c>
      <c r="CY151" s="172"/>
      <c r="CZ151" s="231">
        <f t="shared" si="465"/>
        <v>1503.8</v>
      </c>
      <c r="DA151" s="279" t="str">
        <f t="shared" si="426"/>
        <v>0</v>
      </c>
      <c r="DB151" s="383">
        <v>18</v>
      </c>
      <c r="DC151" s="127">
        <f t="shared" si="427"/>
        <v>19</v>
      </c>
      <c r="DD151" s="277"/>
      <c r="DE151" s="282">
        <f t="shared" ca="1" si="428"/>
        <v>43998</v>
      </c>
      <c r="DF151" s="279" t="str">
        <f t="shared" ca="1" si="429"/>
        <v>0</v>
      </c>
      <c r="DG151" s="277"/>
      <c r="DH151" s="295">
        <f t="shared" ca="1" si="397"/>
        <v>43998</v>
      </c>
      <c r="DI151" s="280" t="str">
        <f t="shared" ca="1" si="430"/>
        <v>0</v>
      </c>
      <c r="DJ151" s="281"/>
      <c r="DK151" s="295">
        <f t="shared" ref="DK151:DK163" ca="1" si="475">IF(DJ151&lt;TODAY(),TODAY(),DJ151)</f>
        <v>43998</v>
      </c>
      <c r="DL151" s="279" t="str">
        <f t="shared" ca="1" si="431"/>
        <v>0</v>
      </c>
      <c r="DM151" s="282"/>
      <c r="DN151" s="282">
        <f t="shared" ca="1" si="396"/>
        <v>43998</v>
      </c>
      <c r="DO151" s="279" t="str">
        <f t="shared" ca="1" si="432"/>
        <v>0</v>
      </c>
      <c r="DP151" s="283"/>
      <c r="DQ151" s="283"/>
      <c r="DR151" s="279" t="str">
        <f t="shared" si="433"/>
        <v>0</v>
      </c>
      <c r="DS151" s="282"/>
      <c r="DT151" s="282">
        <f t="shared" ca="1" si="434"/>
        <v>43998</v>
      </c>
      <c r="DU151" s="279" t="str">
        <f t="shared" ca="1" si="435"/>
        <v>0</v>
      </c>
      <c r="DV151" s="282"/>
      <c r="DW151" s="282">
        <f t="shared" ca="1" si="436"/>
        <v>43998</v>
      </c>
      <c r="DX151" s="279" t="str">
        <f t="shared" ca="1" si="437"/>
        <v>0</v>
      </c>
      <c r="DY151" s="282"/>
      <c r="DZ151" s="282"/>
      <c r="EA151" s="283"/>
      <c r="EB151" s="410">
        <f t="shared" si="443"/>
        <v>45664</v>
      </c>
      <c r="EC151" s="409">
        <f t="shared" si="469"/>
        <v>45695</v>
      </c>
      <c r="ED151" s="406">
        <f t="shared" si="444"/>
        <v>1.0333333333333334</v>
      </c>
      <c r="EE151" s="505">
        <f t="shared" ca="1" si="438"/>
        <v>56.56666666666667</v>
      </c>
      <c r="EF151" s="409">
        <f t="shared" ca="1" si="470"/>
        <v>44728</v>
      </c>
      <c r="EG151" s="457"/>
      <c r="EH151" s="448"/>
      <c r="EI151" s="458">
        <f t="shared" si="463"/>
        <v>45817</v>
      </c>
      <c r="EJ151" s="242"/>
      <c r="EK151" s="456">
        <f t="shared" si="467"/>
        <v>45695</v>
      </c>
      <c r="EL151" s="409">
        <f t="shared" si="383"/>
        <v>45723</v>
      </c>
      <c r="EM151" s="314"/>
      <c r="EN151" s="404">
        <f t="shared" si="466"/>
        <v>0.93333333333333335</v>
      </c>
      <c r="EO151" s="394"/>
      <c r="EP151" s="131">
        <f t="shared" si="445"/>
        <v>0</v>
      </c>
      <c r="EQ151" s="60"/>
      <c r="ER151" s="60"/>
      <c r="ES151" s="742"/>
      <c r="ET151" s="300"/>
      <c r="EU151" s="300"/>
      <c r="EV151" s="300"/>
      <c r="EW151" s="300"/>
      <c r="EX151" s="415"/>
      <c r="EY151" s="416" t="e">
        <f t="shared" si="439"/>
        <v>#DIV/0!</v>
      </c>
      <c r="EZ151" s="297"/>
      <c r="FA151" s="308"/>
      <c r="FB151" s="302"/>
      <c r="FC151" s="302"/>
      <c r="FD151" s="89">
        <f t="shared" ca="1" si="468"/>
        <v>44728</v>
      </c>
      <c r="FE151" s="63"/>
      <c r="FF151" s="63"/>
      <c r="FG151" s="63"/>
      <c r="FH151" s="63"/>
      <c r="FI151" s="63"/>
      <c r="FJ151" s="22"/>
      <c r="FK151" s="146">
        <f t="shared" si="464"/>
        <v>46060</v>
      </c>
      <c r="FL151" s="146"/>
      <c r="FM151" s="146"/>
      <c r="FN151" s="22"/>
      <c r="FO151" s="22"/>
      <c r="FP151" s="22"/>
      <c r="FQ151" s="22"/>
      <c r="FR151" s="22"/>
      <c r="FS151" s="22"/>
      <c r="FT151" s="22"/>
      <c r="FU151" s="22"/>
      <c r="FV151" s="22"/>
      <c r="FW151" s="22"/>
      <c r="FX151" s="22"/>
      <c r="FY151" s="22"/>
      <c r="FZ151" s="22"/>
      <c r="GA151" s="451"/>
      <c r="GB151" s="471">
        <f>GD151+GG151+GJ151+HF151+Tableau6[[#This Row],[PRÊT CREDIT D''IMPOT (PM)]]</f>
        <v>0</v>
      </c>
      <c r="GC151" s="645">
        <f t="shared" si="446"/>
        <v>0</v>
      </c>
      <c r="GD151" s="507">
        <f t="shared" si="459"/>
        <v>0</v>
      </c>
      <c r="GE151" s="20" t="e">
        <f t="shared" si="447"/>
        <v>#DIV/0!</v>
      </c>
      <c r="GF151" s="20">
        <f t="shared" si="440"/>
        <v>0</v>
      </c>
      <c r="GG151" s="503"/>
      <c r="GH151" s="351"/>
      <c r="GI151" s="20">
        <f t="shared" si="409"/>
        <v>0</v>
      </c>
      <c r="GJ151" s="503">
        <f t="shared" si="448"/>
        <v>0</v>
      </c>
      <c r="GK151" s="5">
        <f t="shared" si="408"/>
        <v>0</v>
      </c>
      <c r="GL151" s="44"/>
      <c r="GM151" s="44"/>
      <c r="GN151" s="346">
        <f t="shared" si="449"/>
        <v>0</v>
      </c>
      <c r="GO151" s="35"/>
      <c r="GP151" s="5"/>
      <c r="GQ151" s="35"/>
      <c r="GR151" s="45" t="e">
        <f t="shared" si="450"/>
        <v>#DIV/0!</v>
      </c>
      <c r="GS151" s="35"/>
      <c r="GT151" s="35"/>
      <c r="GU151" s="35"/>
      <c r="GV151" s="20">
        <f t="shared" si="471"/>
        <v>0</v>
      </c>
      <c r="GW151" s="20">
        <f t="shared" si="472"/>
        <v>0</v>
      </c>
      <c r="GX151" s="569"/>
      <c r="GY151" s="569"/>
      <c r="GZ151" s="569" t="e">
        <f>(#REF!+#REF!+GY151)/AD151</f>
        <v>#REF!</v>
      </c>
      <c r="HA151" s="569"/>
      <c r="HB151" s="569">
        <f t="shared" si="473"/>
        <v>0</v>
      </c>
      <c r="HC151" s="568" t="e">
        <f t="shared" si="474"/>
        <v>#DIV/0!</v>
      </c>
      <c r="HD151" s="569"/>
      <c r="HE151" s="569"/>
      <c r="HF151" s="503"/>
      <c r="HG151" s="633"/>
      <c r="HH151" s="634" t="e">
        <f t="shared" si="420"/>
        <v>#DIV/0!</v>
      </c>
      <c r="HI151" s="633">
        <f t="shared" si="421"/>
        <v>0</v>
      </c>
      <c r="HJ151" s="633" t="e">
        <f t="shared" ca="1" si="422"/>
        <v>#VALUE!</v>
      </c>
      <c r="HK151" s="634" t="e">
        <f t="shared" ca="1" si="423"/>
        <v>#VALUE!</v>
      </c>
      <c r="HL151" s="633"/>
      <c r="HM151" s="633">
        <f t="shared" si="424"/>
        <v>0</v>
      </c>
      <c r="HN151" s="633" t="e">
        <f t="shared" si="425"/>
        <v>#DIV/0!</v>
      </c>
      <c r="HO151" s="633"/>
      <c r="HP151" s="563"/>
      <c r="HQ151" s="47"/>
      <c r="HR151" s="563"/>
      <c r="HS151" s="563">
        <f>SUM(Tableau6[[#This Row],[GO]:[CARRELAGE]])</f>
        <v>0</v>
      </c>
      <c r="HT151" s="461"/>
      <c r="HU151" s="461"/>
      <c r="HV151" s="461"/>
      <c r="HW151" s="461"/>
      <c r="HX151" s="461"/>
      <c r="HY151" s="461"/>
      <c r="HZ151" s="461"/>
      <c r="IA151" s="461"/>
      <c r="IB151" s="461"/>
      <c r="IC151" s="461"/>
      <c r="ID151" s="461"/>
      <c r="IE151" s="461"/>
      <c r="IF151" s="461"/>
      <c r="IG151" s="563"/>
      <c r="IH151" s="563"/>
      <c r="II151" s="563">
        <f>HP151+HR151+Tableau6[[#This Row],[TRAVAUX BATIS]]+Tableau6[[#This Row],[HONORAIRES]]+IH151</f>
        <v>0</v>
      </c>
      <c r="IJ151" s="654">
        <f>Tableau6[[#This Row],[TOTAL PRP HT]]-Tableau6[[#This Row],[PRP TTC HORS FRAFU]]/1.021</f>
        <v>0</v>
      </c>
      <c r="IK151" s="9"/>
      <c r="IL151" s="9"/>
      <c r="IM151" s="9"/>
      <c r="IN151" s="9"/>
      <c r="IO151" s="9"/>
      <c r="IP151" s="9"/>
      <c r="IQ151" s="9"/>
      <c r="IR151" s="9"/>
      <c r="IS151" s="9"/>
      <c r="IT151" s="9"/>
      <c r="IU151" s="9"/>
      <c r="IV151" s="9"/>
    </row>
    <row r="152" spans="1:256" ht="15" customHeight="1">
      <c r="A152" s="428" t="s">
        <v>614</v>
      </c>
      <c r="B152" s="22" t="s">
        <v>14</v>
      </c>
      <c r="C152" s="22" t="s">
        <v>86</v>
      </c>
      <c r="D152" s="22" t="s">
        <v>626</v>
      </c>
      <c r="E152" s="22"/>
      <c r="F152" s="22"/>
      <c r="G152" s="22"/>
      <c r="H152" s="24"/>
      <c r="I152" s="22"/>
      <c r="J152" s="22" t="s">
        <v>714</v>
      </c>
      <c r="K152" s="134" t="s">
        <v>613</v>
      </c>
      <c r="L152" s="81"/>
      <c r="M152" s="82"/>
      <c r="N152" s="83"/>
      <c r="O152" s="103">
        <v>4000</v>
      </c>
      <c r="P152" s="103"/>
      <c r="Q152" s="103"/>
      <c r="R152" s="103">
        <f t="shared" si="451"/>
        <v>0</v>
      </c>
      <c r="S152" s="103">
        <f t="shared" si="452"/>
        <v>0</v>
      </c>
      <c r="T152" s="109">
        <f t="shared" si="453"/>
        <v>0</v>
      </c>
      <c r="U152" s="109" t="e">
        <f t="shared" si="454"/>
        <v>#DIV/0!</v>
      </c>
      <c r="V152" s="109">
        <f t="shared" si="455"/>
        <v>0</v>
      </c>
      <c r="W152" s="103">
        <f t="shared" si="456"/>
        <v>266.66666666666669</v>
      </c>
      <c r="X152" s="104"/>
      <c r="Y152" s="447">
        <f t="shared" si="457"/>
        <v>37.5</v>
      </c>
      <c r="Z152" s="104" t="s">
        <v>600</v>
      </c>
      <c r="AA152" s="104"/>
      <c r="AB152" s="105"/>
      <c r="AC152" s="22" t="s">
        <v>10</v>
      </c>
      <c r="AD152" s="426">
        <f t="shared" si="441"/>
        <v>15</v>
      </c>
      <c r="AE152" s="427">
        <f t="shared" si="458"/>
        <v>15</v>
      </c>
      <c r="AF152" s="32"/>
      <c r="AG152" s="22">
        <v>15</v>
      </c>
      <c r="AH152" s="32"/>
      <c r="AI152" s="32"/>
      <c r="AJ152" s="615"/>
      <c r="AK152" s="222"/>
      <c r="AL152" s="492">
        <f t="shared" si="402"/>
        <v>0</v>
      </c>
      <c r="AM152" s="4">
        <f t="shared" si="403"/>
        <v>0</v>
      </c>
      <c r="AN152" s="26"/>
      <c r="AO152" s="26"/>
      <c r="AP152" s="26"/>
      <c r="AQ152" s="39"/>
      <c r="AR152" s="39"/>
      <c r="AS152" s="39"/>
      <c r="AT152" s="39"/>
      <c r="AU152" s="39"/>
      <c r="AV152" s="26"/>
      <c r="AW152" s="37"/>
      <c r="AX152" s="39"/>
      <c r="AY152" s="26"/>
      <c r="AZ152" s="25"/>
      <c r="BA152" s="22"/>
      <c r="BB152" s="22"/>
      <c r="BC152" s="437" t="e">
        <f t="shared" si="404"/>
        <v>#DIV/0!</v>
      </c>
      <c r="BD152" s="332" t="e">
        <f t="shared" si="405"/>
        <v>#DIV/0!</v>
      </c>
      <c r="BE152" s="334">
        <f t="shared" si="406"/>
        <v>0</v>
      </c>
      <c r="BF152" s="123"/>
      <c r="BG152" s="123"/>
      <c r="BH152" s="89"/>
      <c r="BI152" s="89"/>
      <c r="BJ152" s="548"/>
      <c r="BK152" s="548"/>
      <c r="BL152" s="549"/>
      <c r="BM152" s="547">
        <f t="shared" si="410"/>
        <v>0</v>
      </c>
      <c r="BN152" s="490" t="s">
        <v>229</v>
      </c>
      <c r="BO152" s="77"/>
      <c r="BP152" s="100"/>
      <c r="BQ152" s="536">
        <f t="shared" si="411"/>
        <v>0</v>
      </c>
      <c r="BR152" s="529"/>
      <c r="BS152" s="77"/>
      <c r="BT152" s="77"/>
      <c r="BU152" s="151"/>
      <c r="BV152" s="150">
        <f t="shared" si="442"/>
        <v>1096</v>
      </c>
      <c r="BW152" s="373"/>
      <c r="BX152" s="150" t="str">
        <f>IF(Tableau6[[#This Row],[Montant des loyers perçus avant 1e échéance]]&lt;BW152,"oui","non")</f>
        <v>non</v>
      </c>
      <c r="BY152" s="475">
        <f t="shared" si="412"/>
        <v>-1487.6</v>
      </c>
      <c r="BZ152" s="373">
        <f t="shared" si="413"/>
        <v>0</v>
      </c>
      <c r="CA152" s="373">
        <f>IF(BW152-BZ152&lt;0,0,Tableau6[[#This Row],[Montant échéance annuelle]]-Tableau6[[#This Row],[Montant des loyers perçus avant 1e échéance]])</f>
        <v>0</v>
      </c>
      <c r="CB152" s="286"/>
      <c r="CC152" s="288"/>
      <c r="CD152" s="288"/>
      <c r="CE152" s="290" t="str">
        <f t="shared" si="414"/>
        <v>0</v>
      </c>
      <c r="CF152" s="288"/>
      <c r="CG152" s="288"/>
      <c r="CH152" s="290" t="str">
        <f t="shared" si="415"/>
        <v>0</v>
      </c>
      <c r="CI152" s="288"/>
      <c r="CJ152" s="288"/>
      <c r="CK152" s="290" t="str">
        <f t="shared" si="416"/>
        <v>0</v>
      </c>
      <c r="CL152" s="288"/>
      <c r="CM152" s="288"/>
      <c r="CN152" s="290" t="str">
        <f t="shared" si="417"/>
        <v>0</v>
      </c>
      <c r="CO152" s="288"/>
      <c r="CP152" s="288"/>
      <c r="CQ152" s="290" t="str">
        <f t="shared" si="418"/>
        <v>0</v>
      </c>
      <c r="CR152" s="237"/>
      <c r="CS152" s="292"/>
      <c r="CT152" s="277"/>
      <c r="CU152" s="278"/>
      <c r="CV152" s="279" t="str">
        <f t="shared" si="407"/>
        <v>0</v>
      </c>
      <c r="CW152" s="277"/>
      <c r="CX152" s="382">
        <v>45115</v>
      </c>
      <c r="CY152" s="178"/>
      <c r="CZ152" s="231">
        <f t="shared" si="465"/>
        <v>1503.8333333333333</v>
      </c>
      <c r="DA152" s="279" t="str">
        <f t="shared" si="426"/>
        <v>0</v>
      </c>
      <c r="DB152" s="383">
        <v>18</v>
      </c>
      <c r="DC152" s="127">
        <f t="shared" si="427"/>
        <v>19</v>
      </c>
      <c r="DD152" s="277"/>
      <c r="DE152" s="282">
        <f t="shared" ca="1" si="428"/>
        <v>43998</v>
      </c>
      <c r="DF152" s="279" t="str">
        <f t="shared" ca="1" si="429"/>
        <v>0</v>
      </c>
      <c r="DG152" s="277"/>
      <c r="DH152" s="295">
        <f t="shared" ca="1" si="397"/>
        <v>43998</v>
      </c>
      <c r="DI152" s="280" t="str">
        <f t="shared" ca="1" si="430"/>
        <v>0</v>
      </c>
      <c r="DJ152" s="281"/>
      <c r="DK152" s="295">
        <f t="shared" ca="1" si="475"/>
        <v>43998</v>
      </c>
      <c r="DL152" s="279" t="str">
        <f t="shared" ca="1" si="431"/>
        <v>0</v>
      </c>
      <c r="DM152" s="282"/>
      <c r="DN152" s="282">
        <f t="shared" ca="1" si="396"/>
        <v>43998</v>
      </c>
      <c r="DO152" s="279" t="str">
        <f t="shared" ca="1" si="432"/>
        <v>0</v>
      </c>
      <c r="DP152" s="283"/>
      <c r="DQ152" s="283"/>
      <c r="DR152" s="279" t="str">
        <f t="shared" si="433"/>
        <v>0</v>
      </c>
      <c r="DS152" s="282"/>
      <c r="DT152" s="282">
        <f t="shared" ca="1" si="434"/>
        <v>43998</v>
      </c>
      <c r="DU152" s="279" t="str">
        <f t="shared" ca="1" si="435"/>
        <v>0</v>
      </c>
      <c r="DV152" s="282"/>
      <c r="DW152" s="282">
        <f t="shared" ca="1" si="436"/>
        <v>43998</v>
      </c>
      <c r="DX152" s="279" t="str">
        <f t="shared" ca="1" si="437"/>
        <v>0</v>
      </c>
      <c r="DY152" s="282"/>
      <c r="DZ152" s="282"/>
      <c r="EA152" s="283"/>
      <c r="EB152" s="410">
        <f t="shared" si="443"/>
        <v>45665</v>
      </c>
      <c r="EC152" s="409">
        <f t="shared" si="469"/>
        <v>45696</v>
      </c>
      <c r="ED152" s="406">
        <f t="shared" si="444"/>
        <v>1.0333333333333334</v>
      </c>
      <c r="EE152" s="505">
        <f t="shared" ca="1" si="438"/>
        <v>56.6</v>
      </c>
      <c r="EF152" s="409">
        <f t="shared" ca="1" si="470"/>
        <v>44728</v>
      </c>
      <c r="EG152" s="457"/>
      <c r="EH152" s="448"/>
      <c r="EI152" s="458">
        <f t="shared" si="463"/>
        <v>45818</v>
      </c>
      <c r="EJ152" s="242"/>
      <c r="EK152" s="456">
        <f t="shared" si="467"/>
        <v>45696</v>
      </c>
      <c r="EL152" s="409">
        <f t="shared" si="383"/>
        <v>45724</v>
      </c>
      <c r="EM152" s="314"/>
      <c r="EN152" s="404">
        <f t="shared" si="466"/>
        <v>0.93333333333333335</v>
      </c>
      <c r="EO152" s="394"/>
      <c r="EP152" s="131">
        <f t="shared" si="445"/>
        <v>0</v>
      </c>
      <c r="EQ152" s="60"/>
      <c r="ER152" s="60"/>
      <c r="ES152" s="742"/>
      <c r="ET152" s="300"/>
      <c r="EU152" s="300"/>
      <c r="EV152" s="300"/>
      <c r="EW152" s="300"/>
      <c r="EX152" s="415"/>
      <c r="EY152" s="416" t="e">
        <f t="shared" si="439"/>
        <v>#DIV/0!</v>
      </c>
      <c r="EZ152" s="297"/>
      <c r="FA152" s="308"/>
      <c r="FB152" s="302"/>
      <c r="FC152" s="302"/>
      <c r="FD152" s="89">
        <f t="shared" ca="1" si="468"/>
        <v>44728</v>
      </c>
      <c r="FE152" s="63"/>
      <c r="FF152" s="63"/>
      <c r="FG152" s="63"/>
      <c r="FH152" s="63"/>
      <c r="FI152" s="63"/>
      <c r="FJ152" s="22"/>
      <c r="FK152" s="146">
        <f t="shared" si="464"/>
        <v>46061</v>
      </c>
      <c r="FL152" s="146"/>
      <c r="FM152" s="146"/>
      <c r="FN152" s="22"/>
      <c r="FO152" s="22"/>
      <c r="FP152" s="22"/>
      <c r="FQ152" s="22"/>
      <c r="FR152" s="22"/>
      <c r="FS152" s="22"/>
      <c r="FT152" s="22"/>
      <c r="FU152" s="22"/>
      <c r="FV152" s="22"/>
      <c r="FW152" s="22"/>
      <c r="FX152" s="22"/>
      <c r="FY152" s="22"/>
      <c r="FZ152" s="22"/>
      <c r="GA152" s="451"/>
      <c r="GB152" s="471">
        <f>GD152+GG152+GJ152+HF152+Tableau6[[#This Row],[PRÊT CREDIT D''IMPOT (PM)]]</f>
        <v>0</v>
      </c>
      <c r="GC152" s="645">
        <f t="shared" si="446"/>
        <v>0</v>
      </c>
      <c r="GD152" s="507">
        <f t="shared" si="459"/>
        <v>0</v>
      </c>
      <c r="GE152" s="20" t="e">
        <f t="shared" si="447"/>
        <v>#DIV/0!</v>
      </c>
      <c r="GF152" s="20">
        <f t="shared" si="440"/>
        <v>0</v>
      </c>
      <c r="GG152" s="503"/>
      <c r="GH152" s="351"/>
      <c r="GI152" s="20">
        <f t="shared" si="409"/>
        <v>0</v>
      </c>
      <c r="GJ152" s="503">
        <f t="shared" si="448"/>
        <v>0</v>
      </c>
      <c r="GK152" s="5">
        <f t="shared" si="408"/>
        <v>0</v>
      </c>
      <c r="GL152" s="44"/>
      <c r="GM152" s="44"/>
      <c r="GN152" s="346">
        <f t="shared" si="449"/>
        <v>0</v>
      </c>
      <c r="GO152" s="35"/>
      <c r="GP152" s="5"/>
      <c r="GQ152" s="35"/>
      <c r="GR152" s="45" t="e">
        <f t="shared" si="450"/>
        <v>#DIV/0!</v>
      </c>
      <c r="GS152" s="35"/>
      <c r="GT152" s="35"/>
      <c r="GU152" s="35"/>
      <c r="GV152" s="20">
        <f t="shared" si="471"/>
        <v>0</v>
      </c>
      <c r="GW152" s="20">
        <f t="shared" si="472"/>
        <v>0</v>
      </c>
      <c r="GX152" s="569"/>
      <c r="GY152" s="569"/>
      <c r="GZ152" s="569" t="e">
        <f>(#REF!+#REF!+GY152)/AD152</f>
        <v>#REF!</v>
      </c>
      <c r="HA152" s="569"/>
      <c r="HB152" s="569">
        <f t="shared" si="473"/>
        <v>0</v>
      </c>
      <c r="HC152" s="568" t="e">
        <f t="shared" si="474"/>
        <v>#DIV/0!</v>
      </c>
      <c r="HD152" s="569"/>
      <c r="HE152" s="569"/>
      <c r="HF152" s="503"/>
      <c r="HG152" s="633"/>
      <c r="HH152" s="634" t="e">
        <f t="shared" si="420"/>
        <v>#DIV/0!</v>
      </c>
      <c r="HI152" s="633">
        <f t="shared" si="421"/>
        <v>0</v>
      </c>
      <c r="HJ152" s="633" t="e">
        <f t="shared" ca="1" si="422"/>
        <v>#VALUE!</v>
      </c>
      <c r="HK152" s="634" t="e">
        <f t="shared" ca="1" si="423"/>
        <v>#VALUE!</v>
      </c>
      <c r="HL152" s="633"/>
      <c r="HM152" s="633">
        <f t="shared" si="424"/>
        <v>0</v>
      </c>
      <c r="HN152" s="633" t="e">
        <f t="shared" si="425"/>
        <v>#DIV/0!</v>
      </c>
      <c r="HO152" s="633"/>
      <c r="HP152" s="563"/>
      <c r="HQ152" s="47"/>
      <c r="HR152" s="563"/>
      <c r="HS152" s="563">
        <f>SUM(Tableau6[[#This Row],[GO]:[CARRELAGE]])</f>
        <v>0</v>
      </c>
      <c r="HT152" s="461"/>
      <c r="HU152" s="461"/>
      <c r="HV152" s="461"/>
      <c r="HW152" s="461"/>
      <c r="HX152" s="461"/>
      <c r="HY152" s="461"/>
      <c r="HZ152" s="461"/>
      <c r="IA152" s="461"/>
      <c r="IB152" s="461"/>
      <c r="IC152" s="461"/>
      <c r="ID152" s="461"/>
      <c r="IE152" s="461"/>
      <c r="IF152" s="461"/>
      <c r="IG152" s="563"/>
      <c r="IH152" s="563"/>
      <c r="II152" s="563">
        <f>HP152+HR152+Tableau6[[#This Row],[TRAVAUX BATIS]]+Tableau6[[#This Row],[HONORAIRES]]+IH152</f>
        <v>0</v>
      </c>
      <c r="IJ152" s="654">
        <f>Tableau6[[#This Row],[TOTAL PRP HT]]-Tableau6[[#This Row],[PRP TTC HORS FRAFU]]/1.021</f>
        <v>0</v>
      </c>
      <c r="IK152" s="9"/>
      <c r="IL152" s="9"/>
      <c r="IM152" s="9"/>
      <c r="IN152" s="9"/>
      <c r="IO152" s="9"/>
      <c r="IP152" s="9"/>
      <c r="IQ152" s="9"/>
      <c r="IR152" s="9"/>
      <c r="IS152" s="9"/>
      <c r="IT152" s="9"/>
      <c r="IU152" s="9"/>
      <c r="IV152" s="9"/>
    </row>
    <row r="153" spans="1:256" ht="15" customHeight="1">
      <c r="A153" s="48" t="s">
        <v>712</v>
      </c>
      <c r="B153" s="22" t="s">
        <v>14</v>
      </c>
      <c r="C153" s="22" t="s">
        <v>86</v>
      </c>
      <c r="D153" s="22" t="s">
        <v>626</v>
      </c>
      <c r="E153" s="22"/>
      <c r="F153" s="22"/>
      <c r="G153" s="22"/>
      <c r="H153" s="24"/>
      <c r="I153" s="22"/>
      <c r="J153" s="22" t="s">
        <v>713</v>
      </c>
      <c r="K153" s="134"/>
      <c r="L153" s="81"/>
      <c r="M153" s="82"/>
      <c r="N153" s="83"/>
      <c r="O153" s="103"/>
      <c r="P153" s="103"/>
      <c r="Q153" s="103"/>
      <c r="R153" s="103"/>
      <c r="S153" s="103"/>
      <c r="T153" s="109"/>
      <c r="U153" s="109"/>
      <c r="V153" s="109"/>
      <c r="W153" s="103"/>
      <c r="X153" s="104"/>
      <c r="Y153" s="447"/>
      <c r="Z153" s="104"/>
      <c r="AA153" s="104"/>
      <c r="AB153" s="105"/>
      <c r="AC153" s="22" t="s">
        <v>10</v>
      </c>
      <c r="AD153" s="426">
        <f t="shared" si="441"/>
        <v>150</v>
      </c>
      <c r="AE153" s="427">
        <f t="shared" si="458"/>
        <v>150</v>
      </c>
      <c r="AF153" s="32"/>
      <c r="AG153" s="22">
        <v>150</v>
      </c>
      <c r="AH153" s="32"/>
      <c r="AI153" s="32"/>
      <c r="AJ153" s="615"/>
      <c r="AK153" s="222"/>
      <c r="AL153" s="492">
        <f t="shared" si="402"/>
        <v>0</v>
      </c>
      <c r="AM153" s="4">
        <f t="shared" si="403"/>
        <v>0</v>
      </c>
      <c r="AN153" s="26"/>
      <c r="AO153" s="26"/>
      <c r="AP153" s="26"/>
      <c r="AQ153" s="39"/>
      <c r="AR153" s="39"/>
      <c r="AS153" s="39"/>
      <c r="AT153" s="39"/>
      <c r="AU153" s="39"/>
      <c r="AV153" s="26"/>
      <c r="AW153" s="37"/>
      <c r="AX153" s="39"/>
      <c r="AY153" s="26"/>
      <c r="AZ153" s="25"/>
      <c r="BA153" s="22"/>
      <c r="BB153" s="22"/>
      <c r="BC153" s="437" t="e">
        <f t="shared" si="404"/>
        <v>#DIV/0!</v>
      </c>
      <c r="BD153" s="332" t="e">
        <f t="shared" si="405"/>
        <v>#DIV/0!</v>
      </c>
      <c r="BE153" s="334">
        <f t="shared" si="406"/>
        <v>0</v>
      </c>
      <c r="BF153" s="123"/>
      <c r="BG153" s="123"/>
      <c r="BH153" s="89"/>
      <c r="BI153" s="89"/>
      <c r="BJ153" s="548"/>
      <c r="BK153" s="548"/>
      <c r="BL153" s="549"/>
      <c r="BM153" s="547">
        <f t="shared" si="410"/>
        <v>0</v>
      </c>
      <c r="BN153" s="490" t="s">
        <v>229</v>
      </c>
      <c r="BO153" s="77"/>
      <c r="BP153" s="100"/>
      <c r="BQ153" s="536">
        <f t="shared" si="411"/>
        <v>0</v>
      </c>
      <c r="BR153" s="529"/>
      <c r="BS153" s="77"/>
      <c r="BT153" s="77"/>
      <c r="BU153" s="151"/>
      <c r="BV153" s="150">
        <f t="shared" si="442"/>
        <v>1096</v>
      </c>
      <c r="BW153" s="373"/>
      <c r="BX153" s="150" t="str">
        <f>IF(Tableau6[[#This Row],[Montant des loyers perçus avant 1e échéance]]&lt;BW153,"oui","non")</f>
        <v>non</v>
      </c>
      <c r="BY153" s="475">
        <f t="shared" si="412"/>
        <v>-1488.0666666666666</v>
      </c>
      <c r="BZ153" s="373">
        <f t="shared" si="413"/>
        <v>0</v>
      </c>
      <c r="CA153" s="373">
        <f>IF(BW153-BZ153&lt;0,0,Tableau6[[#This Row],[Montant échéance annuelle]]-Tableau6[[#This Row],[Montant des loyers perçus avant 1e échéance]])</f>
        <v>0</v>
      </c>
      <c r="CB153" s="286"/>
      <c r="CC153" s="288"/>
      <c r="CD153" s="288"/>
      <c r="CE153" s="290" t="str">
        <f t="shared" si="414"/>
        <v>0</v>
      </c>
      <c r="CF153" s="288"/>
      <c r="CG153" s="288"/>
      <c r="CH153" s="290" t="str">
        <f t="shared" si="415"/>
        <v>0</v>
      </c>
      <c r="CI153" s="288"/>
      <c r="CJ153" s="288"/>
      <c r="CK153" s="290" t="str">
        <f t="shared" si="416"/>
        <v>0</v>
      </c>
      <c r="CL153" s="288"/>
      <c r="CM153" s="288"/>
      <c r="CN153" s="290" t="str">
        <f t="shared" si="417"/>
        <v>0</v>
      </c>
      <c r="CO153" s="288"/>
      <c r="CP153" s="288"/>
      <c r="CQ153" s="290" t="str">
        <f t="shared" si="418"/>
        <v>0</v>
      </c>
      <c r="CR153" s="237"/>
      <c r="CS153" s="292"/>
      <c r="CT153" s="277"/>
      <c r="CU153" s="278"/>
      <c r="CV153" s="279" t="str">
        <f t="shared" si="407"/>
        <v>0</v>
      </c>
      <c r="CW153" s="277"/>
      <c r="CX153" s="382">
        <v>45129</v>
      </c>
      <c r="CY153" s="178"/>
      <c r="CZ153" s="231">
        <f t="shared" si="465"/>
        <v>1504.3</v>
      </c>
      <c r="DA153" s="279" t="str">
        <f t="shared" si="426"/>
        <v>0</v>
      </c>
      <c r="DB153" s="383">
        <v>18</v>
      </c>
      <c r="DC153" s="127">
        <f t="shared" si="427"/>
        <v>19</v>
      </c>
      <c r="DD153" s="277"/>
      <c r="DE153" s="282">
        <f t="shared" ca="1" si="428"/>
        <v>43998</v>
      </c>
      <c r="DF153" s="279" t="str">
        <f t="shared" ca="1" si="429"/>
        <v>0</v>
      </c>
      <c r="DG153" s="277"/>
      <c r="DH153" s="295">
        <f t="shared" ca="1" si="397"/>
        <v>43998</v>
      </c>
      <c r="DI153" s="280" t="str">
        <f t="shared" ca="1" si="430"/>
        <v>0</v>
      </c>
      <c r="DJ153" s="281"/>
      <c r="DK153" s="295">
        <f t="shared" ca="1" si="475"/>
        <v>43998</v>
      </c>
      <c r="DL153" s="279" t="str">
        <f t="shared" ca="1" si="431"/>
        <v>0</v>
      </c>
      <c r="DM153" s="282"/>
      <c r="DN153" s="282">
        <f t="shared" ref="DN153:DN163" ca="1" si="476">IF(DM153&lt;TODAY(),TODAY(),DM153)</f>
        <v>43998</v>
      </c>
      <c r="DO153" s="279" t="str">
        <f t="shared" ca="1" si="432"/>
        <v>0</v>
      </c>
      <c r="DP153" s="283"/>
      <c r="DQ153" s="283"/>
      <c r="DR153" s="279" t="str">
        <f t="shared" si="433"/>
        <v>0</v>
      </c>
      <c r="DS153" s="282"/>
      <c r="DT153" s="282">
        <f t="shared" ca="1" si="434"/>
        <v>43998</v>
      </c>
      <c r="DU153" s="279" t="str">
        <f t="shared" ca="1" si="435"/>
        <v>0</v>
      </c>
      <c r="DV153" s="282"/>
      <c r="DW153" s="282">
        <f t="shared" ca="1" si="436"/>
        <v>43998</v>
      </c>
      <c r="DX153" s="279" t="str">
        <f t="shared" ca="1" si="437"/>
        <v>0</v>
      </c>
      <c r="DY153" s="282"/>
      <c r="DZ153" s="282"/>
      <c r="EA153" s="282"/>
      <c r="EB153" s="410">
        <f t="shared" si="443"/>
        <v>45679</v>
      </c>
      <c r="EC153" s="409">
        <f t="shared" si="469"/>
        <v>45710</v>
      </c>
      <c r="ED153" s="406">
        <f t="shared" si="444"/>
        <v>1.0333333333333334</v>
      </c>
      <c r="EE153" s="505">
        <f t="shared" ca="1" si="438"/>
        <v>57.06666666666667</v>
      </c>
      <c r="EF153" s="409">
        <f t="shared" ca="1" si="470"/>
        <v>44728</v>
      </c>
      <c r="EG153" s="457"/>
      <c r="EH153" s="448"/>
      <c r="EI153" s="458">
        <f t="shared" si="463"/>
        <v>45832</v>
      </c>
      <c r="EJ153" s="242"/>
      <c r="EK153" s="456">
        <f t="shared" si="467"/>
        <v>45710</v>
      </c>
      <c r="EL153" s="409">
        <f t="shared" si="383"/>
        <v>45738</v>
      </c>
      <c r="EM153" s="314"/>
      <c r="EN153" s="404">
        <f t="shared" si="466"/>
        <v>0.93333333333333335</v>
      </c>
      <c r="EO153" s="394"/>
      <c r="EP153" s="131">
        <f t="shared" si="445"/>
        <v>0</v>
      </c>
      <c r="EQ153" s="60"/>
      <c r="ER153" s="60"/>
      <c r="ES153" s="742"/>
      <c r="ET153" s="300"/>
      <c r="EU153" s="300"/>
      <c r="EV153" s="300"/>
      <c r="EW153" s="300"/>
      <c r="EX153" s="300"/>
      <c r="EY153" s="416" t="e">
        <f t="shared" si="439"/>
        <v>#DIV/0!</v>
      </c>
      <c r="EZ153" s="297"/>
      <c r="FA153" s="308"/>
      <c r="FB153" s="297"/>
      <c r="FC153" s="297"/>
      <c r="FD153" s="89">
        <f t="shared" ca="1" si="468"/>
        <v>44728</v>
      </c>
      <c r="FE153" s="63"/>
      <c r="FF153" s="63"/>
      <c r="FG153" s="63"/>
      <c r="FH153" s="63"/>
      <c r="FI153" s="63"/>
      <c r="FJ153" s="22"/>
      <c r="FK153" s="146">
        <f t="shared" si="464"/>
        <v>46075</v>
      </c>
      <c r="FL153" s="146"/>
      <c r="FM153" s="146"/>
      <c r="FN153" s="22"/>
      <c r="FO153" s="22"/>
      <c r="FP153" s="22"/>
      <c r="FQ153" s="22"/>
      <c r="FR153" s="22"/>
      <c r="FS153" s="22"/>
      <c r="FT153" s="22"/>
      <c r="FU153" s="22"/>
      <c r="FV153" s="22"/>
      <c r="FW153" s="22"/>
      <c r="FX153" s="22"/>
      <c r="FY153" s="22"/>
      <c r="FZ153" s="22"/>
      <c r="GA153" s="451"/>
      <c r="GB153" s="471">
        <f>GD153+GG153+GJ153+HF153+Tableau6[[#This Row],[PRÊT CREDIT D''IMPOT (PM)]]</f>
        <v>0</v>
      </c>
      <c r="GC153" s="645">
        <f t="shared" si="446"/>
        <v>0</v>
      </c>
      <c r="GD153" s="507">
        <f t="shared" si="459"/>
        <v>0</v>
      </c>
      <c r="GE153" s="20" t="e">
        <f t="shared" si="447"/>
        <v>#DIV/0!</v>
      </c>
      <c r="GF153" s="20">
        <f t="shared" si="440"/>
        <v>0</v>
      </c>
      <c r="GG153" s="503"/>
      <c r="GH153" s="351"/>
      <c r="GI153" s="20">
        <f t="shared" si="409"/>
        <v>0</v>
      </c>
      <c r="GJ153" s="503">
        <f t="shared" si="448"/>
        <v>0</v>
      </c>
      <c r="GK153" s="5">
        <f t="shared" si="408"/>
        <v>0</v>
      </c>
      <c r="GL153" s="44"/>
      <c r="GM153" s="44"/>
      <c r="GN153" s="346">
        <f t="shared" si="449"/>
        <v>0</v>
      </c>
      <c r="GO153" s="35"/>
      <c r="GP153" s="5"/>
      <c r="GQ153" s="35"/>
      <c r="GR153" s="45" t="e">
        <f t="shared" si="450"/>
        <v>#DIV/0!</v>
      </c>
      <c r="GS153" s="35"/>
      <c r="GT153" s="35"/>
      <c r="GU153" s="35"/>
      <c r="GV153" s="20"/>
      <c r="GW153" s="20"/>
      <c r="GX153" s="569"/>
      <c r="GY153" s="569"/>
      <c r="GZ153" s="569"/>
      <c r="HA153" s="569"/>
      <c r="HB153" s="569"/>
      <c r="HC153" s="568"/>
      <c r="HD153" s="569"/>
      <c r="HE153" s="569"/>
      <c r="HF153" s="503"/>
      <c r="HG153" s="633"/>
      <c r="HH153" s="634" t="e">
        <f t="shared" si="420"/>
        <v>#DIV/0!</v>
      </c>
      <c r="HI153" s="633">
        <f t="shared" si="421"/>
        <v>0</v>
      </c>
      <c r="HJ153" s="633" t="e">
        <f t="shared" ca="1" si="422"/>
        <v>#VALUE!</v>
      </c>
      <c r="HK153" s="634" t="e">
        <f t="shared" ca="1" si="423"/>
        <v>#VALUE!</v>
      </c>
      <c r="HL153" s="633"/>
      <c r="HM153" s="633">
        <f t="shared" si="424"/>
        <v>0</v>
      </c>
      <c r="HN153" s="633" t="e">
        <f t="shared" si="425"/>
        <v>#DIV/0!</v>
      </c>
      <c r="HO153" s="633"/>
      <c r="HP153" s="563"/>
      <c r="HQ153" s="47"/>
      <c r="HR153" s="563"/>
      <c r="HS153" s="563">
        <f>SUM(Tableau6[[#This Row],[GO]:[CARRELAGE]])</f>
        <v>0</v>
      </c>
      <c r="HT153" s="461"/>
      <c r="HU153" s="461"/>
      <c r="HV153" s="461"/>
      <c r="HW153" s="461"/>
      <c r="HX153" s="461"/>
      <c r="HY153" s="461"/>
      <c r="HZ153" s="461"/>
      <c r="IA153" s="461"/>
      <c r="IB153" s="461"/>
      <c r="IC153" s="461"/>
      <c r="ID153" s="461"/>
      <c r="IE153" s="461"/>
      <c r="IF153" s="461"/>
      <c r="IG153" s="563"/>
      <c r="IH153" s="563"/>
      <c r="II153" s="563">
        <f>HP153+HR153+Tableau6[[#This Row],[TRAVAUX BATIS]]+Tableau6[[#This Row],[HONORAIRES]]+IH153</f>
        <v>0</v>
      </c>
      <c r="IJ153" s="654">
        <f>Tableau6[[#This Row],[TOTAL PRP HT]]-Tableau6[[#This Row],[PRP TTC HORS FRAFU]]/1.021</f>
        <v>0</v>
      </c>
      <c r="IK153" s="9"/>
      <c r="IL153" s="9"/>
      <c r="IM153" s="9"/>
      <c r="IN153" s="9"/>
      <c r="IO153" s="9"/>
      <c r="IP153" s="9"/>
      <c r="IQ153" s="9"/>
      <c r="IR153" s="9"/>
      <c r="IS153" s="9"/>
      <c r="IT153" s="9"/>
      <c r="IU153" s="9"/>
      <c r="IV153" s="9"/>
    </row>
    <row r="154" spans="1:256" ht="15" customHeight="1">
      <c r="A154" s="48" t="s">
        <v>601</v>
      </c>
      <c r="B154" s="22" t="s">
        <v>14</v>
      </c>
      <c r="C154" s="22" t="s">
        <v>86</v>
      </c>
      <c r="D154" s="22" t="s">
        <v>626</v>
      </c>
      <c r="E154" s="22"/>
      <c r="F154" s="22"/>
      <c r="G154" s="22"/>
      <c r="H154" s="24"/>
      <c r="I154" s="22"/>
      <c r="J154" s="22" t="s">
        <v>710</v>
      </c>
      <c r="K154" s="134" t="s">
        <v>603</v>
      </c>
      <c r="L154" s="81"/>
      <c r="M154" s="82"/>
      <c r="N154" s="83"/>
      <c r="O154" s="103">
        <v>8400</v>
      </c>
      <c r="P154" s="103"/>
      <c r="Q154" s="103"/>
      <c r="R154" s="103">
        <f>P154/AD154</f>
        <v>0</v>
      </c>
      <c r="S154" s="103">
        <f>P154/O154</f>
        <v>0</v>
      </c>
      <c r="T154" s="109">
        <f>Q154/O154</f>
        <v>0</v>
      </c>
      <c r="U154" s="109" t="e">
        <f>Q154/AK154</f>
        <v>#DIV/0!</v>
      </c>
      <c r="V154" s="109">
        <f>Q154/AD154</f>
        <v>0</v>
      </c>
      <c r="W154" s="103">
        <f>O154/AD154</f>
        <v>280</v>
      </c>
      <c r="X154" s="104"/>
      <c r="Y154" s="447">
        <f>10000*AD154/O154</f>
        <v>35.714285714285715</v>
      </c>
      <c r="Z154" s="104" t="s">
        <v>602</v>
      </c>
      <c r="AA154" s="104"/>
      <c r="AB154" s="105"/>
      <c r="AC154" s="22" t="s">
        <v>10</v>
      </c>
      <c r="AD154" s="426">
        <f t="shared" si="441"/>
        <v>30</v>
      </c>
      <c r="AE154" s="427">
        <f t="shared" si="458"/>
        <v>30</v>
      </c>
      <c r="AF154" s="32"/>
      <c r="AG154" s="22">
        <v>30</v>
      </c>
      <c r="AH154" s="32"/>
      <c r="AI154" s="32"/>
      <c r="AJ154" s="615"/>
      <c r="AK154" s="222"/>
      <c r="AL154" s="492">
        <f t="shared" si="402"/>
        <v>0</v>
      </c>
      <c r="AM154" s="4">
        <f t="shared" si="403"/>
        <v>0</v>
      </c>
      <c r="AN154" s="26"/>
      <c r="AO154" s="26"/>
      <c r="AP154" s="26"/>
      <c r="AQ154" s="39"/>
      <c r="AR154" s="39"/>
      <c r="AS154" s="39"/>
      <c r="AT154" s="39"/>
      <c r="AU154" s="39"/>
      <c r="AV154" s="26"/>
      <c r="AW154" s="37"/>
      <c r="AX154" s="39"/>
      <c r="AY154" s="26"/>
      <c r="AZ154" s="25"/>
      <c r="BA154" s="22"/>
      <c r="BB154" s="22"/>
      <c r="BC154" s="437" t="e">
        <f t="shared" si="404"/>
        <v>#DIV/0!</v>
      </c>
      <c r="BD154" s="332" t="e">
        <f t="shared" si="405"/>
        <v>#DIV/0!</v>
      </c>
      <c r="BE154" s="334">
        <f t="shared" si="406"/>
        <v>0</v>
      </c>
      <c r="BF154" s="123"/>
      <c r="BG154" s="123"/>
      <c r="BH154" s="89"/>
      <c r="BI154" s="89"/>
      <c r="BJ154" s="548"/>
      <c r="BK154" s="548"/>
      <c r="BL154" s="549"/>
      <c r="BM154" s="547">
        <f t="shared" si="410"/>
        <v>0</v>
      </c>
      <c r="BN154" s="490" t="s">
        <v>229</v>
      </c>
      <c r="BO154" s="77"/>
      <c r="BP154" s="100"/>
      <c r="BQ154" s="536">
        <f t="shared" si="411"/>
        <v>0</v>
      </c>
      <c r="BR154" s="529"/>
      <c r="BS154" s="77"/>
      <c r="BT154" s="77"/>
      <c r="BU154" s="151"/>
      <c r="BV154" s="150">
        <f t="shared" si="442"/>
        <v>1096</v>
      </c>
      <c r="BW154" s="373"/>
      <c r="BX154" s="150" t="str">
        <f>IF(Tableau6[[#This Row],[Montant des loyers perçus avant 1e échéance]]&lt;BW154,"oui","non")</f>
        <v>non</v>
      </c>
      <c r="BY154" s="475">
        <f t="shared" si="412"/>
        <v>-1487.7</v>
      </c>
      <c r="BZ154" s="373">
        <f t="shared" si="413"/>
        <v>0</v>
      </c>
      <c r="CA154" s="373">
        <f>IF(BW154-BZ154&lt;0,0,Tableau6[[#This Row],[Montant échéance annuelle]]-Tableau6[[#This Row],[Montant des loyers perçus avant 1e échéance]])</f>
        <v>0</v>
      </c>
      <c r="CB154" s="286"/>
      <c r="CC154" s="288"/>
      <c r="CD154" s="288"/>
      <c r="CE154" s="290" t="str">
        <f t="shared" si="414"/>
        <v>0</v>
      </c>
      <c r="CF154" s="288"/>
      <c r="CG154" s="288"/>
      <c r="CH154" s="290" t="str">
        <f t="shared" si="415"/>
        <v>0</v>
      </c>
      <c r="CI154" s="288"/>
      <c r="CJ154" s="288"/>
      <c r="CK154" s="290" t="str">
        <f t="shared" si="416"/>
        <v>0</v>
      </c>
      <c r="CL154" s="288"/>
      <c r="CM154" s="288"/>
      <c r="CN154" s="290" t="str">
        <f t="shared" si="417"/>
        <v>0</v>
      </c>
      <c r="CO154" s="288"/>
      <c r="CP154" s="288"/>
      <c r="CQ154" s="290" t="str">
        <f t="shared" si="418"/>
        <v>0</v>
      </c>
      <c r="CR154" s="237"/>
      <c r="CS154" s="292"/>
      <c r="CT154" s="277"/>
      <c r="CU154" s="278"/>
      <c r="CV154" s="279" t="str">
        <f t="shared" si="407"/>
        <v>0</v>
      </c>
      <c r="CW154" s="277"/>
      <c r="CX154" s="382">
        <v>45118</v>
      </c>
      <c r="CY154" s="178"/>
      <c r="CZ154" s="231">
        <f t="shared" si="465"/>
        <v>1503.9333333333334</v>
      </c>
      <c r="DA154" s="279" t="str">
        <f t="shared" si="426"/>
        <v>0</v>
      </c>
      <c r="DB154" s="383">
        <v>18</v>
      </c>
      <c r="DC154" s="127">
        <f t="shared" si="427"/>
        <v>19</v>
      </c>
      <c r="DD154" s="277"/>
      <c r="DE154" s="282">
        <f t="shared" ca="1" si="428"/>
        <v>43998</v>
      </c>
      <c r="DF154" s="279" t="str">
        <f t="shared" ca="1" si="429"/>
        <v>0</v>
      </c>
      <c r="DG154" s="277"/>
      <c r="DH154" s="295">
        <f t="shared" ref="DH154:DH163" ca="1" si="477">IF(DG154&lt;TODAY(),TODAY(),DG154)</f>
        <v>43998</v>
      </c>
      <c r="DI154" s="280" t="str">
        <f t="shared" ca="1" si="430"/>
        <v>0</v>
      </c>
      <c r="DJ154" s="281"/>
      <c r="DK154" s="295">
        <f t="shared" ca="1" si="475"/>
        <v>43998</v>
      </c>
      <c r="DL154" s="279" t="str">
        <f t="shared" ca="1" si="431"/>
        <v>0</v>
      </c>
      <c r="DM154" s="282"/>
      <c r="DN154" s="282">
        <f t="shared" ca="1" si="476"/>
        <v>43998</v>
      </c>
      <c r="DO154" s="279" t="str">
        <f t="shared" ca="1" si="432"/>
        <v>0</v>
      </c>
      <c r="DP154" s="283"/>
      <c r="DQ154" s="283"/>
      <c r="DR154" s="279" t="str">
        <f t="shared" si="433"/>
        <v>0</v>
      </c>
      <c r="DS154" s="282"/>
      <c r="DT154" s="282">
        <f t="shared" ca="1" si="434"/>
        <v>43998</v>
      </c>
      <c r="DU154" s="279" t="str">
        <f t="shared" ca="1" si="435"/>
        <v>0</v>
      </c>
      <c r="DV154" s="282"/>
      <c r="DW154" s="282">
        <f t="shared" ca="1" si="436"/>
        <v>43998</v>
      </c>
      <c r="DX154" s="279" t="str">
        <f t="shared" ca="1" si="437"/>
        <v>0</v>
      </c>
      <c r="DY154" s="282"/>
      <c r="DZ154" s="282"/>
      <c r="EA154" s="282"/>
      <c r="EB154" s="410">
        <f t="shared" si="443"/>
        <v>45668</v>
      </c>
      <c r="EC154" s="409">
        <f t="shared" si="469"/>
        <v>45699</v>
      </c>
      <c r="ED154" s="406">
        <f t="shared" si="444"/>
        <v>1.0333333333333334</v>
      </c>
      <c r="EE154" s="505">
        <f t="shared" ca="1" si="438"/>
        <v>56.7</v>
      </c>
      <c r="EF154" s="409">
        <f t="shared" ca="1" si="470"/>
        <v>44728</v>
      </c>
      <c r="EG154" s="457"/>
      <c r="EH154" s="448"/>
      <c r="EI154" s="458">
        <f t="shared" si="463"/>
        <v>45821</v>
      </c>
      <c r="EJ154" s="242"/>
      <c r="EK154" s="456">
        <f t="shared" si="467"/>
        <v>45699</v>
      </c>
      <c r="EL154" s="409">
        <f t="shared" si="383"/>
        <v>45727</v>
      </c>
      <c r="EM154" s="314"/>
      <c r="EN154" s="404">
        <f t="shared" si="466"/>
        <v>0.93333333333333335</v>
      </c>
      <c r="EO154" s="394"/>
      <c r="EP154" s="131">
        <f t="shared" si="445"/>
        <v>0</v>
      </c>
      <c r="EQ154" s="60"/>
      <c r="ER154" s="60"/>
      <c r="ES154" s="742"/>
      <c r="ET154" s="300"/>
      <c r="EU154" s="300"/>
      <c r="EV154" s="300"/>
      <c r="EW154" s="300"/>
      <c r="EX154" s="300"/>
      <c r="EY154" s="416" t="e">
        <f t="shared" si="439"/>
        <v>#DIV/0!</v>
      </c>
      <c r="EZ154" s="297"/>
      <c r="FA154" s="308"/>
      <c r="FB154" s="297"/>
      <c r="FC154" s="297"/>
      <c r="FD154" s="89">
        <f t="shared" ca="1" si="468"/>
        <v>44728</v>
      </c>
      <c r="FE154" s="63"/>
      <c r="FF154" s="63"/>
      <c r="FG154" s="63"/>
      <c r="FH154" s="63"/>
      <c r="FI154" s="63"/>
      <c r="FJ154" s="22"/>
      <c r="FK154" s="146">
        <f t="shared" si="464"/>
        <v>46064</v>
      </c>
      <c r="FL154" s="146"/>
      <c r="FM154" s="146"/>
      <c r="FN154" s="22"/>
      <c r="FO154" s="22"/>
      <c r="FP154" s="22"/>
      <c r="FQ154" s="22"/>
      <c r="FR154" s="22"/>
      <c r="FS154" s="22"/>
      <c r="FT154" s="22"/>
      <c r="FU154" s="22"/>
      <c r="FV154" s="22"/>
      <c r="FW154" s="22"/>
      <c r="FX154" s="22"/>
      <c r="FY154" s="22"/>
      <c r="FZ154" s="22"/>
      <c r="GA154" s="451"/>
      <c r="GB154" s="471">
        <f>GD154+GG154+GJ154+HF154+Tableau6[[#This Row],[PRÊT CREDIT D''IMPOT (PM)]]</f>
        <v>0</v>
      </c>
      <c r="GC154" s="645">
        <f t="shared" si="446"/>
        <v>0</v>
      </c>
      <c r="GD154" s="507">
        <f t="shared" si="459"/>
        <v>0</v>
      </c>
      <c r="GE154" s="20" t="e">
        <f t="shared" si="447"/>
        <v>#DIV/0!</v>
      </c>
      <c r="GF154" s="20">
        <f t="shared" si="440"/>
        <v>0</v>
      </c>
      <c r="GG154" s="503"/>
      <c r="GH154" s="351"/>
      <c r="GI154" s="20">
        <f t="shared" si="409"/>
        <v>0</v>
      </c>
      <c r="GJ154" s="503">
        <f t="shared" si="448"/>
        <v>0</v>
      </c>
      <c r="GK154" s="5">
        <f t="shared" si="408"/>
        <v>0</v>
      </c>
      <c r="GL154" s="44"/>
      <c r="GM154" s="44"/>
      <c r="GN154" s="346">
        <f t="shared" si="449"/>
        <v>0</v>
      </c>
      <c r="GO154" s="35"/>
      <c r="GP154" s="5"/>
      <c r="GQ154" s="35"/>
      <c r="GR154" s="45" t="e">
        <f t="shared" si="450"/>
        <v>#DIV/0!</v>
      </c>
      <c r="GS154" s="35"/>
      <c r="GT154" s="35"/>
      <c r="GU154" s="35"/>
      <c r="GV154" s="20">
        <f>GP154/AD154</f>
        <v>0</v>
      </c>
      <c r="GW154" s="20">
        <f>(GG154+GP154)/AD154</f>
        <v>0</v>
      </c>
      <c r="GX154" s="569"/>
      <c r="GY154" s="569"/>
      <c r="GZ154" s="569" t="e">
        <f>(#REF!+#REF!+GY154)/AD154</f>
        <v>#REF!</v>
      </c>
      <c r="HA154" s="569"/>
      <c r="HB154" s="569">
        <f>(GG154+GP154+GY154+HA154)/AD154</f>
        <v>0</v>
      </c>
      <c r="HC154" s="568" t="e">
        <f>(GG154+GP154+GY154+HA154)/(GX154+GB154-HD154)</f>
        <v>#DIV/0!</v>
      </c>
      <c r="HD154" s="569"/>
      <c r="HE154" s="569"/>
      <c r="HF154" s="503"/>
      <c r="HG154" s="633"/>
      <c r="HH154" s="634" t="e">
        <f t="shared" si="420"/>
        <v>#DIV/0!</v>
      </c>
      <c r="HI154" s="633">
        <f t="shared" si="421"/>
        <v>0</v>
      </c>
      <c r="HJ154" s="633" t="e">
        <f t="shared" ca="1" si="422"/>
        <v>#VALUE!</v>
      </c>
      <c r="HK154" s="634" t="e">
        <f t="shared" ca="1" si="423"/>
        <v>#VALUE!</v>
      </c>
      <c r="HL154" s="633"/>
      <c r="HM154" s="633">
        <f t="shared" si="424"/>
        <v>0</v>
      </c>
      <c r="HN154" s="633" t="e">
        <f t="shared" si="425"/>
        <v>#DIV/0!</v>
      </c>
      <c r="HO154" s="633"/>
      <c r="HP154" s="563"/>
      <c r="HQ154" s="47"/>
      <c r="HR154" s="563"/>
      <c r="HS154" s="563">
        <f>SUM(Tableau6[[#This Row],[GO]:[CARRELAGE]])</f>
        <v>0</v>
      </c>
      <c r="HT154" s="461"/>
      <c r="HU154" s="461"/>
      <c r="HV154" s="461"/>
      <c r="HW154" s="461"/>
      <c r="HX154" s="461"/>
      <c r="HY154" s="461"/>
      <c r="HZ154" s="461"/>
      <c r="IA154" s="461"/>
      <c r="IB154" s="461"/>
      <c r="IC154" s="461"/>
      <c r="ID154" s="461"/>
      <c r="IE154" s="461"/>
      <c r="IF154" s="461"/>
      <c r="IG154" s="563"/>
      <c r="IH154" s="563"/>
      <c r="II154" s="563">
        <f>HP154+HR154+Tableau6[[#This Row],[TRAVAUX BATIS]]+Tableau6[[#This Row],[HONORAIRES]]+IH154</f>
        <v>0</v>
      </c>
      <c r="IJ154" s="654">
        <f>Tableau6[[#This Row],[TOTAL PRP HT]]-Tableau6[[#This Row],[PRP TTC HORS FRAFU]]/1.021</f>
        <v>0</v>
      </c>
      <c r="IK154" s="9"/>
      <c r="IL154" s="9"/>
      <c r="IM154" s="9"/>
      <c r="IN154" s="9"/>
      <c r="IO154" s="9"/>
      <c r="IP154" s="9"/>
      <c r="IQ154" s="9"/>
      <c r="IR154" s="9"/>
      <c r="IS154" s="9"/>
      <c r="IT154" s="9"/>
      <c r="IU154" s="9"/>
      <c r="IV154" s="9"/>
    </row>
    <row r="155" spans="1:256" ht="15" customHeight="1">
      <c r="A155" s="428" t="s">
        <v>429</v>
      </c>
      <c r="B155" s="22" t="s">
        <v>14</v>
      </c>
      <c r="C155" s="22" t="s">
        <v>86</v>
      </c>
      <c r="D155" s="22" t="s">
        <v>626</v>
      </c>
      <c r="E155" s="22"/>
      <c r="F155" s="22"/>
      <c r="G155" s="22"/>
      <c r="H155" s="24"/>
      <c r="I155" s="22"/>
      <c r="J155" s="22" t="s">
        <v>711</v>
      </c>
      <c r="K155" s="134" t="s">
        <v>625</v>
      </c>
      <c r="L155" s="81"/>
      <c r="M155" s="82"/>
      <c r="N155" s="83"/>
      <c r="O155" s="103"/>
      <c r="P155" s="103"/>
      <c r="Q155" s="103"/>
      <c r="R155" s="103">
        <f>P155/AD155</f>
        <v>0</v>
      </c>
      <c r="S155" s="103"/>
      <c r="T155" s="109"/>
      <c r="U155" s="109"/>
      <c r="V155" s="109">
        <f>Q155/AD155</f>
        <v>0</v>
      </c>
      <c r="W155" s="103"/>
      <c r="X155" s="104"/>
      <c r="Y155" s="447" t="e">
        <f>10000*AD155/O155</f>
        <v>#DIV/0!</v>
      </c>
      <c r="Z155" s="104"/>
      <c r="AA155" s="104"/>
      <c r="AB155" s="105"/>
      <c r="AC155" s="22" t="s">
        <v>10</v>
      </c>
      <c r="AD155" s="426">
        <f t="shared" si="441"/>
        <v>60</v>
      </c>
      <c r="AE155" s="427">
        <f t="shared" si="458"/>
        <v>60</v>
      </c>
      <c r="AF155" s="32"/>
      <c r="AG155" s="22">
        <v>60</v>
      </c>
      <c r="AH155" s="32"/>
      <c r="AI155" s="32"/>
      <c r="AJ155" s="615"/>
      <c r="AK155" s="222"/>
      <c r="AL155" s="492">
        <f t="shared" si="402"/>
        <v>0</v>
      </c>
      <c r="AM155" s="4">
        <f t="shared" si="403"/>
        <v>0</v>
      </c>
      <c r="AN155" s="26"/>
      <c r="AO155" s="26"/>
      <c r="AP155" s="26"/>
      <c r="AQ155" s="39"/>
      <c r="AR155" s="39"/>
      <c r="AS155" s="39"/>
      <c r="AT155" s="39"/>
      <c r="AU155" s="39"/>
      <c r="AV155" s="26"/>
      <c r="AW155" s="37"/>
      <c r="AX155" s="39"/>
      <c r="AY155" s="26"/>
      <c r="AZ155" s="25"/>
      <c r="BA155" s="22"/>
      <c r="BB155" s="22"/>
      <c r="BC155" s="437" t="e">
        <f t="shared" si="404"/>
        <v>#DIV/0!</v>
      </c>
      <c r="BD155" s="332" t="e">
        <f t="shared" si="405"/>
        <v>#DIV/0!</v>
      </c>
      <c r="BE155" s="334">
        <f t="shared" si="406"/>
        <v>0</v>
      </c>
      <c r="BF155" s="123"/>
      <c r="BG155" s="123"/>
      <c r="BH155" s="89"/>
      <c r="BI155" s="89"/>
      <c r="BJ155" s="548"/>
      <c r="BK155" s="548"/>
      <c r="BL155" s="549"/>
      <c r="BM155" s="547">
        <f t="shared" si="410"/>
        <v>0</v>
      </c>
      <c r="BN155" s="490" t="s">
        <v>229</v>
      </c>
      <c r="BO155" s="77"/>
      <c r="BP155" s="100"/>
      <c r="BQ155" s="536">
        <f t="shared" si="411"/>
        <v>0</v>
      </c>
      <c r="BR155" s="529"/>
      <c r="BS155" s="77"/>
      <c r="BT155" s="77"/>
      <c r="BU155" s="151"/>
      <c r="BV155" s="150">
        <f t="shared" si="442"/>
        <v>1096</v>
      </c>
      <c r="BW155" s="373"/>
      <c r="BX155" s="150" t="str">
        <f>IF(Tableau6[[#This Row],[Montant des loyers perçus avant 1e échéance]]&lt;BW155,"oui","non")</f>
        <v>non</v>
      </c>
      <c r="BY155" s="475">
        <f t="shared" si="412"/>
        <v>-1487.7666666666667</v>
      </c>
      <c r="BZ155" s="373">
        <f t="shared" si="413"/>
        <v>0</v>
      </c>
      <c r="CA155" s="373">
        <f>IF(BW155-BZ155&lt;0,0,Tableau6[[#This Row],[Montant échéance annuelle]]-Tableau6[[#This Row],[Montant des loyers perçus avant 1e échéance]])</f>
        <v>0</v>
      </c>
      <c r="CB155" s="286"/>
      <c r="CC155" s="288"/>
      <c r="CD155" s="288"/>
      <c r="CE155" s="290" t="str">
        <f t="shared" si="414"/>
        <v>0</v>
      </c>
      <c r="CF155" s="288"/>
      <c r="CG155" s="288"/>
      <c r="CH155" s="290" t="str">
        <f t="shared" si="415"/>
        <v>0</v>
      </c>
      <c r="CI155" s="288"/>
      <c r="CJ155" s="288"/>
      <c r="CK155" s="290" t="str">
        <f t="shared" si="416"/>
        <v>0</v>
      </c>
      <c r="CL155" s="288"/>
      <c r="CM155" s="288"/>
      <c r="CN155" s="290" t="str">
        <f t="shared" si="417"/>
        <v>0</v>
      </c>
      <c r="CO155" s="288"/>
      <c r="CP155" s="288"/>
      <c r="CQ155" s="290" t="str">
        <f t="shared" si="418"/>
        <v>0</v>
      </c>
      <c r="CR155" s="237"/>
      <c r="CS155" s="292"/>
      <c r="CT155" s="277"/>
      <c r="CU155" s="278"/>
      <c r="CV155" s="279" t="str">
        <f t="shared" si="407"/>
        <v>0</v>
      </c>
      <c r="CW155" s="277"/>
      <c r="CX155" s="382">
        <v>45120</v>
      </c>
      <c r="CY155" s="178"/>
      <c r="CZ155" s="231">
        <f t="shared" si="465"/>
        <v>1504</v>
      </c>
      <c r="DA155" s="279" t="str">
        <f t="shared" si="426"/>
        <v>0</v>
      </c>
      <c r="DB155" s="383">
        <v>18</v>
      </c>
      <c r="DC155" s="127">
        <f t="shared" si="427"/>
        <v>19</v>
      </c>
      <c r="DD155" s="277"/>
      <c r="DE155" s="282">
        <f t="shared" ca="1" si="428"/>
        <v>43998</v>
      </c>
      <c r="DF155" s="279" t="str">
        <f t="shared" ca="1" si="429"/>
        <v>0</v>
      </c>
      <c r="DG155" s="277"/>
      <c r="DH155" s="295">
        <f t="shared" ca="1" si="477"/>
        <v>43998</v>
      </c>
      <c r="DI155" s="280" t="str">
        <f t="shared" ca="1" si="430"/>
        <v>0</v>
      </c>
      <c r="DJ155" s="281"/>
      <c r="DK155" s="295">
        <f t="shared" ca="1" si="475"/>
        <v>43998</v>
      </c>
      <c r="DL155" s="279" t="str">
        <f t="shared" ca="1" si="431"/>
        <v>0</v>
      </c>
      <c r="DM155" s="282"/>
      <c r="DN155" s="282">
        <f t="shared" ca="1" si="476"/>
        <v>43998</v>
      </c>
      <c r="DO155" s="279" t="str">
        <f t="shared" ca="1" si="432"/>
        <v>0</v>
      </c>
      <c r="DP155" s="283"/>
      <c r="DQ155" s="283"/>
      <c r="DR155" s="279" t="str">
        <f t="shared" si="433"/>
        <v>0</v>
      </c>
      <c r="DS155" s="282"/>
      <c r="DT155" s="282">
        <f t="shared" ca="1" si="434"/>
        <v>43998</v>
      </c>
      <c r="DU155" s="279" t="str">
        <f t="shared" ca="1" si="435"/>
        <v>0</v>
      </c>
      <c r="DV155" s="282"/>
      <c r="DW155" s="282">
        <f t="shared" ca="1" si="436"/>
        <v>43998</v>
      </c>
      <c r="DX155" s="279" t="str">
        <f t="shared" ca="1" si="437"/>
        <v>0</v>
      </c>
      <c r="DY155" s="282"/>
      <c r="DZ155" s="282"/>
      <c r="EA155" s="282"/>
      <c r="EB155" s="410">
        <f t="shared" si="443"/>
        <v>45670</v>
      </c>
      <c r="EC155" s="409">
        <f t="shared" si="469"/>
        <v>45701</v>
      </c>
      <c r="ED155" s="406">
        <f t="shared" si="444"/>
        <v>1.0333333333333334</v>
      </c>
      <c r="EE155" s="505">
        <f t="shared" ca="1" si="438"/>
        <v>56.766666666666666</v>
      </c>
      <c r="EF155" s="409">
        <f t="shared" ca="1" si="470"/>
        <v>44728</v>
      </c>
      <c r="EG155" s="457"/>
      <c r="EH155" s="448"/>
      <c r="EI155" s="458">
        <f t="shared" si="463"/>
        <v>45823</v>
      </c>
      <c r="EJ155" s="242"/>
      <c r="EK155" s="456">
        <f t="shared" si="467"/>
        <v>45701</v>
      </c>
      <c r="EL155" s="409">
        <f t="shared" si="383"/>
        <v>45729</v>
      </c>
      <c r="EM155" s="314"/>
      <c r="EN155" s="404">
        <f t="shared" si="466"/>
        <v>0.93333333333333335</v>
      </c>
      <c r="EO155" s="394"/>
      <c r="EP155" s="131">
        <f t="shared" si="445"/>
        <v>0</v>
      </c>
      <c r="EQ155" s="60"/>
      <c r="ER155" s="60"/>
      <c r="ES155" s="742"/>
      <c r="ET155" s="300"/>
      <c r="EU155" s="300"/>
      <c r="EV155" s="300"/>
      <c r="EW155" s="300"/>
      <c r="EX155" s="300"/>
      <c r="EY155" s="416" t="e">
        <f t="shared" si="439"/>
        <v>#DIV/0!</v>
      </c>
      <c r="EZ155" s="297"/>
      <c r="FA155" s="308"/>
      <c r="FB155" s="297"/>
      <c r="FC155" s="297"/>
      <c r="FD155" s="89">
        <f t="shared" ca="1" si="468"/>
        <v>44728</v>
      </c>
      <c r="FE155" s="63"/>
      <c r="FF155" s="63"/>
      <c r="FG155" s="63"/>
      <c r="FH155" s="63"/>
      <c r="FI155" s="63"/>
      <c r="FJ155" s="22"/>
      <c r="FK155" s="146">
        <f t="shared" si="464"/>
        <v>46066</v>
      </c>
      <c r="FL155" s="146"/>
      <c r="FM155" s="146"/>
      <c r="FN155" s="22"/>
      <c r="FO155" s="22"/>
      <c r="FP155" s="22"/>
      <c r="FQ155" s="22"/>
      <c r="FR155" s="22"/>
      <c r="FS155" s="22"/>
      <c r="FT155" s="22"/>
      <c r="FU155" s="22"/>
      <c r="FV155" s="22"/>
      <c r="FW155" s="22"/>
      <c r="FX155" s="22"/>
      <c r="FY155" s="22"/>
      <c r="FZ155" s="22"/>
      <c r="GA155" s="451"/>
      <c r="GB155" s="471">
        <f>GD155+GG155+GJ155+HF155+Tableau6[[#This Row],[PRÊT CREDIT D''IMPOT (PM)]]</f>
        <v>0</v>
      </c>
      <c r="GC155" s="645">
        <f t="shared" si="446"/>
        <v>0</v>
      </c>
      <c r="GD155" s="507">
        <f t="shared" si="459"/>
        <v>0</v>
      </c>
      <c r="GE155" s="20" t="e">
        <f t="shared" si="447"/>
        <v>#DIV/0!</v>
      </c>
      <c r="GF155" s="20">
        <f t="shared" si="440"/>
        <v>0</v>
      </c>
      <c r="GG155" s="503"/>
      <c r="GH155" s="351"/>
      <c r="GI155" s="20">
        <f t="shared" si="409"/>
        <v>0</v>
      </c>
      <c r="GJ155" s="503">
        <f t="shared" si="448"/>
        <v>0</v>
      </c>
      <c r="GK155" s="5">
        <f t="shared" si="408"/>
        <v>0</v>
      </c>
      <c r="GL155" s="44"/>
      <c r="GM155" s="44"/>
      <c r="GN155" s="346">
        <f t="shared" si="449"/>
        <v>0</v>
      </c>
      <c r="GO155" s="35"/>
      <c r="GP155" s="5"/>
      <c r="GQ155" s="35"/>
      <c r="GR155" s="45" t="e">
        <f t="shared" si="450"/>
        <v>#DIV/0!</v>
      </c>
      <c r="GS155" s="35"/>
      <c r="GT155" s="35"/>
      <c r="GU155" s="35"/>
      <c r="GV155" s="20">
        <f>GP155/AD155</f>
        <v>0</v>
      </c>
      <c r="GW155" s="20">
        <f>(GG155+GP155)/AD155</f>
        <v>0</v>
      </c>
      <c r="GX155" s="569"/>
      <c r="GY155" s="569"/>
      <c r="GZ155" s="569" t="e">
        <f>(#REF!+#REF!+GY155)/AD155</f>
        <v>#REF!</v>
      </c>
      <c r="HA155" s="569"/>
      <c r="HB155" s="569">
        <f>(GG155+GP155+GY155+HA155)/AD155</f>
        <v>0</v>
      </c>
      <c r="HC155" s="568" t="e">
        <f>(GG155+GP155+GY155+HA155)/(GX155+GB155-HD155)</f>
        <v>#DIV/0!</v>
      </c>
      <c r="HD155" s="569"/>
      <c r="HE155" s="569"/>
      <c r="HF155" s="503"/>
      <c r="HG155" s="633"/>
      <c r="HH155" s="634" t="e">
        <f t="shared" si="420"/>
        <v>#DIV/0!</v>
      </c>
      <c r="HI155" s="633">
        <f t="shared" si="421"/>
        <v>0</v>
      </c>
      <c r="HJ155" s="633" t="e">
        <f t="shared" ca="1" si="422"/>
        <v>#VALUE!</v>
      </c>
      <c r="HK155" s="634" t="e">
        <f t="shared" ca="1" si="423"/>
        <v>#VALUE!</v>
      </c>
      <c r="HL155" s="633"/>
      <c r="HM155" s="633">
        <f t="shared" si="424"/>
        <v>0</v>
      </c>
      <c r="HN155" s="633" t="e">
        <f t="shared" si="425"/>
        <v>#DIV/0!</v>
      </c>
      <c r="HO155" s="633"/>
      <c r="HP155" s="563"/>
      <c r="HQ155" s="47"/>
      <c r="HR155" s="563"/>
      <c r="HS155" s="563">
        <f>SUM(Tableau6[[#This Row],[GO]:[CARRELAGE]])</f>
        <v>0</v>
      </c>
      <c r="HT155" s="461"/>
      <c r="HU155" s="461"/>
      <c r="HV155" s="461"/>
      <c r="HW155" s="461"/>
      <c r="HX155" s="461"/>
      <c r="HY155" s="461"/>
      <c r="HZ155" s="461"/>
      <c r="IA155" s="461"/>
      <c r="IB155" s="461"/>
      <c r="IC155" s="461"/>
      <c r="ID155" s="461"/>
      <c r="IE155" s="461"/>
      <c r="IF155" s="461"/>
      <c r="IG155" s="563"/>
      <c r="IH155" s="563"/>
      <c r="II155" s="563">
        <f>HP155+HR155+Tableau6[[#This Row],[TRAVAUX BATIS]]+Tableau6[[#This Row],[HONORAIRES]]+IH155</f>
        <v>0</v>
      </c>
      <c r="IJ155" s="654">
        <f>Tableau6[[#This Row],[TOTAL PRP HT]]-Tableau6[[#This Row],[PRP TTC HORS FRAFU]]/1.021</f>
        <v>0</v>
      </c>
      <c r="IK155" s="9"/>
      <c r="IL155" s="9"/>
      <c r="IM155" s="9"/>
      <c r="IN155" s="9"/>
      <c r="IO155" s="9"/>
      <c r="IP155" s="9"/>
      <c r="IQ155" s="9"/>
      <c r="IR155" s="9"/>
      <c r="IS155" s="9"/>
      <c r="IT155" s="9"/>
      <c r="IU155" s="9"/>
      <c r="IV155" s="9"/>
    </row>
    <row r="156" spans="1:256" ht="15" customHeight="1">
      <c r="A156" s="428"/>
      <c r="B156" s="22"/>
      <c r="C156" s="22"/>
      <c r="D156" s="22"/>
      <c r="E156" s="22"/>
      <c r="F156" s="22"/>
      <c r="G156" s="22"/>
      <c r="H156" s="24"/>
      <c r="I156" s="22"/>
      <c r="J156" s="22"/>
      <c r="K156" s="134"/>
      <c r="L156" s="81"/>
      <c r="M156" s="82"/>
      <c r="N156" s="83"/>
      <c r="O156" s="103"/>
      <c r="P156" s="103"/>
      <c r="Q156" s="103"/>
      <c r="R156" s="103"/>
      <c r="S156" s="103"/>
      <c r="T156" s="109"/>
      <c r="U156" s="109"/>
      <c r="V156" s="109"/>
      <c r="W156" s="103"/>
      <c r="X156" s="104"/>
      <c r="Y156" s="447"/>
      <c r="Z156" s="104"/>
      <c r="AA156" s="104"/>
      <c r="AB156" s="105"/>
      <c r="AC156" s="22"/>
      <c r="AD156" s="426"/>
      <c r="AE156" s="427"/>
      <c r="AF156" s="32"/>
      <c r="AG156" s="22"/>
      <c r="AH156" s="32"/>
      <c r="AI156" s="32"/>
      <c r="AJ156" s="615"/>
      <c r="AK156" s="222"/>
      <c r="AL156" s="492" t="e">
        <f t="shared" si="402"/>
        <v>#DIV/0!</v>
      </c>
      <c r="AM156" s="4" t="e">
        <f t="shared" si="403"/>
        <v>#DIV/0!</v>
      </c>
      <c r="AN156" s="26"/>
      <c r="AO156" s="26"/>
      <c r="AP156" s="26"/>
      <c r="AQ156" s="39"/>
      <c r="AR156" s="39"/>
      <c r="AS156" s="39"/>
      <c r="AT156" s="39"/>
      <c r="AU156" s="39"/>
      <c r="AV156" s="26"/>
      <c r="AW156" s="37"/>
      <c r="AX156" s="39"/>
      <c r="AY156" s="26"/>
      <c r="AZ156" s="25"/>
      <c r="BA156" s="22"/>
      <c r="BB156" s="22"/>
      <c r="BC156" s="437" t="e">
        <f t="shared" si="404"/>
        <v>#DIV/0!</v>
      </c>
      <c r="BD156" s="332" t="e">
        <f t="shared" si="405"/>
        <v>#DIV/0!</v>
      </c>
      <c r="BE156" s="334" t="e">
        <f t="shared" si="406"/>
        <v>#DIV/0!</v>
      </c>
      <c r="BF156" s="123"/>
      <c r="BG156" s="123"/>
      <c r="BH156" s="89"/>
      <c r="BI156" s="89"/>
      <c r="BJ156" s="548"/>
      <c r="BK156" s="548"/>
      <c r="BL156" s="549"/>
      <c r="BM156" s="547">
        <f t="shared" si="410"/>
        <v>0</v>
      </c>
      <c r="BN156" s="490"/>
      <c r="BO156" s="77"/>
      <c r="BP156" s="100"/>
      <c r="BQ156" s="536">
        <f t="shared" si="411"/>
        <v>0</v>
      </c>
      <c r="BR156" s="529"/>
      <c r="BS156" s="77"/>
      <c r="BT156" s="77"/>
      <c r="BU156" s="151"/>
      <c r="BV156" s="150">
        <f t="shared" si="442"/>
        <v>1096</v>
      </c>
      <c r="BW156" s="373"/>
      <c r="BX156" s="150" t="str">
        <f>IF(Tableau6[[#This Row],[Montant des loyers perçus avant 1e échéance]]&lt;BW156,"oui","non")</f>
        <v>non</v>
      </c>
      <c r="BY156" s="475">
        <f t="shared" si="412"/>
        <v>36.533333333333331</v>
      </c>
      <c r="BZ156" s="373">
        <f t="shared" si="413"/>
        <v>0</v>
      </c>
      <c r="CA156" s="373">
        <f>IF(BW156-BZ156&lt;0,0,Tableau6[[#This Row],[Montant échéance annuelle]]-Tableau6[[#This Row],[Montant des loyers perçus avant 1e échéance]])</f>
        <v>0</v>
      </c>
      <c r="CB156" s="286"/>
      <c r="CC156" s="288"/>
      <c r="CD156" s="288"/>
      <c r="CE156" s="290" t="str">
        <f t="shared" si="414"/>
        <v>0</v>
      </c>
      <c r="CF156" s="288"/>
      <c r="CG156" s="288"/>
      <c r="CH156" s="290" t="str">
        <f t="shared" si="415"/>
        <v>0</v>
      </c>
      <c r="CI156" s="288"/>
      <c r="CJ156" s="288"/>
      <c r="CK156" s="290" t="str">
        <f t="shared" si="416"/>
        <v>0</v>
      </c>
      <c r="CL156" s="288"/>
      <c r="CM156" s="288"/>
      <c r="CN156" s="290" t="str">
        <f t="shared" si="417"/>
        <v>0</v>
      </c>
      <c r="CO156" s="288"/>
      <c r="CP156" s="288"/>
      <c r="CQ156" s="290" t="str">
        <f t="shared" si="418"/>
        <v>0</v>
      </c>
      <c r="CR156" s="237"/>
      <c r="CS156" s="292"/>
      <c r="CT156" s="277"/>
      <c r="CU156" s="278"/>
      <c r="CV156" s="279" t="str">
        <f t="shared" si="407"/>
        <v>0</v>
      </c>
      <c r="CW156" s="277"/>
      <c r="CX156" s="382"/>
      <c r="CY156" s="178"/>
      <c r="CZ156" s="231">
        <f t="shared" si="465"/>
        <v>0</v>
      </c>
      <c r="DA156" s="279" t="str">
        <f t="shared" si="426"/>
        <v>0</v>
      </c>
      <c r="DB156" s="383">
        <v>18</v>
      </c>
      <c r="DC156" s="127">
        <f t="shared" si="427"/>
        <v>18</v>
      </c>
      <c r="DD156" s="277"/>
      <c r="DE156" s="282">
        <f t="shared" ca="1" si="428"/>
        <v>43998</v>
      </c>
      <c r="DF156" s="279" t="str">
        <f t="shared" ca="1" si="429"/>
        <v>0</v>
      </c>
      <c r="DG156" s="277"/>
      <c r="DH156" s="295">
        <f t="shared" ca="1" si="477"/>
        <v>43998</v>
      </c>
      <c r="DI156" s="280" t="str">
        <f t="shared" ca="1" si="430"/>
        <v>0</v>
      </c>
      <c r="DJ156" s="281"/>
      <c r="DK156" s="295">
        <f t="shared" ca="1" si="475"/>
        <v>43998</v>
      </c>
      <c r="DL156" s="279" t="str">
        <f t="shared" ca="1" si="431"/>
        <v>0</v>
      </c>
      <c r="DM156" s="282"/>
      <c r="DN156" s="282">
        <f t="shared" ca="1" si="476"/>
        <v>43998</v>
      </c>
      <c r="DO156" s="279" t="str">
        <f t="shared" ca="1" si="432"/>
        <v>0</v>
      </c>
      <c r="DP156" s="283"/>
      <c r="DQ156" s="283"/>
      <c r="DR156" s="279" t="str">
        <f t="shared" si="433"/>
        <v>0</v>
      </c>
      <c r="DS156" s="282"/>
      <c r="DT156" s="282">
        <f t="shared" ca="1" si="434"/>
        <v>43998</v>
      </c>
      <c r="DU156" s="279" t="str">
        <f t="shared" ca="1" si="435"/>
        <v>0</v>
      </c>
      <c r="DV156" s="282"/>
      <c r="DW156" s="282">
        <f t="shared" ca="1" si="436"/>
        <v>43998</v>
      </c>
      <c r="DX156" s="279" t="str">
        <f t="shared" ca="1" si="437"/>
        <v>0</v>
      </c>
      <c r="DY156" s="282"/>
      <c r="DZ156" s="282"/>
      <c r="EA156" s="282"/>
      <c r="EB156" s="410">
        <f t="shared" si="443"/>
        <v>547</v>
      </c>
      <c r="EC156" s="409">
        <f t="shared" si="469"/>
        <v>577</v>
      </c>
      <c r="ED156" s="406">
        <f t="shared" si="444"/>
        <v>1</v>
      </c>
      <c r="EE156" s="505">
        <f t="shared" ca="1" si="438"/>
        <v>0</v>
      </c>
      <c r="EF156" s="409">
        <f t="shared" ca="1" si="470"/>
        <v>44728</v>
      </c>
      <c r="EG156" s="457"/>
      <c r="EH156" s="448"/>
      <c r="EI156" s="458">
        <f t="shared" si="463"/>
        <v>702</v>
      </c>
      <c r="EJ156" s="242"/>
      <c r="EK156" s="456">
        <f t="shared" si="467"/>
        <v>577</v>
      </c>
      <c r="EL156" s="409"/>
      <c r="EM156" s="314"/>
      <c r="EN156" s="404">
        <f t="shared" si="466"/>
        <v>-19.233333333333334</v>
      </c>
      <c r="EO156" s="394"/>
      <c r="EP156" s="131">
        <f t="shared" si="445"/>
        <v>0</v>
      </c>
      <c r="EQ156" s="60"/>
      <c r="ER156" s="60"/>
      <c r="ES156" s="742">
        <f>(Tableau6[[#This Row],[Date inauguration recalée]]-ER156)/30</f>
        <v>0</v>
      </c>
      <c r="ET156" s="300"/>
      <c r="EU156" s="300"/>
      <c r="EV156" s="300"/>
      <c r="EW156" s="300"/>
      <c r="EX156" s="300"/>
      <c r="EY156" s="416" t="e">
        <f t="shared" si="439"/>
        <v>#DIV/0!</v>
      </c>
      <c r="EZ156" s="297"/>
      <c r="FA156" s="308"/>
      <c r="FB156" s="297"/>
      <c r="FC156" s="297"/>
      <c r="FD156" s="89">
        <f t="shared" ca="1" si="468"/>
        <v>44728</v>
      </c>
      <c r="FE156" s="63"/>
      <c r="FF156" s="63"/>
      <c r="FG156" s="63"/>
      <c r="FH156" s="63"/>
      <c r="FI156" s="63"/>
      <c r="FJ156" s="22"/>
      <c r="FK156" s="146">
        <f t="shared" si="464"/>
        <v>942</v>
      </c>
      <c r="FL156" s="146"/>
      <c r="FM156" s="146"/>
      <c r="FN156" s="22"/>
      <c r="FO156" s="22"/>
      <c r="FP156" s="22"/>
      <c r="FQ156" s="22"/>
      <c r="FR156" s="22"/>
      <c r="FS156" s="22"/>
      <c r="FT156" s="22"/>
      <c r="FU156" s="22"/>
      <c r="FV156" s="22"/>
      <c r="FW156" s="22"/>
      <c r="FX156" s="22"/>
      <c r="FY156" s="22"/>
      <c r="FZ156" s="22"/>
      <c r="GA156" s="451"/>
      <c r="GB156" s="471">
        <f>GD156+GG156+GJ156+HF156+Tableau6[[#This Row],[PRÊT CREDIT D''IMPOT (PM)]]</f>
        <v>0</v>
      </c>
      <c r="GC156" s="645">
        <f t="shared" si="446"/>
        <v>0</v>
      </c>
      <c r="GD156" s="507">
        <f t="shared" si="459"/>
        <v>0</v>
      </c>
      <c r="GE156" s="20" t="e">
        <f t="shared" si="447"/>
        <v>#DIV/0!</v>
      </c>
      <c r="GF156" s="20" t="e">
        <f t="shared" si="440"/>
        <v>#DIV/0!</v>
      </c>
      <c r="GG156" s="503"/>
      <c r="GH156" s="351"/>
      <c r="GI156" s="20" t="e">
        <f t="shared" si="409"/>
        <v>#DIV/0!</v>
      </c>
      <c r="GJ156" s="503">
        <f t="shared" si="448"/>
        <v>0</v>
      </c>
      <c r="GK156" s="5">
        <f t="shared" si="408"/>
        <v>0</v>
      </c>
      <c r="GL156" s="44"/>
      <c r="GM156" s="44"/>
      <c r="GN156" s="346" t="e">
        <f t="shared" si="449"/>
        <v>#DIV/0!</v>
      </c>
      <c r="GO156" s="35"/>
      <c r="GP156" s="5"/>
      <c r="GQ156" s="35"/>
      <c r="GR156" s="757" t="e">
        <f t="shared" si="450"/>
        <v>#DIV/0!</v>
      </c>
      <c r="GS156" s="35"/>
      <c r="GT156" s="35"/>
      <c r="GU156" s="35"/>
      <c r="GV156" s="20"/>
      <c r="GW156" s="20"/>
      <c r="GX156" s="569"/>
      <c r="GY156" s="569"/>
      <c r="GZ156" s="569"/>
      <c r="HA156" s="569"/>
      <c r="HB156" s="569"/>
      <c r="HC156" s="568"/>
      <c r="HD156" s="569"/>
      <c r="HE156" s="569"/>
      <c r="HF156" s="503"/>
      <c r="HG156" s="633"/>
      <c r="HH156" s="634" t="e">
        <f t="shared" si="420"/>
        <v>#DIV/0!</v>
      </c>
      <c r="HI156" s="633">
        <f t="shared" si="421"/>
        <v>0</v>
      </c>
      <c r="HJ156" s="633" t="e">
        <f t="shared" ca="1" si="422"/>
        <v>#VALUE!</v>
      </c>
      <c r="HK156" s="634" t="e">
        <f t="shared" ca="1" si="423"/>
        <v>#VALUE!</v>
      </c>
      <c r="HL156" s="633"/>
      <c r="HM156" s="633">
        <f t="shared" si="424"/>
        <v>0</v>
      </c>
      <c r="HN156" s="633" t="e">
        <f t="shared" si="425"/>
        <v>#DIV/0!</v>
      </c>
      <c r="HO156" s="633"/>
      <c r="HP156" s="563"/>
      <c r="HQ156" s="47"/>
      <c r="HR156" s="563"/>
      <c r="HS156" s="563">
        <f>SUM(Tableau6[[#This Row],[GO]:[CARRELAGE]])</f>
        <v>0</v>
      </c>
      <c r="HT156" s="461"/>
      <c r="HU156" s="461"/>
      <c r="HV156" s="461"/>
      <c r="HW156" s="461"/>
      <c r="HX156" s="461"/>
      <c r="HY156" s="461"/>
      <c r="HZ156" s="461"/>
      <c r="IA156" s="461"/>
      <c r="IB156" s="461"/>
      <c r="IC156" s="461"/>
      <c r="ID156" s="461"/>
      <c r="IE156" s="461"/>
      <c r="IF156" s="461"/>
      <c r="IG156" s="563"/>
      <c r="IH156" s="563"/>
      <c r="II156" s="563">
        <f>HP156+HR156+Tableau6[[#This Row],[TRAVAUX BATIS]]+Tableau6[[#This Row],[HONORAIRES]]+IH156</f>
        <v>0</v>
      </c>
      <c r="IJ156" s="654">
        <f>Tableau6[[#This Row],[TOTAL PRP HT]]-Tableau6[[#This Row],[PRP TTC HORS FRAFU]]/1.021</f>
        <v>0</v>
      </c>
      <c r="IK156" s="9"/>
      <c r="IL156" s="9"/>
      <c r="IM156" s="9"/>
      <c r="IN156" s="9"/>
      <c r="IO156" s="9"/>
      <c r="IP156" s="9"/>
      <c r="IQ156" s="9"/>
      <c r="IR156" s="9"/>
      <c r="IS156" s="9"/>
      <c r="IT156" s="9"/>
      <c r="IU156" s="9"/>
      <c r="IV156" s="9"/>
    </row>
    <row r="157" spans="1:256" ht="15" customHeight="1">
      <c r="A157" s="428"/>
      <c r="B157" s="22"/>
      <c r="C157" s="22"/>
      <c r="D157" s="22"/>
      <c r="E157" s="22"/>
      <c r="F157" s="22"/>
      <c r="G157" s="22"/>
      <c r="H157" s="24"/>
      <c r="I157" s="22"/>
      <c r="J157" s="22"/>
      <c r="K157" s="134"/>
      <c r="L157" s="81"/>
      <c r="M157" s="82"/>
      <c r="N157" s="83"/>
      <c r="O157" s="103"/>
      <c r="P157" s="103"/>
      <c r="Q157" s="103"/>
      <c r="R157" s="103"/>
      <c r="S157" s="103"/>
      <c r="T157" s="109"/>
      <c r="U157" s="109"/>
      <c r="V157" s="109"/>
      <c r="W157" s="103"/>
      <c r="X157" s="104"/>
      <c r="Y157" s="447"/>
      <c r="Z157" s="104"/>
      <c r="AA157" s="104"/>
      <c r="AB157" s="105"/>
      <c r="AC157" s="22"/>
      <c r="AD157" s="426"/>
      <c r="AE157" s="427"/>
      <c r="AF157" s="32"/>
      <c r="AG157" s="22"/>
      <c r="AH157" s="32"/>
      <c r="AI157" s="32"/>
      <c r="AJ157" s="615"/>
      <c r="AK157" s="222"/>
      <c r="AL157" s="492" t="e">
        <f t="shared" si="402"/>
        <v>#DIV/0!</v>
      </c>
      <c r="AM157" s="4" t="e">
        <f t="shared" si="403"/>
        <v>#DIV/0!</v>
      </c>
      <c r="AN157" s="26"/>
      <c r="AO157" s="26"/>
      <c r="AP157" s="26"/>
      <c r="AQ157" s="39"/>
      <c r="AR157" s="39"/>
      <c r="AS157" s="39"/>
      <c r="AT157" s="39"/>
      <c r="AU157" s="39"/>
      <c r="AV157" s="26"/>
      <c r="AW157" s="37"/>
      <c r="AX157" s="39"/>
      <c r="AY157" s="26"/>
      <c r="AZ157" s="25"/>
      <c r="BA157" s="22"/>
      <c r="BB157" s="22"/>
      <c r="BC157" s="437" t="e">
        <f t="shared" si="404"/>
        <v>#DIV/0!</v>
      </c>
      <c r="BD157" s="332" t="e">
        <f t="shared" si="405"/>
        <v>#DIV/0!</v>
      </c>
      <c r="BE157" s="334" t="e">
        <f t="shared" si="406"/>
        <v>#DIV/0!</v>
      </c>
      <c r="BF157" s="123"/>
      <c r="BG157" s="123"/>
      <c r="BH157" s="89"/>
      <c r="BI157" s="89"/>
      <c r="BJ157" s="548"/>
      <c r="BK157" s="548"/>
      <c r="BL157" s="549"/>
      <c r="BM157" s="547">
        <f t="shared" si="410"/>
        <v>0</v>
      </c>
      <c r="BN157" s="490"/>
      <c r="BO157" s="77"/>
      <c r="BP157" s="100"/>
      <c r="BQ157" s="536">
        <f t="shared" si="411"/>
        <v>0</v>
      </c>
      <c r="BR157" s="529"/>
      <c r="BS157" s="77"/>
      <c r="BT157" s="77"/>
      <c r="BU157" s="151"/>
      <c r="BV157" s="150">
        <f t="shared" si="442"/>
        <v>1096</v>
      </c>
      <c r="BW157" s="373"/>
      <c r="BX157" s="150" t="str">
        <f>IF(Tableau6[[#This Row],[Montant des loyers perçus avant 1e échéance]]&lt;BW157,"oui","non")</f>
        <v>non</v>
      </c>
      <c r="BY157" s="475">
        <f t="shared" si="412"/>
        <v>36.533333333333331</v>
      </c>
      <c r="BZ157" s="373">
        <f t="shared" si="413"/>
        <v>0</v>
      </c>
      <c r="CA157" s="373">
        <f>IF(BW157-BZ157&lt;0,0,Tableau6[[#This Row],[Montant échéance annuelle]]-Tableau6[[#This Row],[Montant des loyers perçus avant 1e échéance]])</f>
        <v>0</v>
      </c>
      <c r="CB157" s="286"/>
      <c r="CC157" s="288"/>
      <c r="CD157" s="288"/>
      <c r="CE157" s="290" t="str">
        <f t="shared" si="414"/>
        <v>0</v>
      </c>
      <c r="CF157" s="288"/>
      <c r="CG157" s="288"/>
      <c r="CH157" s="290" t="str">
        <f t="shared" si="415"/>
        <v>0</v>
      </c>
      <c r="CI157" s="288"/>
      <c r="CJ157" s="288"/>
      <c r="CK157" s="290" t="str">
        <f t="shared" si="416"/>
        <v>0</v>
      </c>
      <c r="CL157" s="288"/>
      <c r="CM157" s="288"/>
      <c r="CN157" s="290" t="str">
        <f t="shared" si="417"/>
        <v>0</v>
      </c>
      <c r="CO157" s="288"/>
      <c r="CP157" s="288"/>
      <c r="CQ157" s="290" t="str">
        <f t="shared" si="418"/>
        <v>0</v>
      </c>
      <c r="CR157" s="237"/>
      <c r="CS157" s="292"/>
      <c r="CT157" s="277"/>
      <c r="CU157" s="278"/>
      <c r="CV157" s="279" t="str">
        <f t="shared" si="407"/>
        <v>0</v>
      </c>
      <c r="CW157" s="277"/>
      <c r="CX157" s="382"/>
      <c r="CY157" s="178"/>
      <c r="CZ157" s="231">
        <f t="shared" si="465"/>
        <v>0</v>
      </c>
      <c r="DA157" s="279" t="str">
        <f t="shared" si="426"/>
        <v>0</v>
      </c>
      <c r="DB157" s="383">
        <v>18</v>
      </c>
      <c r="DC157" s="127">
        <f t="shared" si="427"/>
        <v>18</v>
      </c>
      <c r="DD157" s="277"/>
      <c r="DE157" s="282">
        <f t="shared" ca="1" si="428"/>
        <v>43998</v>
      </c>
      <c r="DF157" s="279" t="str">
        <f t="shared" ca="1" si="429"/>
        <v>0</v>
      </c>
      <c r="DG157" s="277"/>
      <c r="DH157" s="295">
        <f t="shared" ca="1" si="477"/>
        <v>43998</v>
      </c>
      <c r="DI157" s="280" t="str">
        <f t="shared" ca="1" si="430"/>
        <v>0</v>
      </c>
      <c r="DJ157" s="281"/>
      <c r="DK157" s="295">
        <f t="shared" ca="1" si="475"/>
        <v>43998</v>
      </c>
      <c r="DL157" s="279" t="str">
        <f t="shared" ca="1" si="431"/>
        <v>0</v>
      </c>
      <c r="DM157" s="282"/>
      <c r="DN157" s="282">
        <f t="shared" ca="1" si="476"/>
        <v>43998</v>
      </c>
      <c r="DO157" s="279" t="str">
        <f t="shared" ca="1" si="432"/>
        <v>0</v>
      </c>
      <c r="DP157" s="283"/>
      <c r="DQ157" s="283"/>
      <c r="DR157" s="279" t="str">
        <f t="shared" si="433"/>
        <v>0</v>
      </c>
      <c r="DS157" s="282"/>
      <c r="DT157" s="282">
        <f t="shared" ca="1" si="434"/>
        <v>43998</v>
      </c>
      <c r="DU157" s="279" t="str">
        <f t="shared" ca="1" si="435"/>
        <v>0</v>
      </c>
      <c r="DV157" s="282"/>
      <c r="DW157" s="282">
        <f t="shared" ca="1" si="436"/>
        <v>43998</v>
      </c>
      <c r="DX157" s="279" t="str">
        <f t="shared" ca="1" si="437"/>
        <v>0</v>
      </c>
      <c r="DY157" s="282"/>
      <c r="DZ157" s="282"/>
      <c r="EA157" s="282"/>
      <c r="EB157" s="410">
        <f t="shared" si="443"/>
        <v>547</v>
      </c>
      <c r="EC157" s="409">
        <f t="shared" si="469"/>
        <v>577</v>
      </c>
      <c r="ED157" s="406">
        <f t="shared" si="444"/>
        <v>1</v>
      </c>
      <c r="EE157" s="505">
        <f t="shared" ca="1" si="438"/>
        <v>0</v>
      </c>
      <c r="EF157" s="409">
        <f t="shared" ca="1" si="470"/>
        <v>44728</v>
      </c>
      <c r="EG157" s="457"/>
      <c r="EH157" s="448"/>
      <c r="EI157" s="458">
        <f t="shared" si="463"/>
        <v>702</v>
      </c>
      <c r="EJ157" s="242"/>
      <c r="EK157" s="456">
        <f t="shared" si="467"/>
        <v>577</v>
      </c>
      <c r="EL157" s="409"/>
      <c r="EM157" s="314"/>
      <c r="EN157" s="404">
        <f t="shared" si="466"/>
        <v>-19.233333333333334</v>
      </c>
      <c r="EO157" s="394"/>
      <c r="EP157" s="131">
        <f t="shared" si="445"/>
        <v>0</v>
      </c>
      <c r="EQ157" s="60"/>
      <c r="ER157" s="60"/>
      <c r="ES157" s="742">
        <f>(Tableau6[[#This Row],[Date inauguration recalée]]-ER157)/30</f>
        <v>0</v>
      </c>
      <c r="ET157" s="300"/>
      <c r="EU157" s="300"/>
      <c r="EV157" s="300"/>
      <c r="EW157" s="300"/>
      <c r="EX157" s="300"/>
      <c r="EY157" s="416" t="e">
        <f t="shared" si="439"/>
        <v>#DIV/0!</v>
      </c>
      <c r="EZ157" s="297"/>
      <c r="FA157" s="308"/>
      <c r="FB157" s="297"/>
      <c r="FC157" s="297"/>
      <c r="FD157" s="89">
        <f t="shared" ca="1" si="468"/>
        <v>44728</v>
      </c>
      <c r="FE157" s="63"/>
      <c r="FF157" s="63"/>
      <c r="FG157" s="63"/>
      <c r="FH157" s="63"/>
      <c r="FI157" s="63"/>
      <c r="FJ157" s="22"/>
      <c r="FK157" s="146">
        <f t="shared" si="464"/>
        <v>942</v>
      </c>
      <c r="FL157" s="146"/>
      <c r="FM157" s="146"/>
      <c r="FN157" s="22"/>
      <c r="FO157" s="22"/>
      <c r="FP157" s="22"/>
      <c r="FQ157" s="22"/>
      <c r="FR157" s="22"/>
      <c r="FS157" s="22"/>
      <c r="FT157" s="22"/>
      <c r="FU157" s="22"/>
      <c r="FV157" s="22"/>
      <c r="FW157" s="22"/>
      <c r="FX157" s="22"/>
      <c r="FY157" s="22"/>
      <c r="FZ157" s="22"/>
      <c r="GA157" s="451"/>
      <c r="GB157" s="471">
        <f>GD157+GG157+GJ157+HF157+Tableau6[[#This Row],[PRÊT CREDIT D''IMPOT (PM)]]</f>
        <v>0</v>
      </c>
      <c r="GC157" s="645">
        <f t="shared" si="446"/>
        <v>0</v>
      </c>
      <c r="GD157" s="507">
        <f t="shared" si="459"/>
        <v>0</v>
      </c>
      <c r="GE157" s="20" t="e">
        <f t="shared" si="447"/>
        <v>#DIV/0!</v>
      </c>
      <c r="GF157" s="20" t="e">
        <f t="shared" si="440"/>
        <v>#DIV/0!</v>
      </c>
      <c r="GG157" s="503"/>
      <c r="GH157" s="351"/>
      <c r="GI157" s="20" t="e">
        <f t="shared" si="409"/>
        <v>#DIV/0!</v>
      </c>
      <c r="GJ157" s="503">
        <f t="shared" si="448"/>
        <v>0</v>
      </c>
      <c r="GK157" s="5">
        <f t="shared" si="408"/>
        <v>0</v>
      </c>
      <c r="GL157" s="44"/>
      <c r="GM157" s="44"/>
      <c r="GN157" s="346" t="e">
        <f t="shared" si="449"/>
        <v>#DIV/0!</v>
      </c>
      <c r="GO157" s="35"/>
      <c r="GP157" s="5"/>
      <c r="GQ157" s="35"/>
      <c r="GR157" s="757" t="e">
        <f t="shared" si="450"/>
        <v>#DIV/0!</v>
      </c>
      <c r="GS157" s="35"/>
      <c r="GT157" s="35"/>
      <c r="GU157" s="35"/>
      <c r="GV157" s="20"/>
      <c r="GW157" s="20"/>
      <c r="GX157" s="569"/>
      <c r="GY157" s="569"/>
      <c r="GZ157" s="569"/>
      <c r="HA157" s="569"/>
      <c r="HB157" s="569"/>
      <c r="HC157" s="568"/>
      <c r="HD157" s="569"/>
      <c r="HE157" s="569"/>
      <c r="HF157" s="503"/>
      <c r="HG157" s="633"/>
      <c r="HH157" s="634" t="e">
        <f t="shared" si="420"/>
        <v>#DIV/0!</v>
      </c>
      <c r="HI157" s="633">
        <f t="shared" si="421"/>
        <v>0</v>
      </c>
      <c r="HJ157" s="633" t="e">
        <f t="shared" ca="1" si="422"/>
        <v>#VALUE!</v>
      </c>
      <c r="HK157" s="634" t="e">
        <f t="shared" ca="1" si="423"/>
        <v>#VALUE!</v>
      </c>
      <c r="HL157" s="633"/>
      <c r="HM157" s="633">
        <f t="shared" si="424"/>
        <v>0</v>
      </c>
      <c r="HN157" s="633" t="e">
        <f t="shared" si="425"/>
        <v>#DIV/0!</v>
      </c>
      <c r="HO157" s="633"/>
      <c r="HP157" s="563"/>
      <c r="HQ157" s="47"/>
      <c r="HR157" s="563"/>
      <c r="HS157" s="563">
        <f>SUM(Tableau6[[#This Row],[GO]:[CARRELAGE]])</f>
        <v>0</v>
      </c>
      <c r="HT157" s="461"/>
      <c r="HU157" s="461"/>
      <c r="HV157" s="461"/>
      <c r="HW157" s="461"/>
      <c r="HX157" s="461"/>
      <c r="HY157" s="461"/>
      <c r="HZ157" s="461"/>
      <c r="IA157" s="461"/>
      <c r="IB157" s="461"/>
      <c r="IC157" s="461"/>
      <c r="ID157" s="461"/>
      <c r="IE157" s="461"/>
      <c r="IF157" s="461"/>
      <c r="IG157" s="563"/>
      <c r="IH157" s="563"/>
      <c r="II157" s="563">
        <f>HP157+HR157+Tableau6[[#This Row],[TRAVAUX BATIS]]+Tableau6[[#This Row],[HONORAIRES]]+IH157</f>
        <v>0</v>
      </c>
      <c r="IJ157" s="654">
        <f>Tableau6[[#This Row],[TOTAL PRP HT]]-Tableau6[[#This Row],[PRP TTC HORS FRAFU]]/1.021</f>
        <v>0</v>
      </c>
      <c r="IK157" s="9"/>
      <c r="IL157" s="9"/>
      <c r="IM157" s="9"/>
      <c r="IN157" s="9"/>
      <c r="IO157" s="9"/>
      <c r="IP157" s="9"/>
      <c r="IQ157" s="9"/>
      <c r="IR157" s="9"/>
      <c r="IS157" s="9"/>
      <c r="IT157" s="9"/>
      <c r="IU157" s="9"/>
      <c r="IV157" s="9"/>
    </row>
    <row r="158" spans="1:256" ht="15" customHeight="1">
      <c r="A158" s="428"/>
      <c r="B158" s="22"/>
      <c r="C158" s="22"/>
      <c r="D158" s="22"/>
      <c r="E158" s="22"/>
      <c r="F158" s="22"/>
      <c r="G158" s="22"/>
      <c r="H158" s="24"/>
      <c r="I158" s="22"/>
      <c r="J158" s="22"/>
      <c r="K158" s="134"/>
      <c r="L158" s="81"/>
      <c r="M158" s="82"/>
      <c r="N158" s="83"/>
      <c r="O158" s="103"/>
      <c r="P158" s="103"/>
      <c r="Q158" s="103"/>
      <c r="R158" s="103"/>
      <c r="S158" s="103"/>
      <c r="T158" s="109"/>
      <c r="U158" s="109"/>
      <c r="V158" s="109"/>
      <c r="W158" s="103"/>
      <c r="X158" s="104"/>
      <c r="Y158" s="447"/>
      <c r="Z158" s="104"/>
      <c r="AA158" s="104"/>
      <c r="AB158" s="105"/>
      <c r="AC158" s="22"/>
      <c r="AD158" s="427"/>
      <c r="AE158" s="427"/>
      <c r="AF158" s="32"/>
      <c r="AG158" s="22"/>
      <c r="AH158" s="32"/>
      <c r="AI158" s="32"/>
      <c r="AJ158" s="615"/>
      <c r="AK158" s="222"/>
      <c r="AL158" s="492" t="e">
        <f t="shared" si="402"/>
        <v>#DIV/0!</v>
      </c>
      <c r="AM158" s="26" t="e">
        <f t="shared" si="403"/>
        <v>#DIV/0!</v>
      </c>
      <c r="AN158" s="26"/>
      <c r="AO158" s="26"/>
      <c r="AP158" s="26"/>
      <c r="AQ158" s="39"/>
      <c r="AR158" s="39"/>
      <c r="AS158" s="39"/>
      <c r="AT158" s="39"/>
      <c r="AU158" s="39"/>
      <c r="AV158" s="26"/>
      <c r="AW158" s="37"/>
      <c r="AX158" s="39"/>
      <c r="AY158" s="26"/>
      <c r="AZ158" s="25"/>
      <c r="BA158" s="22"/>
      <c r="BB158" s="22"/>
      <c r="BC158" s="437" t="e">
        <f t="shared" si="404"/>
        <v>#DIV/0!</v>
      </c>
      <c r="BD158" s="332" t="e">
        <f t="shared" si="405"/>
        <v>#DIV/0!</v>
      </c>
      <c r="BE158" s="334" t="e">
        <f t="shared" si="406"/>
        <v>#DIV/0!</v>
      </c>
      <c r="BF158" s="123"/>
      <c r="BG158" s="123"/>
      <c r="BH158" s="89"/>
      <c r="BI158" s="89"/>
      <c r="BJ158" s="548"/>
      <c r="BK158" s="548"/>
      <c r="BL158" s="549"/>
      <c r="BM158" s="547">
        <f t="shared" si="410"/>
        <v>0</v>
      </c>
      <c r="BN158" s="490"/>
      <c r="BO158" s="77"/>
      <c r="BP158" s="100"/>
      <c r="BQ158" s="536">
        <f t="shared" si="411"/>
        <v>0</v>
      </c>
      <c r="BR158" s="529"/>
      <c r="BS158" s="77"/>
      <c r="BT158" s="77"/>
      <c r="BU158" s="151"/>
      <c r="BV158" s="150">
        <f t="shared" si="442"/>
        <v>1096</v>
      </c>
      <c r="BW158" s="373"/>
      <c r="BX158" s="150" t="str">
        <f>IF(Tableau6[[#This Row],[Montant des loyers perçus avant 1e échéance]]&lt;BW158,"oui","non")</f>
        <v>non</v>
      </c>
      <c r="BY158" s="475">
        <f t="shared" si="412"/>
        <v>36.533333333333331</v>
      </c>
      <c r="BZ158" s="373">
        <f t="shared" si="413"/>
        <v>0</v>
      </c>
      <c r="CA158" s="373">
        <f>IF(BW158-BZ158&lt;0,0,Tableau6[[#This Row],[Montant échéance annuelle]]-Tableau6[[#This Row],[Montant des loyers perçus avant 1e échéance]])</f>
        <v>0</v>
      </c>
      <c r="CB158" s="286"/>
      <c r="CC158" s="288"/>
      <c r="CD158" s="288"/>
      <c r="CE158" s="290" t="str">
        <f t="shared" si="414"/>
        <v>0</v>
      </c>
      <c r="CF158" s="288"/>
      <c r="CG158" s="288"/>
      <c r="CH158" s="290" t="str">
        <f t="shared" si="415"/>
        <v>0</v>
      </c>
      <c r="CI158" s="288"/>
      <c r="CJ158" s="288"/>
      <c r="CK158" s="290" t="str">
        <f t="shared" si="416"/>
        <v>0</v>
      </c>
      <c r="CL158" s="288"/>
      <c r="CM158" s="288"/>
      <c r="CN158" s="290" t="str">
        <f t="shared" si="417"/>
        <v>0</v>
      </c>
      <c r="CO158" s="288"/>
      <c r="CP158" s="288"/>
      <c r="CQ158" s="290" t="str">
        <f t="shared" si="418"/>
        <v>0</v>
      </c>
      <c r="CR158" s="237"/>
      <c r="CS158" s="292"/>
      <c r="CT158" s="277"/>
      <c r="CU158" s="278"/>
      <c r="CV158" s="279" t="str">
        <f t="shared" si="407"/>
        <v>0</v>
      </c>
      <c r="CW158" s="277"/>
      <c r="CX158" s="382"/>
      <c r="CY158" s="178"/>
      <c r="CZ158" s="231">
        <f t="shared" si="465"/>
        <v>0</v>
      </c>
      <c r="DA158" s="279" t="str">
        <f t="shared" si="426"/>
        <v>0</v>
      </c>
      <c r="DB158" s="383">
        <v>18</v>
      </c>
      <c r="DC158" s="127">
        <f t="shared" si="427"/>
        <v>18</v>
      </c>
      <c r="DD158" s="277"/>
      <c r="DE158" s="282">
        <f t="shared" ca="1" si="428"/>
        <v>43998</v>
      </c>
      <c r="DF158" s="279" t="str">
        <f t="shared" ca="1" si="429"/>
        <v>0</v>
      </c>
      <c r="DG158" s="277"/>
      <c r="DH158" s="295">
        <f t="shared" ca="1" si="477"/>
        <v>43998</v>
      </c>
      <c r="DI158" s="280" t="str">
        <f t="shared" ca="1" si="430"/>
        <v>0</v>
      </c>
      <c r="DJ158" s="281"/>
      <c r="DK158" s="295">
        <f t="shared" ca="1" si="475"/>
        <v>43998</v>
      </c>
      <c r="DL158" s="279" t="str">
        <f t="shared" ca="1" si="431"/>
        <v>0</v>
      </c>
      <c r="DM158" s="282"/>
      <c r="DN158" s="282">
        <f t="shared" ca="1" si="476"/>
        <v>43998</v>
      </c>
      <c r="DO158" s="279" t="str">
        <f t="shared" ca="1" si="432"/>
        <v>0</v>
      </c>
      <c r="DP158" s="283"/>
      <c r="DQ158" s="283"/>
      <c r="DR158" s="279" t="str">
        <f t="shared" si="433"/>
        <v>0</v>
      </c>
      <c r="DS158" s="282"/>
      <c r="DT158" s="282">
        <f t="shared" ca="1" si="434"/>
        <v>43998</v>
      </c>
      <c r="DU158" s="279" t="str">
        <f t="shared" ca="1" si="435"/>
        <v>0</v>
      </c>
      <c r="DV158" s="282"/>
      <c r="DW158" s="282">
        <f t="shared" ca="1" si="436"/>
        <v>43998</v>
      </c>
      <c r="DX158" s="279" t="str">
        <f t="shared" ca="1" si="437"/>
        <v>0</v>
      </c>
      <c r="DY158" s="282"/>
      <c r="DZ158" s="282"/>
      <c r="EA158" s="282"/>
      <c r="EB158" s="410">
        <f t="shared" si="443"/>
        <v>547</v>
      </c>
      <c r="EC158" s="409">
        <f t="shared" si="469"/>
        <v>577</v>
      </c>
      <c r="ED158" s="406">
        <f t="shared" si="444"/>
        <v>1</v>
      </c>
      <c r="EE158" s="505">
        <f t="shared" ca="1" si="438"/>
        <v>0</v>
      </c>
      <c r="EF158" s="409">
        <f t="shared" ca="1" si="470"/>
        <v>44728</v>
      </c>
      <c r="EG158" s="457"/>
      <c r="EH158" s="448"/>
      <c r="EI158" s="458">
        <f t="shared" si="463"/>
        <v>702</v>
      </c>
      <c r="EJ158" s="242"/>
      <c r="EK158" s="456">
        <f t="shared" si="467"/>
        <v>577</v>
      </c>
      <c r="EL158" s="409"/>
      <c r="EM158" s="314"/>
      <c r="EN158" s="404">
        <f t="shared" si="466"/>
        <v>-19.233333333333334</v>
      </c>
      <c r="EO158" s="394"/>
      <c r="EP158" s="131">
        <f t="shared" si="445"/>
        <v>0</v>
      </c>
      <c r="EQ158" s="60"/>
      <c r="ER158" s="60"/>
      <c r="ES158" s="742">
        <f>(Tableau6[[#This Row],[Date inauguration recalée]]-ER158)/30</f>
        <v>0</v>
      </c>
      <c r="ET158" s="300"/>
      <c r="EU158" s="300"/>
      <c r="EV158" s="300"/>
      <c r="EW158" s="300"/>
      <c r="EX158" s="300"/>
      <c r="EY158" s="416" t="e">
        <f t="shared" si="439"/>
        <v>#DIV/0!</v>
      </c>
      <c r="EZ158" s="297"/>
      <c r="FA158" s="308"/>
      <c r="FB158" s="297"/>
      <c r="FC158" s="297"/>
      <c r="FD158" s="89">
        <f t="shared" ca="1" si="468"/>
        <v>44728</v>
      </c>
      <c r="FE158" s="63"/>
      <c r="FF158" s="63"/>
      <c r="FG158" s="63"/>
      <c r="FH158" s="63"/>
      <c r="FI158" s="63"/>
      <c r="FJ158" s="22"/>
      <c r="FK158" s="146">
        <f t="shared" si="464"/>
        <v>942</v>
      </c>
      <c r="FL158" s="146"/>
      <c r="FM158" s="146"/>
      <c r="FN158" s="22"/>
      <c r="FO158" s="22"/>
      <c r="FP158" s="22"/>
      <c r="FQ158" s="22"/>
      <c r="FR158" s="22"/>
      <c r="FS158" s="22"/>
      <c r="FT158" s="22"/>
      <c r="FU158" s="22"/>
      <c r="FV158" s="22"/>
      <c r="FW158" s="22"/>
      <c r="FX158" s="22"/>
      <c r="FY158" s="22"/>
      <c r="FZ158" s="22"/>
      <c r="GA158" s="451"/>
      <c r="GB158" s="434">
        <f>GD158+GG158+GJ158+HF158+Tableau6[[#This Row],[PRÊT CREDIT D''IMPOT (PM)]]</f>
        <v>0</v>
      </c>
      <c r="GC158" s="645">
        <f t="shared" si="446"/>
        <v>0</v>
      </c>
      <c r="GD158" s="507">
        <f t="shared" si="459"/>
        <v>0</v>
      </c>
      <c r="GE158" s="20" t="e">
        <f t="shared" si="447"/>
        <v>#DIV/0!</v>
      </c>
      <c r="GF158" s="20" t="e">
        <f t="shared" si="440"/>
        <v>#DIV/0!</v>
      </c>
      <c r="GG158" s="503"/>
      <c r="GH158" s="351"/>
      <c r="GI158" s="20" t="e">
        <f t="shared" si="409"/>
        <v>#DIV/0!</v>
      </c>
      <c r="GJ158" s="503">
        <f t="shared" si="448"/>
        <v>0</v>
      </c>
      <c r="GK158" s="35">
        <f t="shared" si="408"/>
        <v>0</v>
      </c>
      <c r="GL158" s="44"/>
      <c r="GM158" s="44"/>
      <c r="GN158" s="346" t="e">
        <f t="shared" si="449"/>
        <v>#DIV/0!</v>
      </c>
      <c r="GO158" s="35"/>
      <c r="GP158" s="5"/>
      <c r="GQ158" s="35"/>
      <c r="GR158" s="757" t="e">
        <f t="shared" si="450"/>
        <v>#DIV/0!</v>
      </c>
      <c r="GS158" s="35"/>
      <c r="GT158" s="35"/>
      <c r="GU158" s="35"/>
      <c r="GV158" s="20"/>
      <c r="GW158" s="20"/>
      <c r="GX158" s="569"/>
      <c r="GY158" s="569"/>
      <c r="GZ158" s="569"/>
      <c r="HA158" s="569"/>
      <c r="HB158" s="569"/>
      <c r="HC158" s="568"/>
      <c r="HD158" s="569"/>
      <c r="HE158" s="569"/>
      <c r="HF158" s="503"/>
      <c r="HG158" s="633"/>
      <c r="HH158" s="634" t="e">
        <f t="shared" si="420"/>
        <v>#DIV/0!</v>
      </c>
      <c r="HI158" s="633">
        <f t="shared" si="421"/>
        <v>0</v>
      </c>
      <c r="HJ158" s="633" t="e">
        <f t="shared" ca="1" si="422"/>
        <v>#VALUE!</v>
      </c>
      <c r="HK158" s="634" t="e">
        <f t="shared" ca="1" si="423"/>
        <v>#VALUE!</v>
      </c>
      <c r="HL158" s="633"/>
      <c r="HM158" s="633">
        <f t="shared" si="424"/>
        <v>0</v>
      </c>
      <c r="HN158" s="633" t="e">
        <f t="shared" si="425"/>
        <v>#DIV/0!</v>
      </c>
      <c r="HO158" s="633"/>
      <c r="HP158" s="563"/>
      <c r="HQ158" s="47"/>
      <c r="HR158" s="563"/>
      <c r="HS158" s="563">
        <f>SUM(Tableau6[[#This Row],[GO]:[CARRELAGE]])</f>
        <v>0</v>
      </c>
      <c r="HT158" s="461"/>
      <c r="HU158" s="461"/>
      <c r="HV158" s="461"/>
      <c r="HW158" s="461"/>
      <c r="HX158" s="461"/>
      <c r="HY158" s="461"/>
      <c r="HZ158" s="461"/>
      <c r="IA158" s="461"/>
      <c r="IB158" s="461"/>
      <c r="IC158" s="461"/>
      <c r="ID158" s="461"/>
      <c r="IE158" s="461"/>
      <c r="IF158" s="461"/>
      <c r="IG158" s="563"/>
      <c r="IH158" s="563"/>
      <c r="II158" s="563">
        <f>HP158+HR158+Tableau6[[#This Row],[TRAVAUX BATIS]]+Tableau6[[#This Row],[HONORAIRES]]+IH158</f>
        <v>0</v>
      </c>
      <c r="IJ158" s="654">
        <f>Tableau6[[#This Row],[TOTAL PRP HT]]-Tableau6[[#This Row],[PRP TTC HORS FRAFU]]/1.021</f>
        <v>0</v>
      </c>
      <c r="IK158" s="9"/>
      <c r="IL158" s="9"/>
      <c r="IM158" s="9"/>
      <c r="IN158" s="9"/>
      <c r="IO158" s="9"/>
      <c r="IP158" s="9"/>
      <c r="IQ158" s="9"/>
      <c r="IR158" s="9"/>
      <c r="IS158" s="9"/>
      <c r="IT158" s="9"/>
      <c r="IU158" s="9"/>
      <c r="IV158" s="9"/>
    </row>
    <row r="159" spans="1:256" ht="15" customHeight="1">
      <c r="A159" s="428"/>
      <c r="B159" s="22"/>
      <c r="C159" s="22"/>
      <c r="D159" s="22"/>
      <c r="E159" s="22"/>
      <c r="F159" s="22"/>
      <c r="G159" s="22"/>
      <c r="H159" s="24"/>
      <c r="I159" s="22"/>
      <c r="J159" s="22"/>
      <c r="K159" s="134"/>
      <c r="L159" s="81"/>
      <c r="M159" s="82"/>
      <c r="N159" s="83"/>
      <c r="O159" s="103"/>
      <c r="P159" s="103"/>
      <c r="Q159" s="103"/>
      <c r="R159" s="103"/>
      <c r="S159" s="103"/>
      <c r="T159" s="109"/>
      <c r="U159" s="109"/>
      <c r="V159" s="109"/>
      <c r="W159" s="103"/>
      <c r="X159" s="104"/>
      <c r="Y159" s="447"/>
      <c r="Z159" s="104"/>
      <c r="AA159" s="104"/>
      <c r="AB159" s="105"/>
      <c r="AC159" s="22"/>
      <c r="AD159" s="427"/>
      <c r="AE159" s="427"/>
      <c r="AF159" s="32"/>
      <c r="AG159" s="22"/>
      <c r="AH159" s="32"/>
      <c r="AI159" s="32"/>
      <c r="AJ159" s="615"/>
      <c r="AK159" s="222"/>
      <c r="AL159" s="492" t="e">
        <f t="shared" si="402"/>
        <v>#DIV/0!</v>
      </c>
      <c r="AM159" s="26" t="e">
        <f t="shared" si="403"/>
        <v>#DIV/0!</v>
      </c>
      <c r="AN159" s="26"/>
      <c r="AO159" s="26"/>
      <c r="AP159" s="26"/>
      <c r="AQ159" s="39"/>
      <c r="AR159" s="39"/>
      <c r="AS159" s="39"/>
      <c r="AT159" s="39"/>
      <c r="AU159" s="39"/>
      <c r="AV159" s="26"/>
      <c r="AW159" s="37"/>
      <c r="AX159" s="39"/>
      <c r="AY159" s="26"/>
      <c r="AZ159" s="25"/>
      <c r="BA159" s="22"/>
      <c r="BB159" s="22"/>
      <c r="BC159" s="437" t="e">
        <f t="shared" si="404"/>
        <v>#DIV/0!</v>
      </c>
      <c r="BD159" s="332" t="e">
        <f t="shared" si="405"/>
        <v>#DIV/0!</v>
      </c>
      <c r="BE159" s="334" t="e">
        <f t="shared" si="406"/>
        <v>#DIV/0!</v>
      </c>
      <c r="BF159" s="123"/>
      <c r="BG159" s="123"/>
      <c r="BH159" s="89"/>
      <c r="BI159" s="89"/>
      <c r="BJ159" s="548"/>
      <c r="BK159" s="548"/>
      <c r="BL159" s="549"/>
      <c r="BM159" s="547">
        <f t="shared" si="410"/>
        <v>0</v>
      </c>
      <c r="BN159" s="490"/>
      <c r="BO159" s="77"/>
      <c r="BP159" s="100"/>
      <c r="BQ159" s="536">
        <f t="shared" si="411"/>
        <v>0</v>
      </c>
      <c r="BR159" s="529"/>
      <c r="BS159" s="77"/>
      <c r="BT159" s="77"/>
      <c r="BU159" s="151"/>
      <c r="BV159" s="150">
        <f t="shared" si="442"/>
        <v>1096</v>
      </c>
      <c r="BW159" s="373"/>
      <c r="BX159" s="150" t="str">
        <f>IF(Tableau6[[#This Row],[Montant des loyers perçus avant 1e échéance]]&lt;BW159,"oui","non")</f>
        <v>non</v>
      </c>
      <c r="BY159" s="475">
        <f t="shared" si="412"/>
        <v>36.533333333333331</v>
      </c>
      <c r="BZ159" s="373">
        <f t="shared" si="413"/>
        <v>0</v>
      </c>
      <c r="CA159" s="373">
        <f>IF(BW159-BZ159&lt;0,0,Tableau6[[#This Row],[Montant échéance annuelle]]-Tableau6[[#This Row],[Montant des loyers perçus avant 1e échéance]])</f>
        <v>0</v>
      </c>
      <c r="CB159" s="286"/>
      <c r="CC159" s="288"/>
      <c r="CD159" s="288"/>
      <c r="CE159" s="290" t="str">
        <f t="shared" si="414"/>
        <v>0</v>
      </c>
      <c r="CF159" s="288"/>
      <c r="CG159" s="288"/>
      <c r="CH159" s="290" t="str">
        <f t="shared" si="415"/>
        <v>0</v>
      </c>
      <c r="CI159" s="288"/>
      <c r="CJ159" s="288"/>
      <c r="CK159" s="290" t="str">
        <f t="shared" si="416"/>
        <v>0</v>
      </c>
      <c r="CL159" s="288"/>
      <c r="CM159" s="288"/>
      <c r="CN159" s="290" t="str">
        <f t="shared" si="417"/>
        <v>0</v>
      </c>
      <c r="CO159" s="288"/>
      <c r="CP159" s="288"/>
      <c r="CQ159" s="290" t="str">
        <f t="shared" si="418"/>
        <v>0</v>
      </c>
      <c r="CR159" s="237"/>
      <c r="CS159" s="292"/>
      <c r="CT159" s="277"/>
      <c r="CU159" s="278"/>
      <c r="CV159" s="279" t="str">
        <f t="shared" si="407"/>
        <v>0</v>
      </c>
      <c r="CW159" s="277"/>
      <c r="CX159" s="382"/>
      <c r="CY159" s="178"/>
      <c r="CZ159" s="231">
        <f t="shared" si="465"/>
        <v>0</v>
      </c>
      <c r="DA159" s="279" t="str">
        <f t="shared" si="426"/>
        <v>0</v>
      </c>
      <c r="DB159" s="383">
        <v>18</v>
      </c>
      <c r="DC159" s="127">
        <f t="shared" si="427"/>
        <v>18</v>
      </c>
      <c r="DD159" s="277"/>
      <c r="DE159" s="282">
        <f t="shared" ca="1" si="428"/>
        <v>43998</v>
      </c>
      <c r="DF159" s="279" t="str">
        <f t="shared" ca="1" si="429"/>
        <v>0</v>
      </c>
      <c r="DG159" s="277"/>
      <c r="DH159" s="295">
        <f t="shared" ca="1" si="477"/>
        <v>43998</v>
      </c>
      <c r="DI159" s="280" t="str">
        <f t="shared" ca="1" si="430"/>
        <v>0</v>
      </c>
      <c r="DJ159" s="281"/>
      <c r="DK159" s="295">
        <f t="shared" ca="1" si="475"/>
        <v>43998</v>
      </c>
      <c r="DL159" s="279" t="str">
        <f t="shared" ca="1" si="431"/>
        <v>0</v>
      </c>
      <c r="DM159" s="282"/>
      <c r="DN159" s="282">
        <f t="shared" ca="1" si="476"/>
        <v>43998</v>
      </c>
      <c r="DO159" s="279" t="str">
        <f t="shared" ca="1" si="432"/>
        <v>0</v>
      </c>
      <c r="DP159" s="283"/>
      <c r="DQ159" s="283"/>
      <c r="DR159" s="279" t="str">
        <f t="shared" si="433"/>
        <v>0</v>
      </c>
      <c r="DS159" s="282"/>
      <c r="DT159" s="282">
        <f t="shared" ca="1" si="434"/>
        <v>43998</v>
      </c>
      <c r="DU159" s="279" t="str">
        <f t="shared" ca="1" si="435"/>
        <v>0</v>
      </c>
      <c r="DV159" s="282"/>
      <c r="DW159" s="282">
        <f t="shared" ca="1" si="436"/>
        <v>43998</v>
      </c>
      <c r="DX159" s="279" t="str">
        <f t="shared" ca="1" si="437"/>
        <v>0</v>
      </c>
      <c r="DY159" s="282"/>
      <c r="DZ159" s="282"/>
      <c r="EA159" s="282"/>
      <c r="EB159" s="410">
        <f t="shared" si="443"/>
        <v>547</v>
      </c>
      <c r="EC159" s="409">
        <f t="shared" si="469"/>
        <v>577</v>
      </c>
      <c r="ED159" s="406">
        <f t="shared" si="444"/>
        <v>1</v>
      </c>
      <c r="EE159" s="505">
        <f t="shared" ca="1" si="438"/>
        <v>0</v>
      </c>
      <c r="EF159" s="409">
        <f t="shared" ca="1" si="470"/>
        <v>44728</v>
      </c>
      <c r="EG159" s="457"/>
      <c r="EH159" s="448"/>
      <c r="EI159" s="458">
        <f t="shared" si="463"/>
        <v>702</v>
      </c>
      <c r="EJ159" s="242"/>
      <c r="EK159" s="456">
        <f t="shared" si="467"/>
        <v>577</v>
      </c>
      <c r="EL159" s="409"/>
      <c r="EM159" s="314"/>
      <c r="EN159" s="404">
        <f t="shared" si="466"/>
        <v>-19.233333333333334</v>
      </c>
      <c r="EO159" s="394"/>
      <c r="EP159" s="131">
        <f t="shared" si="445"/>
        <v>0</v>
      </c>
      <c r="EQ159" s="60"/>
      <c r="ER159" s="60"/>
      <c r="ES159" s="742">
        <f>(Tableau6[[#This Row],[Date inauguration recalée]]-ER159)/30</f>
        <v>0</v>
      </c>
      <c r="ET159" s="300"/>
      <c r="EU159" s="300"/>
      <c r="EV159" s="300"/>
      <c r="EW159" s="300"/>
      <c r="EX159" s="300"/>
      <c r="EY159" s="416" t="e">
        <f t="shared" si="439"/>
        <v>#DIV/0!</v>
      </c>
      <c r="EZ159" s="297"/>
      <c r="FA159" s="308"/>
      <c r="FB159" s="297"/>
      <c r="FC159" s="297"/>
      <c r="FD159" s="89">
        <f t="shared" ca="1" si="468"/>
        <v>44728</v>
      </c>
      <c r="FE159" s="63"/>
      <c r="FF159" s="63"/>
      <c r="FG159" s="63"/>
      <c r="FH159" s="63"/>
      <c r="FI159" s="63"/>
      <c r="FJ159" s="22"/>
      <c r="FK159" s="146">
        <f t="shared" si="464"/>
        <v>942</v>
      </c>
      <c r="FL159" s="146"/>
      <c r="FM159" s="146"/>
      <c r="FN159" s="22"/>
      <c r="FO159" s="22"/>
      <c r="FP159" s="22"/>
      <c r="FQ159" s="22"/>
      <c r="FR159" s="22"/>
      <c r="FS159" s="22"/>
      <c r="FT159" s="22"/>
      <c r="FU159" s="22"/>
      <c r="FV159" s="22"/>
      <c r="FW159" s="22"/>
      <c r="FX159" s="22"/>
      <c r="FY159" s="22"/>
      <c r="FZ159" s="22"/>
      <c r="GA159" s="451"/>
      <c r="GB159" s="434">
        <f>GD159+GG159+GJ159+HF159+Tableau6[[#This Row],[PRÊT CREDIT D''IMPOT (PM)]]</f>
        <v>0</v>
      </c>
      <c r="GC159" s="645">
        <f t="shared" si="446"/>
        <v>0</v>
      </c>
      <c r="GD159" s="507">
        <f t="shared" si="459"/>
        <v>0</v>
      </c>
      <c r="GE159" s="20" t="e">
        <f t="shared" si="447"/>
        <v>#DIV/0!</v>
      </c>
      <c r="GF159" s="20" t="e">
        <f t="shared" si="440"/>
        <v>#DIV/0!</v>
      </c>
      <c r="GG159" s="503"/>
      <c r="GH159" s="351"/>
      <c r="GI159" s="20" t="e">
        <f t="shared" si="409"/>
        <v>#DIV/0!</v>
      </c>
      <c r="GJ159" s="503">
        <f t="shared" si="448"/>
        <v>0</v>
      </c>
      <c r="GK159" s="35">
        <f t="shared" si="408"/>
        <v>0</v>
      </c>
      <c r="GL159" s="44"/>
      <c r="GM159" s="44"/>
      <c r="GN159" s="346" t="e">
        <f t="shared" si="449"/>
        <v>#DIV/0!</v>
      </c>
      <c r="GO159" s="35"/>
      <c r="GP159" s="5"/>
      <c r="GQ159" s="35"/>
      <c r="GR159" s="757" t="e">
        <f t="shared" si="450"/>
        <v>#DIV/0!</v>
      </c>
      <c r="GS159" s="35"/>
      <c r="GT159" s="35"/>
      <c r="GU159" s="35"/>
      <c r="GV159" s="20"/>
      <c r="GW159" s="20"/>
      <c r="GX159" s="569"/>
      <c r="GY159" s="569"/>
      <c r="GZ159" s="569"/>
      <c r="HA159" s="569"/>
      <c r="HB159" s="569"/>
      <c r="HC159" s="568"/>
      <c r="HD159" s="569"/>
      <c r="HE159" s="569"/>
      <c r="HF159" s="503"/>
      <c r="HG159" s="633"/>
      <c r="HH159" s="634" t="e">
        <f t="shared" si="420"/>
        <v>#DIV/0!</v>
      </c>
      <c r="HI159" s="633">
        <f t="shared" si="421"/>
        <v>0</v>
      </c>
      <c r="HJ159" s="633" t="e">
        <f t="shared" ca="1" si="422"/>
        <v>#VALUE!</v>
      </c>
      <c r="HK159" s="634" t="e">
        <f t="shared" ca="1" si="423"/>
        <v>#VALUE!</v>
      </c>
      <c r="HL159" s="633"/>
      <c r="HM159" s="633">
        <f t="shared" si="424"/>
        <v>0</v>
      </c>
      <c r="HN159" s="633" t="e">
        <f t="shared" si="425"/>
        <v>#DIV/0!</v>
      </c>
      <c r="HO159" s="633"/>
      <c r="HP159" s="563"/>
      <c r="HQ159" s="47"/>
      <c r="HR159" s="563"/>
      <c r="HS159" s="563">
        <f>SUM(Tableau6[[#This Row],[GO]:[CARRELAGE]])</f>
        <v>0</v>
      </c>
      <c r="HT159" s="461"/>
      <c r="HU159" s="461"/>
      <c r="HV159" s="461"/>
      <c r="HW159" s="461"/>
      <c r="HX159" s="461"/>
      <c r="HY159" s="461"/>
      <c r="HZ159" s="461"/>
      <c r="IA159" s="461"/>
      <c r="IB159" s="461"/>
      <c r="IC159" s="461"/>
      <c r="ID159" s="461"/>
      <c r="IE159" s="461"/>
      <c r="IF159" s="461"/>
      <c r="IG159" s="563"/>
      <c r="IH159" s="563"/>
      <c r="II159" s="563">
        <f>HP159+HR159+Tableau6[[#This Row],[TRAVAUX BATIS]]+Tableau6[[#This Row],[HONORAIRES]]+IH159</f>
        <v>0</v>
      </c>
      <c r="IJ159" s="654">
        <f>Tableau6[[#This Row],[TOTAL PRP HT]]-Tableau6[[#This Row],[PRP TTC HORS FRAFU]]/1.021</f>
        <v>0</v>
      </c>
      <c r="IK159" s="9"/>
      <c r="IL159" s="9"/>
      <c r="IM159" s="9"/>
      <c r="IN159" s="9"/>
      <c r="IO159" s="9"/>
      <c r="IP159" s="9"/>
      <c r="IQ159" s="9"/>
      <c r="IR159" s="9"/>
      <c r="IS159" s="9"/>
      <c r="IT159" s="9"/>
      <c r="IU159" s="9"/>
      <c r="IV159" s="9"/>
    </row>
    <row r="160" spans="1:256" ht="15" customHeight="1">
      <c r="A160" s="428" t="s">
        <v>637</v>
      </c>
      <c r="B160" s="22" t="s">
        <v>21</v>
      </c>
      <c r="C160" s="22" t="s">
        <v>86</v>
      </c>
      <c r="D160" s="22"/>
      <c r="E160" s="22"/>
      <c r="F160" s="22"/>
      <c r="G160" s="22"/>
      <c r="H160" s="24"/>
      <c r="I160" s="22"/>
      <c r="J160" s="22" t="s">
        <v>328</v>
      </c>
      <c r="K160" s="134" t="s">
        <v>638</v>
      </c>
      <c r="L160" s="81" t="s">
        <v>639</v>
      </c>
      <c r="M160" s="82"/>
      <c r="N160" s="83"/>
      <c r="O160" s="103">
        <v>52241</v>
      </c>
      <c r="P160" s="103"/>
      <c r="Q160" s="103"/>
      <c r="R160" s="103">
        <f>P160/AD160</f>
        <v>0</v>
      </c>
      <c r="S160" s="103">
        <f>P160/O160</f>
        <v>0</v>
      </c>
      <c r="T160" s="109">
        <f>Q160/O160</f>
        <v>0</v>
      </c>
      <c r="U160" s="109" t="e">
        <f>Q160/AK160</f>
        <v>#DIV/0!</v>
      </c>
      <c r="V160" s="109">
        <f>Q160/AD160</f>
        <v>0</v>
      </c>
      <c r="W160" s="103">
        <f>O160/AD160</f>
        <v>870.68333333333328</v>
      </c>
      <c r="X160" s="104"/>
      <c r="Y160" s="444">
        <f>10000*AD160/O160</f>
        <v>11.485231905974235</v>
      </c>
      <c r="Z160" s="104"/>
      <c r="AA160" s="104"/>
      <c r="AB160" s="105"/>
      <c r="AC160" s="22" t="s">
        <v>10</v>
      </c>
      <c r="AD160" s="427">
        <f>SUM(AF160:AI160)</f>
        <v>60</v>
      </c>
      <c r="AE160" s="427">
        <f>AD160-AI160</f>
        <v>60</v>
      </c>
      <c r="AF160" s="32"/>
      <c r="AG160" s="22">
        <v>60</v>
      </c>
      <c r="AH160" s="32"/>
      <c r="AI160" s="32"/>
      <c r="AJ160" s="615"/>
      <c r="AK160" s="222"/>
      <c r="AL160" s="492">
        <f t="shared" si="402"/>
        <v>0</v>
      </c>
      <c r="AM160" s="26">
        <f t="shared" si="403"/>
        <v>0</v>
      </c>
      <c r="AN160" s="26"/>
      <c r="AO160" s="26"/>
      <c r="AP160" s="26"/>
      <c r="AQ160" s="39"/>
      <c r="AR160" s="39"/>
      <c r="AS160" s="39"/>
      <c r="AT160" s="39"/>
      <c r="AU160" s="39"/>
      <c r="AV160" s="26"/>
      <c r="AW160" s="37"/>
      <c r="AX160" s="39"/>
      <c r="AY160" s="26"/>
      <c r="AZ160" s="25"/>
      <c r="BA160" s="22"/>
      <c r="BB160" s="22"/>
      <c r="BC160" s="437" t="e">
        <f t="shared" si="404"/>
        <v>#DIV/0!</v>
      </c>
      <c r="BD160" s="332" t="e">
        <f t="shared" si="405"/>
        <v>#DIV/0!</v>
      </c>
      <c r="BE160" s="334">
        <f t="shared" si="406"/>
        <v>0</v>
      </c>
      <c r="BF160" s="123"/>
      <c r="BG160" s="123"/>
      <c r="BH160" s="89"/>
      <c r="BI160" s="89"/>
      <c r="BJ160" s="548"/>
      <c r="BK160" s="548"/>
      <c r="BL160" s="549"/>
      <c r="BM160" s="547">
        <f t="shared" si="410"/>
        <v>0</v>
      </c>
      <c r="BN160" s="490" t="s">
        <v>229</v>
      </c>
      <c r="BO160" s="77"/>
      <c r="BP160" s="100"/>
      <c r="BQ160" s="536">
        <f t="shared" si="411"/>
        <v>0</v>
      </c>
      <c r="BR160" s="529"/>
      <c r="BS160" s="77"/>
      <c r="BT160" s="77"/>
      <c r="BU160" s="151"/>
      <c r="BV160" s="150">
        <f t="shared" si="442"/>
        <v>1096</v>
      </c>
      <c r="BW160" s="373"/>
      <c r="BX160" s="150" t="str">
        <f>IF(Tableau6[[#This Row],[Montant des loyers perçus avant 1e échéance]]&lt;BW160,"oui","non")</f>
        <v>non</v>
      </c>
      <c r="BY160" s="475">
        <f t="shared" si="412"/>
        <v>-1475.2</v>
      </c>
      <c r="BZ160" s="373">
        <f t="shared" si="413"/>
        <v>0</v>
      </c>
      <c r="CA160" s="373">
        <f>IF(BW160-BZ160&lt;0,0,Tableau6[[#This Row],[Montant échéance annuelle]]-Tableau6[[#This Row],[Montant des loyers perçus avant 1e échéance]])</f>
        <v>0</v>
      </c>
      <c r="CB160" s="286"/>
      <c r="CC160" s="288"/>
      <c r="CD160" s="288"/>
      <c r="CE160" s="290" t="str">
        <f t="shared" si="414"/>
        <v>0</v>
      </c>
      <c r="CF160" s="288"/>
      <c r="CG160" s="288"/>
      <c r="CH160" s="290" t="str">
        <f t="shared" si="415"/>
        <v>0</v>
      </c>
      <c r="CI160" s="288"/>
      <c r="CJ160" s="288"/>
      <c r="CK160" s="290" t="str">
        <f t="shared" si="416"/>
        <v>0</v>
      </c>
      <c r="CL160" s="288"/>
      <c r="CM160" s="288"/>
      <c r="CN160" s="290" t="str">
        <f t="shared" si="417"/>
        <v>0</v>
      </c>
      <c r="CO160" s="288"/>
      <c r="CP160" s="288"/>
      <c r="CQ160" s="290" t="str">
        <f t="shared" si="418"/>
        <v>0</v>
      </c>
      <c r="CR160" s="237"/>
      <c r="CS160" s="292"/>
      <c r="CT160" s="277"/>
      <c r="CU160" s="278"/>
      <c r="CV160" s="279" t="str">
        <f t="shared" si="407"/>
        <v>0</v>
      </c>
      <c r="CW160" s="277"/>
      <c r="CX160" s="382">
        <v>44743</v>
      </c>
      <c r="CY160" s="178"/>
      <c r="CZ160" s="231">
        <f t="shared" si="465"/>
        <v>1491.4333333333334</v>
      </c>
      <c r="DA160" s="279" t="str">
        <f t="shared" si="426"/>
        <v>0</v>
      </c>
      <c r="DB160" s="383">
        <v>18</v>
      </c>
      <c r="DC160" s="127">
        <f t="shared" si="427"/>
        <v>19</v>
      </c>
      <c r="DD160" s="277"/>
      <c r="DE160" s="282">
        <f t="shared" ca="1" si="428"/>
        <v>43998</v>
      </c>
      <c r="DF160" s="279" t="str">
        <f t="shared" ca="1" si="429"/>
        <v>0</v>
      </c>
      <c r="DG160" s="277"/>
      <c r="DH160" s="295">
        <f t="shared" ca="1" si="477"/>
        <v>43998</v>
      </c>
      <c r="DI160" s="280" t="str">
        <f t="shared" ca="1" si="430"/>
        <v>0</v>
      </c>
      <c r="DJ160" s="281"/>
      <c r="DK160" s="295">
        <f t="shared" ca="1" si="475"/>
        <v>43998</v>
      </c>
      <c r="DL160" s="279" t="str">
        <f t="shared" ca="1" si="431"/>
        <v>0</v>
      </c>
      <c r="DM160" s="282"/>
      <c r="DN160" s="282">
        <f t="shared" ca="1" si="476"/>
        <v>43998</v>
      </c>
      <c r="DO160" s="279" t="str">
        <f t="shared" ca="1" si="432"/>
        <v>0</v>
      </c>
      <c r="DP160" s="283"/>
      <c r="DQ160" s="283"/>
      <c r="DR160" s="279" t="str">
        <f t="shared" si="433"/>
        <v>0</v>
      </c>
      <c r="DS160" s="282"/>
      <c r="DT160" s="282">
        <f t="shared" ca="1" si="434"/>
        <v>43998</v>
      </c>
      <c r="DU160" s="279" t="str">
        <f t="shared" ca="1" si="435"/>
        <v>0</v>
      </c>
      <c r="DV160" s="282"/>
      <c r="DW160" s="282">
        <f t="shared" ca="1" si="436"/>
        <v>43998</v>
      </c>
      <c r="DX160" s="279" t="str">
        <f t="shared" ca="1" si="437"/>
        <v>0</v>
      </c>
      <c r="DY160" s="282"/>
      <c r="DZ160" s="282"/>
      <c r="EA160" s="282"/>
      <c r="EB160" s="410">
        <f t="shared" si="443"/>
        <v>45292</v>
      </c>
      <c r="EC160" s="409">
        <f t="shared" si="469"/>
        <v>45323</v>
      </c>
      <c r="ED160" s="406">
        <f t="shared" si="444"/>
        <v>1.0333333333333334</v>
      </c>
      <c r="EE160" s="505">
        <f t="shared" ca="1" si="438"/>
        <v>44.166666666666664</v>
      </c>
      <c r="EF160" s="409">
        <f t="shared" ca="1" si="470"/>
        <v>44728</v>
      </c>
      <c r="EG160" s="457"/>
      <c r="EH160" s="448"/>
      <c r="EI160" s="458">
        <f t="shared" si="463"/>
        <v>45446</v>
      </c>
      <c r="EJ160" s="242"/>
      <c r="EK160" s="456">
        <f t="shared" si="467"/>
        <v>45323</v>
      </c>
      <c r="EL160" s="409">
        <f>DATE(YEAR(EC160),MONTH(EC160)+1,DAY(EC160))</f>
        <v>45352</v>
      </c>
      <c r="EM160" s="314"/>
      <c r="EN160" s="404">
        <f t="shared" si="466"/>
        <v>0.96666666666666667</v>
      </c>
      <c r="EO160" s="394"/>
      <c r="EP160" s="131">
        <f t="shared" si="445"/>
        <v>0</v>
      </c>
      <c r="EQ160" s="60"/>
      <c r="ER160" s="60"/>
      <c r="ES160" s="742"/>
      <c r="ET160" s="300"/>
      <c r="EU160" s="300"/>
      <c r="EV160" s="300"/>
      <c r="EW160" s="300"/>
      <c r="EX160" s="300"/>
      <c r="EY160" s="416" t="e">
        <f t="shared" si="439"/>
        <v>#DIV/0!</v>
      </c>
      <c r="EZ160" s="297"/>
      <c r="FA160" s="308"/>
      <c r="FB160" s="297"/>
      <c r="FC160" s="297"/>
      <c r="FD160" s="89">
        <f t="shared" ca="1" si="468"/>
        <v>44728</v>
      </c>
      <c r="FE160" s="63"/>
      <c r="FF160" s="63"/>
      <c r="FG160" s="63"/>
      <c r="FH160" s="63"/>
      <c r="FI160" s="63"/>
      <c r="FJ160" s="22"/>
      <c r="FK160" s="146">
        <f t="shared" si="464"/>
        <v>45689</v>
      </c>
      <c r="FL160" s="146"/>
      <c r="FM160" s="146"/>
      <c r="FN160" s="22"/>
      <c r="FO160" s="22"/>
      <c r="FP160" s="22"/>
      <c r="FQ160" s="22"/>
      <c r="FR160" s="22"/>
      <c r="FS160" s="22"/>
      <c r="FT160" s="22"/>
      <c r="FU160" s="22"/>
      <c r="FV160" s="22"/>
      <c r="FW160" s="22"/>
      <c r="FX160" s="22"/>
      <c r="FY160" s="22"/>
      <c r="FZ160" s="22"/>
      <c r="GA160" s="451"/>
      <c r="GB160" s="434">
        <f>GD160+GG160+GJ160+HF160+Tableau6[[#This Row],[PRÊT CREDIT D''IMPOT (PM)]]</f>
        <v>0</v>
      </c>
      <c r="GC160" s="645">
        <f t="shared" si="446"/>
        <v>0</v>
      </c>
      <c r="GD160" s="507">
        <f t="shared" si="459"/>
        <v>0</v>
      </c>
      <c r="GE160" s="20" t="e">
        <f t="shared" si="447"/>
        <v>#DIV/0!</v>
      </c>
      <c r="GF160" s="20">
        <f t="shared" si="440"/>
        <v>0</v>
      </c>
      <c r="GG160" s="503"/>
      <c r="GH160" s="351"/>
      <c r="GI160" s="20">
        <f t="shared" si="409"/>
        <v>0</v>
      </c>
      <c r="GJ160" s="503">
        <f t="shared" si="448"/>
        <v>0</v>
      </c>
      <c r="GK160" s="35">
        <f t="shared" si="408"/>
        <v>0</v>
      </c>
      <c r="GL160" s="44"/>
      <c r="GM160" s="44"/>
      <c r="GN160" s="346">
        <f t="shared" si="449"/>
        <v>0</v>
      </c>
      <c r="GO160" s="35"/>
      <c r="GP160" s="5"/>
      <c r="GQ160" s="35"/>
      <c r="GR160" s="45" t="e">
        <f t="shared" si="450"/>
        <v>#DIV/0!</v>
      </c>
      <c r="GS160" s="35"/>
      <c r="GT160" s="35"/>
      <c r="GU160" s="35"/>
      <c r="GV160" s="20">
        <f>GP160/AD160</f>
        <v>0</v>
      </c>
      <c r="GW160" s="20">
        <f>(GG160+GP160)/AD160</f>
        <v>0</v>
      </c>
      <c r="GX160" s="569"/>
      <c r="GY160" s="569"/>
      <c r="GZ160" s="569" t="e">
        <f>(#REF!+#REF!+GY160)/AD160</f>
        <v>#REF!</v>
      </c>
      <c r="HA160" s="569"/>
      <c r="HB160" s="569">
        <f>(GG160+GP160+GY160+HA160)/AD160</f>
        <v>0</v>
      </c>
      <c r="HC160" s="568" t="e">
        <f>(GG160+GP160+GY160+HA160)/(GX160+GB160-HD160)</f>
        <v>#DIV/0!</v>
      </c>
      <c r="HD160" s="569"/>
      <c r="HE160" s="569"/>
      <c r="HF160" s="503"/>
      <c r="HG160" s="633"/>
      <c r="HH160" s="634" t="e">
        <f t="shared" si="420"/>
        <v>#DIV/0!</v>
      </c>
      <c r="HI160" s="633">
        <f t="shared" si="421"/>
        <v>0</v>
      </c>
      <c r="HJ160" s="633" t="e">
        <f t="shared" ca="1" si="422"/>
        <v>#VALUE!</v>
      </c>
      <c r="HK160" s="634" t="e">
        <f t="shared" ca="1" si="423"/>
        <v>#VALUE!</v>
      </c>
      <c r="HL160" s="633"/>
      <c r="HM160" s="633">
        <f t="shared" si="424"/>
        <v>0</v>
      </c>
      <c r="HN160" s="633" t="e">
        <f t="shared" si="425"/>
        <v>#DIV/0!</v>
      </c>
      <c r="HO160" s="633"/>
      <c r="HP160" s="563"/>
      <c r="HQ160" s="47"/>
      <c r="HR160" s="563"/>
      <c r="HS160" s="563">
        <f>SUM(Tableau6[[#This Row],[GO]:[CARRELAGE]])</f>
        <v>0</v>
      </c>
      <c r="HT160" s="461"/>
      <c r="HU160" s="461"/>
      <c r="HV160" s="461"/>
      <c r="HW160" s="461"/>
      <c r="HX160" s="461"/>
      <c r="HY160" s="461"/>
      <c r="HZ160" s="461"/>
      <c r="IA160" s="461"/>
      <c r="IB160" s="461"/>
      <c r="IC160" s="461"/>
      <c r="ID160" s="461"/>
      <c r="IE160" s="461"/>
      <c r="IF160" s="461"/>
      <c r="IG160" s="563"/>
      <c r="IH160" s="563"/>
      <c r="II160" s="563">
        <f>HP160+HR160+Tableau6[[#This Row],[TRAVAUX BATIS]]+Tableau6[[#This Row],[HONORAIRES]]+IH160</f>
        <v>0</v>
      </c>
      <c r="IJ160" s="654">
        <f>Tableau6[[#This Row],[TOTAL PRP HT]]-Tableau6[[#This Row],[PRP TTC HORS FRAFU]]/1.021</f>
        <v>0</v>
      </c>
      <c r="IK160" s="9"/>
      <c r="IL160" s="9"/>
      <c r="IM160" s="9"/>
      <c r="IN160" s="9"/>
      <c r="IO160" s="9"/>
      <c r="IP160" s="9"/>
      <c r="IQ160" s="9"/>
      <c r="IR160" s="9"/>
      <c r="IS160" s="9"/>
      <c r="IT160" s="9"/>
      <c r="IU160" s="9"/>
      <c r="IV160" s="9"/>
    </row>
    <row r="161" spans="1:256" ht="15" customHeight="1">
      <c r="A161" s="428" t="s">
        <v>961</v>
      </c>
      <c r="B161" s="22"/>
      <c r="C161" s="22"/>
      <c r="D161" s="22"/>
      <c r="E161" s="22"/>
      <c r="F161" s="22"/>
      <c r="G161" s="22"/>
      <c r="H161" s="24"/>
      <c r="I161" s="22"/>
      <c r="J161" s="22"/>
      <c r="K161" s="134"/>
      <c r="L161" s="81"/>
      <c r="M161" s="82"/>
      <c r="N161" s="83"/>
      <c r="O161" s="103"/>
      <c r="P161" s="103"/>
      <c r="Q161" s="103"/>
      <c r="R161" s="103">
        <f>P161/AD161</f>
        <v>0</v>
      </c>
      <c r="S161" s="103" t="e">
        <f>P161/O161</f>
        <v>#DIV/0!</v>
      </c>
      <c r="T161" s="109" t="e">
        <f>Q161/O161</f>
        <v>#DIV/0!</v>
      </c>
      <c r="U161" s="109" t="e">
        <f>Q161/AK161</f>
        <v>#DIV/0!</v>
      </c>
      <c r="V161" s="109">
        <f>Q161/AD161</f>
        <v>0</v>
      </c>
      <c r="W161" s="103">
        <f>O161/AD161</f>
        <v>0</v>
      </c>
      <c r="X161" s="104"/>
      <c r="Y161" s="444" t="e">
        <f>10000*AD161/O161</f>
        <v>#DIV/0!</v>
      </c>
      <c r="Z161" s="104"/>
      <c r="AA161" s="104"/>
      <c r="AB161" s="105"/>
      <c r="AC161" s="22" t="s">
        <v>293</v>
      </c>
      <c r="AD161" s="427">
        <f>SUM(AF161:AI161)</f>
        <v>70</v>
      </c>
      <c r="AE161" s="427">
        <f>AD161-AI161</f>
        <v>70</v>
      </c>
      <c r="AF161" s="32"/>
      <c r="AG161" s="32"/>
      <c r="AH161" s="22">
        <v>70</v>
      </c>
      <c r="AI161" s="32"/>
      <c r="AJ161" s="615"/>
      <c r="AK161" s="222"/>
      <c r="AL161" s="492">
        <f t="shared" si="402"/>
        <v>0</v>
      </c>
      <c r="AM161" s="26">
        <f t="shared" si="403"/>
        <v>0</v>
      </c>
      <c r="AN161" s="26"/>
      <c r="AO161" s="26"/>
      <c r="AP161" s="26"/>
      <c r="AQ161" s="39"/>
      <c r="AR161" s="39"/>
      <c r="AS161" s="39"/>
      <c r="AT161" s="39"/>
      <c r="AU161" s="39"/>
      <c r="AV161" s="26"/>
      <c r="AW161" s="37"/>
      <c r="AX161" s="39"/>
      <c r="AY161" s="26"/>
      <c r="AZ161" s="25"/>
      <c r="BA161" s="22"/>
      <c r="BB161" s="22"/>
      <c r="BC161" s="437" t="e">
        <f t="shared" si="404"/>
        <v>#DIV/0!</v>
      </c>
      <c r="BD161" s="332" t="e">
        <f t="shared" si="405"/>
        <v>#DIV/0!</v>
      </c>
      <c r="BE161" s="334">
        <f t="shared" si="406"/>
        <v>0</v>
      </c>
      <c r="BF161" s="123"/>
      <c r="BG161" s="123"/>
      <c r="BH161" s="89"/>
      <c r="BI161" s="89"/>
      <c r="BJ161" s="548"/>
      <c r="BK161" s="548"/>
      <c r="BL161" s="549"/>
      <c r="BM161" s="547">
        <f t="shared" si="410"/>
        <v>0</v>
      </c>
      <c r="BN161" s="490" t="s">
        <v>229</v>
      </c>
      <c r="BO161" s="77"/>
      <c r="BP161" s="100"/>
      <c r="BQ161" s="536">
        <f t="shared" si="411"/>
        <v>0</v>
      </c>
      <c r="BR161" s="529"/>
      <c r="BS161" s="77"/>
      <c r="BT161" s="77"/>
      <c r="BU161" s="151"/>
      <c r="BV161" s="150">
        <f t="shared" si="442"/>
        <v>1096</v>
      </c>
      <c r="BW161" s="373"/>
      <c r="BX161" s="150" t="str">
        <f>IF(Tableau6[[#This Row],[Montant des loyers perçus avant 1e échéance]]&lt;BW161,"oui","non")</f>
        <v>non</v>
      </c>
      <c r="BY161" s="475">
        <f t="shared" si="412"/>
        <v>-1475.2666666666667</v>
      </c>
      <c r="BZ161" s="373">
        <f t="shared" si="413"/>
        <v>0</v>
      </c>
      <c r="CA161" s="373">
        <f>IF(BW161-BZ161&lt;0,0,Tableau6[[#This Row],[Montant échéance annuelle]]-Tableau6[[#This Row],[Montant des loyers perçus avant 1e échéance]])</f>
        <v>0</v>
      </c>
      <c r="CB161" s="286"/>
      <c r="CC161" s="288"/>
      <c r="CD161" s="288"/>
      <c r="CE161" s="290" t="str">
        <f t="shared" si="414"/>
        <v>0</v>
      </c>
      <c r="CF161" s="288"/>
      <c r="CG161" s="288"/>
      <c r="CH161" s="290" t="str">
        <f t="shared" si="415"/>
        <v>0</v>
      </c>
      <c r="CI161" s="288"/>
      <c r="CJ161" s="288"/>
      <c r="CK161" s="290" t="str">
        <f t="shared" si="416"/>
        <v>0</v>
      </c>
      <c r="CL161" s="288"/>
      <c r="CM161" s="288"/>
      <c r="CN161" s="290" t="str">
        <f t="shared" si="417"/>
        <v>0</v>
      </c>
      <c r="CO161" s="288"/>
      <c r="CP161" s="288"/>
      <c r="CQ161" s="290" t="str">
        <f t="shared" si="418"/>
        <v>0</v>
      </c>
      <c r="CR161" s="237"/>
      <c r="CS161" s="292"/>
      <c r="CT161" s="277"/>
      <c r="CU161" s="278"/>
      <c r="CV161" s="279" t="str">
        <f t="shared" si="407"/>
        <v>0</v>
      </c>
      <c r="CW161" s="277"/>
      <c r="CX161" s="382">
        <v>44745</v>
      </c>
      <c r="CY161" s="178"/>
      <c r="CZ161" s="231">
        <f t="shared" si="465"/>
        <v>1491.5</v>
      </c>
      <c r="DA161" s="279" t="str">
        <f t="shared" si="426"/>
        <v>0</v>
      </c>
      <c r="DB161" s="383">
        <v>18</v>
      </c>
      <c r="DC161" s="127">
        <f t="shared" si="427"/>
        <v>19</v>
      </c>
      <c r="DD161" s="277"/>
      <c r="DE161" s="282">
        <f t="shared" ca="1" si="428"/>
        <v>43998</v>
      </c>
      <c r="DF161" s="279" t="str">
        <f t="shared" ca="1" si="429"/>
        <v>0</v>
      </c>
      <c r="DG161" s="277"/>
      <c r="DH161" s="295">
        <f t="shared" ca="1" si="477"/>
        <v>43998</v>
      </c>
      <c r="DI161" s="280" t="str">
        <f t="shared" ca="1" si="430"/>
        <v>0</v>
      </c>
      <c r="DJ161" s="281"/>
      <c r="DK161" s="295">
        <f t="shared" ca="1" si="475"/>
        <v>43998</v>
      </c>
      <c r="DL161" s="279" t="str">
        <f t="shared" ca="1" si="431"/>
        <v>0</v>
      </c>
      <c r="DM161" s="282"/>
      <c r="DN161" s="282">
        <f t="shared" ca="1" si="476"/>
        <v>43998</v>
      </c>
      <c r="DO161" s="279" t="str">
        <f t="shared" ca="1" si="432"/>
        <v>0</v>
      </c>
      <c r="DP161" s="283"/>
      <c r="DQ161" s="283"/>
      <c r="DR161" s="279" t="str">
        <f t="shared" si="433"/>
        <v>0</v>
      </c>
      <c r="DS161" s="282"/>
      <c r="DT161" s="282">
        <f t="shared" ca="1" si="434"/>
        <v>43998</v>
      </c>
      <c r="DU161" s="279" t="str">
        <f t="shared" ca="1" si="435"/>
        <v>0</v>
      </c>
      <c r="DV161" s="282"/>
      <c r="DW161" s="282">
        <f t="shared" ca="1" si="436"/>
        <v>43998</v>
      </c>
      <c r="DX161" s="279" t="str">
        <f t="shared" ca="1" si="437"/>
        <v>0</v>
      </c>
      <c r="DY161" s="282"/>
      <c r="DZ161" s="282"/>
      <c r="EA161" s="282"/>
      <c r="EB161" s="410">
        <f t="shared" si="443"/>
        <v>45294</v>
      </c>
      <c r="EC161" s="409">
        <f t="shared" si="469"/>
        <v>45325</v>
      </c>
      <c r="ED161" s="406">
        <f t="shared" si="444"/>
        <v>1.0333333333333334</v>
      </c>
      <c r="EE161" s="505">
        <f t="shared" ca="1" si="438"/>
        <v>44.233333333333334</v>
      </c>
      <c r="EF161" s="409">
        <f t="shared" ca="1" si="470"/>
        <v>44728</v>
      </c>
      <c r="EG161" s="457"/>
      <c r="EH161" s="448"/>
      <c r="EI161" s="458">
        <f t="shared" si="463"/>
        <v>45448</v>
      </c>
      <c r="EJ161" s="242"/>
      <c r="EK161" s="456">
        <f t="shared" si="467"/>
        <v>45325</v>
      </c>
      <c r="EL161" s="409">
        <f>DATE(YEAR(EC161),MONTH(EC161)+1,DAY(EC161))</f>
        <v>45354</v>
      </c>
      <c r="EM161" s="314"/>
      <c r="EN161" s="404">
        <f t="shared" si="466"/>
        <v>0.96666666666666667</v>
      </c>
      <c r="EO161" s="394"/>
      <c r="EP161" s="131">
        <f t="shared" si="445"/>
        <v>0</v>
      </c>
      <c r="EQ161" s="60"/>
      <c r="ER161" s="60"/>
      <c r="ES161" s="742"/>
      <c r="ET161" s="300"/>
      <c r="EU161" s="300"/>
      <c r="EV161" s="300"/>
      <c r="EW161" s="300"/>
      <c r="EX161" s="300"/>
      <c r="EY161" s="416">
        <f t="shared" si="439"/>
        <v>0</v>
      </c>
      <c r="EZ161" s="297"/>
      <c r="FA161" s="308"/>
      <c r="FB161" s="297"/>
      <c r="FC161" s="297"/>
      <c r="FD161" s="89">
        <f t="shared" ca="1" si="468"/>
        <v>44728</v>
      </c>
      <c r="FE161" s="63"/>
      <c r="FF161" s="63"/>
      <c r="FG161" s="63"/>
      <c r="FH161" s="63"/>
      <c r="FI161" s="63"/>
      <c r="FJ161" s="22"/>
      <c r="FK161" s="146">
        <f t="shared" si="464"/>
        <v>45691</v>
      </c>
      <c r="FL161" s="146"/>
      <c r="FM161" s="146"/>
      <c r="FN161" s="22"/>
      <c r="FO161" s="22"/>
      <c r="FP161" s="22"/>
      <c r="FQ161" s="22"/>
      <c r="FR161" s="22"/>
      <c r="FS161" s="22"/>
      <c r="FT161" s="22"/>
      <c r="FU161" s="22"/>
      <c r="FV161" s="22"/>
      <c r="FW161" s="22"/>
      <c r="FX161" s="22"/>
      <c r="FY161" s="22"/>
      <c r="FZ161" s="22"/>
      <c r="GA161" s="451"/>
      <c r="GB161" s="434">
        <f>GD161+GG161+GJ161+HF161+Tableau6[[#This Row],[PRÊT CREDIT D''IMPOT (PM)]]</f>
        <v>12066577.413080003</v>
      </c>
      <c r="GC161" s="645">
        <f t="shared" si="446"/>
        <v>12066577.413080003</v>
      </c>
      <c r="GD161" s="507">
        <f t="shared" si="459"/>
        <v>0</v>
      </c>
      <c r="GE161" s="20" t="e">
        <f t="shared" si="447"/>
        <v>#DIV/0!</v>
      </c>
      <c r="GF161" s="20">
        <f t="shared" si="440"/>
        <v>172379.67732971432</v>
      </c>
      <c r="GG161" s="503">
        <v>4316149.8504960006</v>
      </c>
      <c r="GH161" s="351"/>
      <c r="GI161" s="20">
        <f t="shared" si="409"/>
        <v>61659.283578514296</v>
      </c>
      <c r="GJ161" s="503">
        <f t="shared" si="448"/>
        <v>7750427.5625840016</v>
      </c>
      <c r="GK161" s="35">
        <f t="shared" si="408"/>
        <v>6274620.2548016021</v>
      </c>
      <c r="GL161" s="44">
        <v>1550085.5125168001</v>
      </c>
      <c r="GM161" s="44">
        <v>4724534.7422848018</v>
      </c>
      <c r="GN161" s="346">
        <f t="shared" si="449"/>
        <v>89637.432211451465</v>
      </c>
      <c r="GO161" s="35">
        <v>1475807.3077823995</v>
      </c>
      <c r="GP161" s="5">
        <v>0</v>
      </c>
      <c r="GQ161" s="35"/>
      <c r="GR161" s="45">
        <f t="shared" si="450"/>
        <v>0</v>
      </c>
      <c r="GS161" s="35"/>
      <c r="GT161" s="35"/>
      <c r="GU161" s="35"/>
      <c r="GV161" s="20"/>
      <c r="GW161" s="20"/>
      <c r="GX161" s="569"/>
      <c r="GY161" s="569"/>
      <c r="GZ161" s="569"/>
      <c r="HA161" s="569"/>
      <c r="HB161" s="569"/>
      <c r="HC161" s="568"/>
      <c r="HD161" s="569"/>
      <c r="HE161" s="569"/>
      <c r="HF161" s="503"/>
      <c r="HG161" s="633"/>
      <c r="HH161" s="634">
        <f t="shared" si="420"/>
        <v>0</v>
      </c>
      <c r="HI161" s="633">
        <f t="shared" si="421"/>
        <v>12066577.413080003</v>
      </c>
      <c r="HJ161" s="633" t="e">
        <f t="shared" ca="1" si="422"/>
        <v>#VALUE!</v>
      </c>
      <c r="HK161" s="634" t="e">
        <f t="shared" ca="1" si="423"/>
        <v>#VALUE!</v>
      </c>
      <c r="HL161" s="633"/>
      <c r="HM161" s="633">
        <f t="shared" si="424"/>
        <v>0</v>
      </c>
      <c r="HN161" s="633" t="e">
        <f t="shared" si="425"/>
        <v>#DIV/0!</v>
      </c>
      <c r="HO161" s="633"/>
      <c r="HP161" s="563"/>
      <c r="HQ161" s="47"/>
      <c r="HR161" s="563"/>
      <c r="HS161" s="563">
        <f>SUM(Tableau6[[#This Row],[GO]:[CARRELAGE]])</f>
        <v>0</v>
      </c>
      <c r="HT161" s="461"/>
      <c r="HU161" s="461"/>
      <c r="HV161" s="461"/>
      <c r="HW161" s="461"/>
      <c r="HX161" s="461"/>
      <c r="HY161" s="461"/>
      <c r="HZ161" s="461"/>
      <c r="IA161" s="461"/>
      <c r="IB161" s="461"/>
      <c r="IC161" s="461"/>
      <c r="ID161" s="461"/>
      <c r="IE161" s="461"/>
      <c r="IF161" s="461"/>
      <c r="IG161" s="563"/>
      <c r="IH161" s="563"/>
      <c r="II161" s="563">
        <f>HP161+HR161+Tableau6[[#This Row],[TRAVAUX BATIS]]+Tableau6[[#This Row],[HONORAIRES]]+IH161</f>
        <v>0</v>
      </c>
      <c r="IJ161" s="654">
        <f>Tableau6[[#This Row],[TOTAL PRP HT]]-Tableau6[[#This Row],[PRP TTC HORS FRAFU]]/1.021</f>
        <v>-11818391.197923608</v>
      </c>
      <c r="IK161" s="9"/>
      <c r="IL161" s="9"/>
      <c r="IM161" s="9"/>
      <c r="IN161" s="9"/>
      <c r="IO161" s="9"/>
      <c r="IP161" s="9"/>
      <c r="IQ161" s="9"/>
      <c r="IR161" s="9"/>
      <c r="IS161" s="9"/>
      <c r="IT161" s="9"/>
      <c r="IU161" s="9"/>
      <c r="IV161" s="9"/>
    </row>
    <row r="162" spans="1:256" ht="15" customHeight="1">
      <c r="A162" s="428"/>
      <c r="B162" s="22"/>
      <c r="C162" s="22"/>
      <c r="D162" s="22"/>
      <c r="E162" s="22"/>
      <c r="F162" s="22"/>
      <c r="G162" s="22"/>
      <c r="H162" s="24"/>
      <c r="I162" s="22"/>
      <c r="J162" s="22"/>
      <c r="K162" s="134"/>
      <c r="L162" s="81"/>
      <c r="M162" s="82"/>
      <c r="N162" s="83"/>
      <c r="O162" s="103"/>
      <c r="P162" s="103"/>
      <c r="Q162" s="103"/>
      <c r="R162" s="103" t="e">
        <f>P162/AD162</f>
        <v>#DIV/0!</v>
      </c>
      <c r="S162" s="103" t="e">
        <f>P162/O162</f>
        <v>#DIV/0!</v>
      </c>
      <c r="T162" s="109" t="e">
        <f>Q162/O162</f>
        <v>#DIV/0!</v>
      </c>
      <c r="U162" s="109" t="e">
        <f>Q162/AK162</f>
        <v>#DIV/0!</v>
      </c>
      <c r="V162" s="109" t="e">
        <f>Q162/AD162</f>
        <v>#DIV/0!</v>
      </c>
      <c r="W162" s="103" t="e">
        <f>O162/AD162</f>
        <v>#DIV/0!</v>
      </c>
      <c r="X162" s="104"/>
      <c r="Y162" s="444" t="e">
        <f>10000*AD162/O162</f>
        <v>#DIV/0!</v>
      </c>
      <c r="Z162" s="104"/>
      <c r="AA162" s="104"/>
      <c r="AB162" s="105"/>
      <c r="AC162" s="22"/>
      <c r="AD162" s="426">
        <f>SUM(AF162:AI162)</f>
        <v>0</v>
      </c>
      <c r="AE162" s="427">
        <f>AD162-AI162</f>
        <v>0</v>
      </c>
      <c r="AF162" s="32"/>
      <c r="AG162" s="22"/>
      <c r="AH162" s="32"/>
      <c r="AI162" s="32"/>
      <c r="AJ162" s="615"/>
      <c r="AK162" s="222"/>
      <c r="AL162" s="492" t="e">
        <f t="shared" si="402"/>
        <v>#DIV/0!</v>
      </c>
      <c r="AM162" s="4" t="e">
        <f t="shared" si="403"/>
        <v>#DIV/0!</v>
      </c>
      <c r="AN162" s="26"/>
      <c r="AO162" s="26"/>
      <c r="AP162" s="26"/>
      <c r="AQ162" s="39"/>
      <c r="AR162" s="39"/>
      <c r="AS162" s="39"/>
      <c r="AT162" s="39"/>
      <c r="AU162" s="39"/>
      <c r="AV162" s="26"/>
      <c r="AW162" s="37"/>
      <c r="AX162" s="39"/>
      <c r="AY162" s="26"/>
      <c r="AZ162" s="25"/>
      <c r="BA162" s="22"/>
      <c r="BB162" s="22"/>
      <c r="BC162" s="437" t="e">
        <f t="shared" si="404"/>
        <v>#DIV/0!</v>
      </c>
      <c r="BD162" s="332" t="e">
        <f t="shared" si="405"/>
        <v>#DIV/0!</v>
      </c>
      <c r="BE162" s="334" t="e">
        <f t="shared" si="406"/>
        <v>#DIV/0!</v>
      </c>
      <c r="BF162" s="123"/>
      <c r="BG162" s="123"/>
      <c r="BH162" s="89"/>
      <c r="BI162" s="89"/>
      <c r="BJ162" s="548"/>
      <c r="BK162" s="548"/>
      <c r="BL162" s="549"/>
      <c r="BM162" s="547">
        <f t="shared" si="410"/>
        <v>0</v>
      </c>
      <c r="BN162" s="490" t="s">
        <v>229</v>
      </c>
      <c r="BO162" s="77"/>
      <c r="BP162" s="100"/>
      <c r="BQ162" s="536">
        <f t="shared" si="411"/>
        <v>0</v>
      </c>
      <c r="BR162" s="529"/>
      <c r="BS162" s="77"/>
      <c r="BT162" s="77"/>
      <c r="BU162" s="151"/>
      <c r="BV162" s="150">
        <f t="shared" si="442"/>
        <v>1096</v>
      </c>
      <c r="BW162" s="373"/>
      <c r="BX162" s="150" t="str">
        <f>IF(Tableau6[[#This Row],[Montant des loyers perçus avant 1e échéance]]&lt;BW162,"oui","non")</f>
        <v>non</v>
      </c>
      <c r="BY162" s="475">
        <f t="shared" si="412"/>
        <v>-1475.2666666666667</v>
      </c>
      <c r="BZ162" s="373">
        <f t="shared" si="413"/>
        <v>0</v>
      </c>
      <c r="CA162" s="373">
        <f>IF(BW162-BZ162&lt;0,0,Tableau6[[#This Row],[Montant échéance annuelle]]-Tableau6[[#This Row],[Montant des loyers perçus avant 1e échéance]])</f>
        <v>0</v>
      </c>
      <c r="CB162" s="286"/>
      <c r="CC162" s="288"/>
      <c r="CD162" s="288"/>
      <c r="CE162" s="290" t="str">
        <f t="shared" si="414"/>
        <v>0</v>
      </c>
      <c r="CF162" s="288"/>
      <c r="CG162" s="288"/>
      <c r="CH162" s="290" t="str">
        <f t="shared" si="415"/>
        <v>0</v>
      </c>
      <c r="CI162" s="288"/>
      <c r="CJ162" s="288"/>
      <c r="CK162" s="290" t="str">
        <f t="shared" si="416"/>
        <v>0</v>
      </c>
      <c r="CL162" s="288"/>
      <c r="CM162" s="288"/>
      <c r="CN162" s="290" t="str">
        <f t="shared" si="417"/>
        <v>0</v>
      </c>
      <c r="CO162" s="288"/>
      <c r="CP162" s="288"/>
      <c r="CQ162" s="290" t="str">
        <f t="shared" si="418"/>
        <v>0</v>
      </c>
      <c r="CR162" s="237"/>
      <c r="CS162" s="292"/>
      <c r="CT162" s="277"/>
      <c r="CU162" s="278"/>
      <c r="CV162" s="279" t="str">
        <f t="shared" si="407"/>
        <v>0</v>
      </c>
      <c r="CW162" s="277"/>
      <c r="CX162" s="382">
        <v>44745</v>
      </c>
      <c r="CY162" s="178"/>
      <c r="CZ162" s="231">
        <f t="shared" si="465"/>
        <v>1491.5</v>
      </c>
      <c r="DA162" s="279" t="str">
        <f t="shared" si="426"/>
        <v>0</v>
      </c>
      <c r="DB162" s="383">
        <v>18</v>
      </c>
      <c r="DC162" s="127">
        <f t="shared" si="427"/>
        <v>19</v>
      </c>
      <c r="DD162" s="277"/>
      <c r="DE162" s="282">
        <f t="shared" ca="1" si="428"/>
        <v>43998</v>
      </c>
      <c r="DF162" s="279" t="str">
        <f t="shared" ca="1" si="429"/>
        <v>0</v>
      </c>
      <c r="DG162" s="277"/>
      <c r="DH162" s="295">
        <f t="shared" ca="1" si="477"/>
        <v>43998</v>
      </c>
      <c r="DI162" s="280" t="str">
        <f t="shared" ca="1" si="430"/>
        <v>0</v>
      </c>
      <c r="DJ162" s="281"/>
      <c r="DK162" s="295">
        <f t="shared" ca="1" si="475"/>
        <v>43998</v>
      </c>
      <c r="DL162" s="279" t="str">
        <f t="shared" ca="1" si="431"/>
        <v>0</v>
      </c>
      <c r="DM162" s="282"/>
      <c r="DN162" s="282">
        <f t="shared" ca="1" si="476"/>
        <v>43998</v>
      </c>
      <c r="DO162" s="279" t="str">
        <f t="shared" ca="1" si="432"/>
        <v>0</v>
      </c>
      <c r="DP162" s="283"/>
      <c r="DQ162" s="283"/>
      <c r="DR162" s="279" t="str">
        <f t="shared" si="433"/>
        <v>0</v>
      </c>
      <c r="DS162" s="282"/>
      <c r="DT162" s="282">
        <f t="shared" ca="1" si="434"/>
        <v>43998</v>
      </c>
      <c r="DU162" s="279" t="str">
        <f t="shared" ca="1" si="435"/>
        <v>0</v>
      </c>
      <c r="DV162" s="282"/>
      <c r="DW162" s="282">
        <f t="shared" ca="1" si="436"/>
        <v>43998</v>
      </c>
      <c r="DX162" s="279" t="str">
        <f t="shared" ca="1" si="437"/>
        <v>0</v>
      </c>
      <c r="DY162" s="282"/>
      <c r="DZ162" s="282"/>
      <c r="EA162" s="282"/>
      <c r="EB162" s="410">
        <f t="shared" si="443"/>
        <v>45294</v>
      </c>
      <c r="EC162" s="409">
        <f t="shared" si="469"/>
        <v>45325</v>
      </c>
      <c r="ED162" s="406">
        <f t="shared" si="444"/>
        <v>1.0333333333333334</v>
      </c>
      <c r="EE162" s="505">
        <f t="shared" ca="1" si="438"/>
        <v>44.233333333333334</v>
      </c>
      <c r="EF162" s="409">
        <f t="shared" ca="1" si="470"/>
        <v>44728</v>
      </c>
      <c r="EG162" s="457"/>
      <c r="EH162" s="448"/>
      <c r="EI162" s="458">
        <f t="shared" si="463"/>
        <v>45448</v>
      </c>
      <c r="EJ162" s="242"/>
      <c r="EK162" s="456">
        <f t="shared" si="467"/>
        <v>45325</v>
      </c>
      <c r="EL162" s="409">
        <f>DATE(YEAR(EC162),MONTH(EC162)+1,DAY(EC162))</f>
        <v>45354</v>
      </c>
      <c r="EM162" s="314"/>
      <c r="EN162" s="404">
        <f t="shared" si="466"/>
        <v>0.96666666666666667</v>
      </c>
      <c r="EO162" s="394"/>
      <c r="EP162" s="131">
        <f t="shared" si="445"/>
        <v>0</v>
      </c>
      <c r="EQ162" s="60"/>
      <c r="ER162" s="60"/>
      <c r="ES162" s="742"/>
      <c r="ET162" s="300"/>
      <c r="EU162" s="300"/>
      <c r="EV162" s="300"/>
      <c r="EW162" s="300"/>
      <c r="EX162" s="300"/>
      <c r="EY162" s="416" t="e">
        <f t="shared" si="439"/>
        <v>#DIV/0!</v>
      </c>
      <c r="EZ162" s="297"/>
      <c r="FA162" s="308"/>
      <c r="FB162" s="297"/>
      <c r="FC162" s="297"/>
      <c r="FD162" s="89">
        <f t="shared" ca="1" si="468"/>
        <v>44728</v>
      </c>
      <c r="FE162" s="63"/>
      <c r="FF162" s="63"/>
      <c r="FG162" s="63"/>
      <c r="FH162" s="63"/>
      <c r="FI162" s="63"/>
      <c r="FJ162" s="22"/>
      <c r="FK162" s="146">
        <f t="shared" si="464"/>
        <v>45691</v>
      </c>
      <c r="FL162" s="146"/>
      <c r="FM162" s="146"/>
      <c r="FN162" s="22"/>
      <c r="FO162" s="22"/>
      <c r="FP162" s="22"/>
      <c r="FQ162" s="22"/>
      <c r="FR162" s="22"/>
      <c r="FS162" s="22"/>
      <c r="FT162" s="22"/>
      <c r="FU162" s="22"/>
      <c r="FV162" s="22"/>
      <c r="FW162" s="22"/>
      <c r="FX162" s="22"/>
      <c r="FY162" s="22"/>
      <c r="FZ162" s="22"/>
      <c r="GA162" s="451"/>
      <c r="GB162" s="471">
        <f>GD162+GG162+GJ162+HF162+Tableau6[[#This Row],[PRÊT CREDIT D''IMPOT (PM)]]</f>
        <v>0</v>
      </c>
      <c r="GC162" s="645">
        <f t="shared" si="446"/>
        <v>0</v>
      </c>
      <c r="GD162" s="507">
        <f t="shared" si="459"/>
        <v>0</v>
      </c>
      <c r="GE162" s="20" t="e">
        <f t="shared" si="447"/>
        <v>#DIV/0!</v>
      </c>
      <c r="GF162" s="20" t="e">
        <f t="shared" si="440"/>
        <v>#DIV/0!</v>
      </c>
      <c r="GG162" s="503"/>
      <c r="GH162" s="351"/>
      <c r="GI162" s="20" t="e">
        <f t="shared" si="409"/>
        <v>#DIV/0!</v>
      </c>
      <c r="GJ162" s="503">
        <f t="shared" si="448"/>
        <v>0</v>
      </c>
      <c r="GK162" s="5">
        <f t="shared" si="408"/>
        <v>0</v>
      </c>
      <c r="GL162" s="44"/>
      <c r="GM162" s="44"/>
      <c r="GN162" s="346" t="e">
        <f t="shared" si="449"/>
        <v>#DIV/0!</v>
      </c>
      <c r="GO162" s="35"/>
      <c r="GP162" s="5"/>
      <c r="GQ162" s="35"/>
      <c r="GR162" s="45" t="e">
        <f t="shared" si="450"/>
        <v>#DIV/0!</v>
      </c>
      <c r="GS162" s="35"/>
      <c r="GT162" s="35"/>
      <c r="GU162" s="35"/>
      <c r="GV162" s="20"/>
      <c r="GW162" s="20"/>
      <c r="GX162" s="569"/>
      <c r="GY162" s="569"/>
      <c r="GZ162" s="569"/>
      <c r="HA162" s="569"/>
      <c r="HB162" s="569"/>
      <c r="HC162" s="568"/>
      <c r="HD162" s="569"/>
      <c r="HE162" s="569"/>
      <c r="HF162" s="503"/>
      <c r="HG162" s="633"/>
      <c r="HH162" s="634" t="e">
        <f t="shared" si="420"/>
        <v>#DIV/0!</v>
      </c>
      <c r="HI162" s="633">
        <f t="shared" si="421"/>
        <v>0</v>
      </c>
      <c r="HJ162" s="633" t="e">
        <f t="shared" ca="1" si="422"/>
        <v>#VALUE!</v>
      </c>
      <c r="HK162" s="634" t="e">
        <f t="shared" ca="1" si="423"/>
        <v>#VALUE!</v>
      </c>
      <c r="HL162" s="633"/>
      <c r="HM162" s="633">
        <f t="shared" si="424"/>
        <v>0</v>
      </c>
      <c r="HN162" s="633" t="e">
        <f t="shared" si="425"/>
        <v>#DIV/0!</v>
      </c>
      <c r="HO162" s="633"/>
      <c r="HP162" s="563"/>
      <c r="HQ162" s="47"/>
      <c r="HR162" s="563"/>
      <c r="HS162" s="563">
        <f>SUM(Tableau6[[#This Row],[GO]:[CARRELAGE]])</f>
        <v>0</v>
      </c>
      <c r="HT162" s="461"/>
      <c r="HU162" s="461"/>
      <c r="HV162" s="461"/>
      <c r="HW162" s="461"/>
      <c r="HX162" s="461"/>
      <c r="HY162" s="461"/>
      <c r="HZ162" s="461"/>
      <c r="IA162" s="461"/>
      <c r="IB162" s="461"/>
      <c r="IC162" s="461"/>
      <c r="ID162" s="461"/>
      <c r="IE162" s="461"/>
      <c r="IF162" s="461"/>
      <c r="IG162" s="563"/>
      <c r="IH162" s="563"/>
      <c r="II162" s="563">
        <f>HP162+HR162+Tableau6[[#This Row],[TRAVAUX BATIS]]+Tableau6[[#This Row],[HONORAIRES]]+IH162</f>
        <v>0</v>
      </c>
      <c r="IJ162" s="654">
        <f>Tableau6[[#This Row],[TOTAL PRP HT]]-Tableau6[[#This Row],[PRP TTC HORS FRAFU]]/1.021</f>
        <v>0</v>
      </c>
      <c r="IK162" s="9"/>
      <c r="IL162" s="9"/>
      <c r="IM162" s="9"/>
      <c r="IN162" s="9"/>
      <c r="IO162" s="9"/>
      <c r="IP162" s="9"/>
      <c r="IQ162" s="9"/>
      <c r="IR162" s="9"/>
      <c r="IS162" s="9"/>
      <c r="IT162" s="9"/>
      <c r="IU162" s="9"/>
      <c r="IV162" s="9"/>
    </row>
    <row r="163" spans="1:256" ht="15" customHeight="1">
      <c r="A163" s="752"/>
      <c r="B163" s="655"/>
      <c r="C163" s="655"/>
      <c r="D163" s="655"/>
      <c r="E163" s="655"/>
      <c r="F163" s="655"/>
      <c r="G163" s="655"/>
      <c r="H163" s="656"/>
      <c r="I163" s="655"/>
      <c r="J163" s="655"/>
      <c r="K163" s="657"/>
      <c r="L163" s="658"/>
      <c r="M163" s="659"/>
      <c r="N163" s="660"/>
      <c r="O163" s="661"/>
      <c r="P163" s="661"/>
      <c r="Q163" s="661"/>
      <c r="R163" s="103" t="e">
        <f>P163/AD163</f>
        <v>#DIV/0!</v>
      </c>
      <c r="S163" s="103" t="e">
        <f>P163/O163</f>
        <v>#DIV/0!</v>
      </c>
      <c r="T163" s="109" t="e">
        <f>Q163/O163</f>
        <v>#DIV/0!</v>
      </c>
      <c r="U163" s="109" t="e">
        <f>Q163/AK163</f>
        <v>#DIV/0!</v>
      </c>
      <c r="V163" s="109" t="e">
        <f>Q163/AD163</f>
        <v>#DIV/0!</v>
      </c>
      <c r="W163" s="103" t="e">
        <f>O163/AD163</f>
        <v>#DIV/0!</v>
      </c>
      <c r="X163" s="104"/>
      <c r="Y163" s="444" t="e">
        <f>10000*AD163/O163</f>
        <v>#DIV/0!</v>
      </c>
      <c r="Z163" s="104"/>
      <c r="AA163" s="104"/>
      <c r="AB163" s="105"/>
      <c r="AC163" s="655"/>
      <c r="AD163" s="426">
        <f>SUM(AF163:AI163)</f>
        <v>0</v>
      </c>
      <c r="AE163" s="427">
        <f>AD163-AI163</f>
        <v>0</v>
      </c>
      <c r="AF163" s="662"/>
      <c r="AG163" s="655"/>
      <c r="AH163" s="662"/>
      <c r="AI163" s="662"/>
      <c r="AJ163" s="663"/>
      <c r="AK163" s="664"/>
      <c r="AL163" s="665" t="e">
        <f t="shared" si="402"/>
        <v>#DIV/0!</v>
      </c>
      <c r="AM163" s="666" t="e">
        <f t="shared" si="403"/>
        <v>#DIV/0!</v>
      </c>
      <c r="AN163" s="666"/>
      <c r="AO163" s="666"/>
      <c r="AP163" s="666"/>
      <c r="AQ163" s="667"/>
      <c r="AR163" s="667"/>
      <c r="AS163" s="667"/>
      <c r="AT163" s="667"/>
      <c r="AU163" s="667"/>
      <c r="AV163" s="666"/>
      <c r="AW163" s="668"/>
      <c r="AX163" s="667"/>
      <c r="AY163" s="666"/>
      <c r="AZ163" s="669"/>
      <c r="BA163" s="655"/>
      <c r="BB163" s="655"/>
      <c r="BC163" s="437" t="e">
        <f t="shared" si="404"/>
        <v>#DIV/0!</v>
      </c>
      <c r="BD163" s="332" t="e">
        <f t="shared" si="405"/>
        <v>#DIV/0!</v>
      </c>
      <c r="BE163" s="334" t="e">
        <f t="shared" si="406"/>
        <v>#DIV/0!</v>
      </c>
      <c r="BF163" s="670"/>
      <c r="BG163" s="670"/>
      <c r="BH163" s="671"/>
      <c r="BI163" s="671"/>
      <c r="BJ163" s="672"/>
      <c r="BK163" s="672"/>
      <c r="BL163" s="673"/>
      <c r="BM163" s="674">
        <f t="shared" si="410"/>
        <v>0</v>
      </c>
      <c r="BN163" s="675" t="s">
        <v>229</v>
      </c>
      <c r="BO163" s="676"/>
      <c r="BP163" s="677"/>
      <c r="BQ163" s="678">
        <f t="shared" si="411"/>
        <v>0</v>
      </c>
      <c r="BR163" s="679"/>
      <c r="BS163" s="676"/>
      <c r="BT163" s="676"/>
      <c r="BU163" s="680"/>
      <c r="BV163" s="150">
        <f t="shared" si="442"/>
        <v>1096</v>
      </c>
      <c r="BW163" s="681"/>
      <c r="BX163" s="150" t="str">
        <f>IF(Tableau6[[#This Row],[Montant des loyers perçus avant 1e échéance]]&lt;BW163,"oui","non")</f>
        <v>non</v>
      </c>
      <c r="BY163" s="682">
        <f t="shared" si="412"/>
        <v>-1475.2666666666667</v>
      </c>
      <c r="BZ163" s="681">
        <f t="shared" si="413"/>
        <v>0</v>
      </c>
      <c r="CA163" s="681">
        <f>IF(BW163-BZ163&lt;0,0,Tableau6[[#This Row],[Montant échéance annuelle]]-Tableau6[[#This Row],[Montant des loyers perçus avant 1e échéance]])</f>
        <v>0</v>
      </c>
      <c r="CB163" s="683"/>
      <c r="CC163" s="684"/>
      <c r="CD163" s="684"/>
      <c r="CE163" s="685" t="str">
        <f t="shared" si="414"/>
        <v>0</v>
      </c>
      <c r="CF163" s="684"/>
      <c r="CG163" s="684"/>
      <c r="CH163" s="685" t="str">
        <f t="shared" si="415"/>
        <v>0</v>
      </c>
      <c r="CI163" s="684"/>
      <c r="CJ163" s="684"/>
      <c r="CK163" s="685" t="str">
        <f t="shared" si="416"/>
        <v>0</v>
      </c>
      <c r="CL163" s="684"/>
      <c r="CM163" s="684"/>
      <c r="CN163" s="685" t="str">
        <f t="shared" si="417"/>
        <v>0</v>
      </c>
      <c r="CO163" s="684"/>
      <c r="CP163" s="684"/>
      <c r="CQ163" s="685" t="str">
        <f t="shared" si="418"/>
        <v>0</v>
      </c>
      <c r="CR163" s="686"/>
      <c r="CS163" s="687"/>
      <c r="CT163" s="688"/>
      <c r="CU163" s="689"/>
      <c r="CV163" s="690" t="str">
        <f t="shared" si="407"/>
        <v>0</v>
      </c>
      <c r="CW163" s="688"/>
      <c r="CX163" s="691">
        <v>44745</v>
      </c>
      <c r="CY163" s="692"/>
      <c r="CZ163" s="693">
        <f t="shared" si="465"/>
        <v>1491.5</v>
      </c>
      <c r="DA163" s="690" t="str">
        <f t="shared" si="426"/>
        <v>0</v>
      </c>
      <c r="DB163" s="383">
        <v>18</v>
      </c>
      <c r="DC163" s="694">
        <f t="shared" si="427"/>
        <v>19</v>
      </c>
      <c r="DD163" s="688"/>
      <c r="DE163" s="695">
        <f t="shared" ca="1" si="428"/>
        <v>43998</v>
      </c>
      <c r="DF163" s="690" t="str">
        <f t="shared" ca="1" si="429"/>
        <v>0</v>
      </c>
      <c r="DG163" s="688"/>
      <c r="DH163" s="696">
        <f t="shared" ca="1" si="477"/>
        <v>43998</v>
      </c>
      <c r="DI163" s="697" t="str">
        <f t="shared" ca="1" si="430"/>
        <v>0</v>
      </c>
      <c r="DJ163" s="698"/>
      <c r="DK163" s="696">
        <f t="shared" ca="1" si="475"/>
        <v>43998</v>
      </c>
      <c r="DL163" s="690" t="str">
        <f t="shared" ca="1" si="431"/>
        <v>0</v>
      </c>
      <c r="DM163" s="695"/>
      <c r="DN163" s="695">
        <f t="shared" ca="1" si="476"/>
        <v>43998</v>
      </c>
      <c r="DO163" s="690" t="str">
        <f t="shared" ca="1" si="432"/>
        <v>0</v>
      </c>
      <c r="DP163" s="699"/>
      <c r="DQ163" s="699"/>
      <c r="DR163" s="690" t="str">
        <f t="shared" si="433"/>
        <v>0</v>
      </c>
      <c r="DS163" s="695"/>
      <c r="DT163" s="695">
        <f t="shared" ca="1" si="434"/>
        <v>43998</v>
      </c>
      <c r="DU163" s="690" t="str">
        <f t="shared" ca="1" si="435"/>
        <v>0</v>
      </c>
      <c r="DV163" s="695"/>
      <c r="DW163" s="695">
        <f t="shared" ca="1" si="436"/>
        <v>43998</v>
      </c>
      <c r="DX163" s="690" t="str">
        <f t="shared" ca="1" si="437"/>
        <v>0</v>
      </c>
      <c r="DY163" s="695"/>
      <c r="DZ163" s="695"/>
      <c r="EA163" s="695"/>
      <c r="EB163" s="700">
        <f t="shared" si="443"/>
        <v>45294</v>
      </c>
      <c r="EC163" s="701">
        <f t="shared" si="469"/>
        <v>45325</v>
      </c>
      <c r="ED163" s="702">
        <f t="shared" si="444"/>
        <v>1.0333333333333334</v>
      </c>
      <c r="EE163" s="703">
        <f t="shared" ca="1" si="438"/>
        <v>44.233333333333334</v>
      </c>
      <c r="EF163" s="701">
        <f t="shared" ca="1" si="470"/>
        <v>44728</v>
      </c>
      <c r="EG163" s="704"/>
      <c r="EH163" s="705"/>
      <c r="EI163" s="706">
        <f t="shared" si="463"/>
        <v>45448</v>
      </c>
      <c r="EJ163" s="707"/>
      <c r="EK163" s="708">
        <f t="shared" si="467"/>
        <v>45325</v>
      </c>
      <c r="EL163" s="701">
        <f>DATE(YEAR(EC163),MONTH(EC163)+1,DAY(EC163))</f>
        <v>45354</v>
      </c>
      <c r="EM163" s="709"/>
      <c r="EN163" s="710">
        <f t="shared" si="466"/>
        <v>0.96666666666666667</v>
      </c>
      <c r="EO163" s="755"/>
      <c r="EP163" s="711">
        <f t="shared" si="445"/>
        <v>0</v>
      </c>
      <c r="EQ163" s="712"/>
      <c r="ER163" s="712"/>
      <c r="ES163" s="745"/>
      <c r="ET163" s="713"/>
      <c r="EU163" s="713"/>
      <c r="EV163" s="713"/>
      <c r="EW163" s="713"/>
      <c r="EX163" s="713"/>
      <c r="EY163" s="714" t="e">
        <f t="shared" si="439"/>
        <v>#DIV/0!</v>
      </c>
      <c r="EZ163" s="715"/>
      <c r="FA163" s="716"/>
      <c r="FB163" s="715"/>
      <c r="FC163" s="715"/>
      <c r="FD163" s="671">
        <f t="shared" ca="1" si="468"/>
        <v>44728</v>
      </c>
      <c r="FE163" s="717"/>
      <c r="FF163" s="717"/>
      <c r="FG163" s="717"/>
      <c r="FH163" s="717"/>
      <c r="FI163" s="717"/>
      <c r="FJ163" s="655"/>
      <c r="FK163" s="718">
        <f t="shared" si="464"/>
        <v>45691</v>
      </c>
      <c r="FL163" s="718"/>
      <c r="FM163" s="718"/>
      <c r="FN163" s="655"/>
      <c r="FO163" s="655"/>
      <c r="FP163" s="655"/>
      <c r="FQ163" s="655"/>
      <c r="FR163" s="655"/>
      <c r="FS163" s="655"/>
      <c r="FT163" s="655"/>
      <c r="FU163" s="655"/>
      <c r="FV163" s="655"/>
      <c r="FW163" s="655"/>
      <c r="FX163" s="655"/>
      <c r="FY163" s="655"/>
      <c r="FZ163" s="655"/>
      <c r="GA163" s="719"/>
      <c r="GB163" s="720">
        <f>GD163+GG163+GJ163+HF163+Tableau6[[#This Row],[PRÊT CREDIT D''IMPOT (PM)]]</f>
        <v>0</v>
      </c>
      <c r="GC163" s="721">
        <f t="shared" si="446"/>
        <v>0</v>
      </c>
      <c r="GD163" s="722">
        <f t="shared" si="459"/>
        <v>0</v>
      </c>
      <c r="GE163" s="723" t="e">
        <f t="shared" si="447"/>
        <v>#DIV/0!</v>
      </c>
      <c r="GF163" s="723" t="e">
        <f t="shared" si="440"/>
        <v>#DIV/0!</v>
      </c>
      <c r="GG163" s="724"/>
      <c r="GH163" s="725"/>
      <c r="GI163" s="723" t="e">
        <f t="shared" si="409"/>
        <v>#DIV/0!</v>
      </c>
      <c r="GJ163" s="724">
        <f t="shared" si="448"/>
        <v>0</v>
      </c>
      <c r="GK163" s="726">
        <f t="shared" si="408"/>
        <v>0</v>
      </c>
      <c r="GL163" s="727"/>
      <c r="GM163" s="727"/>
      <c r="GN163" s="728" t="e">
        <f t="shared" si="449"/>
        <v>#DIV/0!</v>
      </c>
      <c r="GO163" s="726"/>
      <c r="GP163" s="5"/>
      <c r="GQ163" s="726"/>
      <c r="GR163" s="760" t="e">
        <f t="shared" si="450"/>
        <v>#DIV/0!</v>
      </c>
      <c r="GS163" s="726"/>
      <c r="GT163" s="726"/>
      <c r="GU163" s="726"/>
      <c r="GV163" s="723"/>
      <c r="GW163" s="723"/>
      <c r="GX163" s="729"/>
      <c r="GY163" s="729"/>
      <c r="GZ163" s="729"/>
      <c r="HA163" s="729"/>
      <c r="HB163" s="729"/>
      <c r="HC163" s="730"/>
      <c r="HD163" s="729"/>
      <c r="HE163" s="729"/>
      <c r="HF163" s="724"/>
      <c r="HG163" s="731"/>
      <c r="HH163" s="732" t="e">
        <f t="shared" si="420"/>
        <v>#DIV/0!</v>
      </c>
      <c r="HI163" s="731">
        <f t="shared" si="421"/>
        <v>0</v>
      </c>
      <c r="HJ163" s="731" t="e">
        <f t="shared" ca="1" si="422"/>
        <v>#VALUE!</v>
      </c>
      <c r="HK163" s="732" t="e">
        <f t="shared" ca="1" si="423"/>
        <v>#VALUE!</v>
      </c>
      <c r="HL163" s="731"/>
      <c r="HM163" s="731">
        <f t="shared" si="424"/>
        <v>0</v>
      </c>
      <c r="HN163" s="731" t="e">
        <f t="shared" si="425"/>
        <v>#DIV/0!</v>
      </c>
      <c r="HO163" s="731"/>
      <c r="HP163" s="733"/>
      <c r="HQ163" s="734"/>
      <c r="HR163" s="733"/>
      <c r="HS163" s="563">
        <f>SUM(Tableau6[[#This Row],[GO]:[CARRELAGE]])</f>
        <v>0</v>
      </c>
      <c r="HT163" s="735"/>
      <c r="HU163" s="735"/>
      <c r="HV163" s="735"/>
      <c r="HW163" s="735"/>
      <c r="HX163" s="735"/>
      <c r="HY163" s="735"/>
      <c r="HZ163" s="735"/>
      <c r="IA163" s="735"/>
      <c r="IB163" s="735"/>
      <c r="IC163" s="735"/>
      <c r="ID163" s="735"/>
      <c r="IE163" s="735"/>
      <c r="IF163" s="735"/>
      <c r="IG163" s="733"/>
      <c r="IH163" s="733"/>
      <c r="II163" s="563">
        <f>HP163+HR163+Tableau6[[#This Row],[TRAVAUX BATIS]]+Tableau6[[#This Row],[HONORAIRES]]+IH163</f>
        <v>0</v>
      </c>
      <c r="IJ163" s="654">
        <f>Tableau6[[#This Row],[TOTAL PRP HT]]-Tableau6[[#This Row],[PRP TTC HORS FRAFU]]/1.021</f>
        <v>0</v>
      </c>
      <c r="IK163" s="9"/>
      <c r="IL163" s="9"/>
      <c r="IM163" s="9"/>
      <c r="IN163" s="9"/>
      <c r="IO163" s="9"/>
      <c r="IP163" s="9"/>
      <c r="IQ163" s="9"/>
      <c r="IR163" s="9"/>
      <c r="IS163" s="9"/>
      <c r="IT163" s="9"/>
      <c r="IU163" s="9"/>
      <c r="IV163" s="9"/>
    </row>
    <row r="164" spans="1:256">
      <c r="O164" s="70"/>
      <c r="P164" s="70"/>
      <c r="Q164" s="70"/>
      <c r="AC164" s="69"/>
      <c r="AD164" s="15"/>
      <c r="AE164" s="15"/>
      <c r="AW164" s="7"/>
      <c r="AX164" s="7"/>
      <c r="BO164" s="85"/>
      <c r="BP164" s="85"/>
      <c r="BQ164" s="85"/>
      <c r="BR164" s="532"/>
      <c r="BS164" s="85"/>
      <c r="BT164" s="85"/>
      <c r="BU164" s="85"/>
      <c r="BV164" s="85"/>
      <c r="BW164" s="85"/>
      <c r="BX164" s="85"/>
      <c r="BY164" s="85"/>
      <c r="BZ164" s="85"/>
      <c r="CA164" s="85"/>
      <c r="DV164" s="303"/>
      <c r="DW164" s="303"/>
      <c r="DX164" s="7"/>
      <c r="DY164" s="303"/>
      <c r="DZ164" s="303"/>
      <c r="EA164" s="303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56">
      <c r="E165" s="7">
        <f>SUBTOTAL(3,Tableau6[CODE])</f>
        <v>98</v>
      </c>
      <c r="F165" s="7">
        <f>SUBTOTAL(3,Tableau6[RO])</f>
        <v>93</v>
      </c>
      <c r="G165" s="7">
        <f>SUBTOTAL(3,Tableau6[ASSISTANTE])</f>
        <v>82</v>
      </c>
      <c r="H165" s="7">
        <f>SUBTOTAL(3,Tableau6[Avancement])</f>
        <v>108</v>
      </c>
      <c r="I165" s="70"/>
      <c r="J165" s="70"/>
      <c r="K165" s="70"/>
      <c r="L165" s="70"/>
      <c r="M165" s="70"/>
      <c r="N165" s="70"/>
      <c r="O165" s="70"/>
      <c r="P165" s="70"/>
      <c r="Q165" s="70"/>
      <c r="AC165" s="69"/>
      <c r="AD165" s="623">
        <f>SUBTOTAL(9,AD5:AD163)</f>
        <v>5807</v>
      </c>
      <c r="AE165" s="623">
        <f t="shared" ref="AE165:AI165" si="478">SUBTOTAL(9,AE5:AE163)</f>
        <v>4707</v>
      </c>
      <c r="AF165" s="623">
        <f t="shared" si="478"/>
        <v>1281</v>
      </c>
      <c r="AG165" s="623">
        <f t="shared" si="478"/>
        <v>2869</v>
      </c>
      <c r="AH165" s="623">
        <f t="shared" si="478"/>
        <v>557</v>
      </c>
      <c r="AI165" s="623">
        <f t="shared" si="478"/>
        <v>1100</v>
      </c>
      <c r="AW165" s="7"/>
      <c r="AX165" s="7"/>
      <c r="BO165" s="85"/>
      <c r="BP165" s="85"/>
      <c r="BQ165" s="85"/>
      <c r="BR165" s="532"/>
      <c r="BS165" s="85"/>
      <c r="BT165" s="85"/>
      <c r="BU165" s="85"/>
      <c r="BV165" s="85"/>
      <c r="BW165" s="85"/>
      <c r="BX165" s="85"/>
      <c r="BY165" s="85"/>
      <c r="BZ165" s="85"/>
      <c r="CA165" s="85"/>
      <c r="DV165" s="303"/>
      <c r="DW165" s="303"/>
      <c r="DX165" s="7"/>
      <c r="DY165" s="303"/>
      <c r="DZ165" s="303"/>
      <c r="EA165" s="303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56" ht="15" thickBot="1">
      <c r="O166" s="70"/>
      <c r="P166" s="70"/>
      <c r="Q166" s="70"/>
      <c r="AC166" s="69"/>
      <c r="AD166" s="623"/>
      <c r="AE166" s="15"/>
      <c r="AF166" s="413"/>
      <c r="AW166" s="7"/>
      <c r="AX166" s="7"/>
      <c r="BO166" s="85"/>
      <c r="BP166" s="85"/>
      <c r="BQ166" s="85"/>
      <c r="BR166" s="532"/>
      <c r="BS166" s="85"/>
      <c r="BT166" s="85"/>
      <c r="BU166" s="85"/>
      <c r="BV166" s="85"/>
      <c r="BW166" s="85"/>
      <c r="BX166" s="85"/>
      <c r="BY166" s="85"/>
      <c r="BZ166" s="85"/>
      <c r="CA166" s="85"/>
      <c r="DV166" s="303"/>
      <c r="DW166" s="303"/>
      <c r="DX166" s="7"/>
      <c r="DY166" s="303"/>
      <c r="DZ166" s="303"/>
      <c r="EA166" s="303"/>
      <c r="EL166" s="414">
        <v>44377</v>
      </c>
      <c r="GB166" s="831">
        <f t="shared" ref="GB166:GF166" si="479">SUBTOTAL(9,GB8:GB127)</f>
        <v>602823859.56572735</v>
      </c>
      <c r="GC166" s="831">
        <f t="shared" si="479"/>
        <v>570339818.97707582</v>
      </c>
      <c r="GD166" s="831">
        <f>SUBTOTAL(9,GD8:GD163)</f>
        <v>63124782.760275014</v>
      </c>
      <c r="GE166" s="831" t="e">
        <f t="shared" si="479"/>
        <v>#DIV/0!</v>
      </c>
      <c r="GF166" s="831" t="e">
        <f t="shared" si="479"/>
        <v>#REF!</v>
      </c>
      <c r="GG166" s="831">
        <f>SUBTOTAL(9,GG8:GG163)</f>
        <v>172796030.43655896</v>
      </c>
      <c r="GK166"/>
      <c r="GL166"/>
      <c r="GM166"/>
      <c r="GN166"/>
      <c r="GO166"/>
      <c r="GP166" s="815">
        <f>SUBTOTAL(9,GP22:GP113)</f>
        <v>44453570.560000002</v>
      </c>
      <c r="GQ166" s="815"/>
      <c r="GR166" s="815"/>
      <c r="GS166" s="815"/>
      <c r="GT166" s="815"/>
      <c r="GU166" s="815">
        <f t="shared" ref="GU166" si="480">SUM(GU11:GU106)</f>
        <v>2320216.6402750113</v>
      </c>
      <c r="GV166"/>
      <c r="GW166"/>
      <c r="GX166"/>
      <c r="GY166"/>
      <c r="GZ166"/>
      <c r="HA166"/>
      <c r="HB166"/>
      <c r="HC166"/>
      <c r="HD166"/>
      <c r="HE166"/>
      <c r="HF166"/>
      <c r="II166" s="432"/>
    </row>
    <row r="167" spans="1:256" ht="15" thickBot="1">
      <c r="B167" s="139"/>
      <c r="C167" s="187" t="s">
        <v>139</v>
      </c>
      <c r="D167" s="187" t="s">
        <v>860</v>
      </c>
      <c r="E167" s="187" t="s">
        <v>450</v>
      </c>
      <c r="F167" s="188" t="s">
        <v>586</v>
      </c>
      <c r="G167" s="188" t="s">
        <v>138</v>
      </c>
      <c r="H167" s="188" t="s">
        <v>137</v>
      </c>
      <c r="I167" s="188" t="s">
        <v>329</v>
      </c>
      <c r="O167" s="70"/>
      <c r="P167" s="70"/>
      <c r="Q167" s="70"/>
      <c r="AC167" s="69"/>
      <c r="AD167" s="15"/>
      <c r="AE167" s="15"/>
      <c r="AW167" s="7"/>
      <c r="AX167" s="7"/>
      <c r="BD167" s="775">
        <f>2100/1.021</f>
        <v>2056.8070519098924</v>
      </c>
      <c r="BO167" s="85"/>
      <c r="BP167" s="85"/>
      <c r="BQ167" s="85"/>
      <c r="BR167" s="532"/>
      <c r="BS167" s="85"/>
      <c r="BT167" s="85"/>
      <c r="BU167" s="85"/>
      <c r="BV167" s="85"/>
      <c r="BW167" s="85"/>
      <c r="BX167" s="85"/>
      <c r="BY167" s="85"/>
      <c r="BZ167" s="85"/>
      <c r="CA167" s="85"/>
      <c r="DV167" s="303"/>
      <c r="DW167" s="303"/>
      <c r="DX167" s="7"/>
      <c r="DY167" s="303"/>
      <c r="DZ167" s="303"/>
      <c r="EA167" s="303"/>
      <c r="EL167" s="414">
        <v>44226</v>
      </c>
      <c r="GI167" s="68"/>
      <c r="GK167"/>
      <c r="GL167"/>
      <c r="GM167"/>
      <c r="GN167"/>
      <c r="GO167"/>
      <c r="GP167" s="1">
        <f>GP166-GP107-GP109-GP112-GP113</f>
        <v>41262570.560000002</v>
      </c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56">
      <c r="B168" s="186"/>
      <c r="C168" s="193" cm="1">
        <f t="array" ref="C168">SUMPRODUCT((Tableau6[RO]=$B$168)*(Tableau6[ASSISTANTE]=C167)*(Tableau6[Avancement]&lt;&gt;"patrimoine")*(Tableau6[Avancement]&lt;&gt;"stand by"))</f>
        <v>0</v>
      </c>
      <c r="D168" s="193" cm="1">
        <f t="array" ref="D168">SUMPRODUCT((Tableau6[RO]=B168)*(Tableau6[ASSISTANTE]=$D$167)*(Tableau6[Avancement]&lt;&gt;"patrimoine")*(Tableau6[Avancement]&lt;&gt;"stand by"))</f>
        <v>0</v>
      </c>
      <c r="E168" s="193" cm="1">
        <f t="array" ref="E168">SUMPRODUCT((Tableau6[RO]=B168)*(Tableau6[ASSISTANTE]=$E$167)*(Tableau6[Avancement]&lt;&gt;"patrimoine")*(Tableau6[Avancement]&lt;&gt;"stand by"))</f>
        <v>0</v>
      </c>
      <c r="F168" s="193" cm="1">
        <f t="array" ref="F168">SUMPRODUCT((Tableau6[RO]=B168)*(Tableau6[ASSISTANTE]=$F$167)*(Tableau6[Avancement]&lt;&gt;"patrimoine")*(Tableau6[Avancement]&lt;&gt;"stand by"))</f>
        <v>0</v>
      </c>
      <c r="G168" s="194" cm="1">
        <f t="array" ref="G168">SUMPRODUCT((Tableau6[RO]=B168)*(Tableau6[ASSISTANTE]=$G$167)*(Tableau6[Avancement]&lt;&gt;"patrimoine")*(Tableau6[Avancement]&lt;&gt;"stand by"))</f>
        <v>0</v>
      </c>
      <c r="H168" s="193" cm="1">
        <f t="array" ref="H168">SUMPRODUCT((Tableau6[RO]=B168)*(Tableau6[ASSISTANTE]=$H$167)*(Tableau6[Avancement]&lt;&gt;"patrimoine")*(Tableau6[Avancement]&lt;&gt;"stand by"))</f>
        <v>0</v>
      </c>
      <c r="I168" s="193" cm="1">
        <f t="array" ref="I168">SUMPRODUCT((Tableau6[RO]=B168)*(Tableau6[ASSISTANTE]=$I$167)*(Tableau6[Avancement]&lt;&gt;"patrimoine")*(Tableau6[Avancement]&lt;&gt;"stand by"))</f>
        <v>0</v>
      </c>
      <c r="O168" s="70"/>
      <c r="P168" s="70"/>
      <c r="Q168" s="70"/>
      <c r="AC168" s="69"/>
      <c r="AD168" s="15"/>
      <c r="AE168" s="15"/>
      <c r="AW168" s="7"/>
      <c r="AX168" s="7"/>
      <c r="BO168" s="85"/>
      <c r="BP168" s="85"/>
      <c r="BQ168" s="85"/>
      <c r="BR168" s="532"/>
      <c r="BS168" s="85"/>
      <c r="BT168" s="85"/>
      <c r="BU168" s="85"/>
      <c r="BV168" s="85"/>
      <c r="BW168" s="85"/>
      <c r="BX168" s="85"/>
      <c r="BY168" s="85"/>
      <c r="BZ168" s="85"/>
      <c r="CA168" s="85"/>
      <c r="DV168" s="303"/>
      <c r="DW168" s="303"/>
      <c r="DX168" s="7"/>
      <c r="DY168" s="303"/>
      <c r="DZ168" s="303"/>
      <c r="EA168" s="303"/>
      <c r="EL168" s="414">
        <v>44256</v>
      </c>
      <c r="GI168" s="72"/>
      <c r="GK168"/>
      <c r="GL168"/>
      <c r="GM168"/>
      <c r="GN168"/>
      <c r="GO168" s="533" t="s">
        <v>956</v>
      </c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56">
      <c r="B169" s="191" t="s">
        <v>113</v>
      </c>
      <c r="C169" s="479" cm="1">
        <f t="array" ref="C169">SUMPRODUCT((Tableau6[RO]=B169)*(Tableau6[ASSISTANTE]=$C$167)*(Tableau6[Avancement]&lt;&gt;"patrimoine")*(Tableau6[Avancement]&lt;&gt;"stand by"))</f>
        <v>1</v>
      </c>
      <c r="D169" s="194" cm="1">
        <f t="array" ref="D169">SUMPRODUCT((Tableau6[RO]=B169)*(Tableau6[ASSISTANTE]=$D$167)*(Tableau6[Avancement]&lt;&gt;"patrimoine")*(Tableau6[Avancement]&lt;&gt;"stand by"))</f>
        <v>0</v>
      </c>
      <c r="E169" s="194" cm="1">
        <f t="array" ref="E169">SUMPRODUCT((Tableau6[RO]=B169)*(Tableau6[ASSISTANTE]=$E$167)*(Tableau6[Avancement]&lt;&gt;"patrimoine")*(Tableau6[Avancement]&lt;&gt;"stand by"))</f>
        <v>0</v>
      </c>
      <c r="F169" s="194" cm="1">
        <f t="array" ref="F169">SUMPRODUCT((Tableau6[RO]=B169)*(Tableau6[ASSISTANTE]=$F$167)*(Tableau6[Avancement]&lt;&gt;"patrimoine")*(Tableau6[Avancement]&lt;&gt;"stand by"))</f>
        <v>0</v>
      </c>
      <c r="G169" s="194" cm="1">
        <f t="array" ref="G169">SUMPRODUCT((Tableau6[RO]=B169)*(Tableau6[ASSISTANTE]=$G$167)*(Tableau6[Avancement]&lt;&gt;"patrimoine")*(Tableau6[Avancement]&lt;&gt;"stand by"))</f>
        <v>0</v>
      </c>
      <c r="H169" s="194" cm="1">
        <f t="array" ref="H169">SUMPRODUCT((Tableau6[RO]=B169)*(Tableau6[ASSISTANTE]=$H$167)*(Tableau6[Avancement]&lt;&gt;"patrimoine")*(Tableau6[Avancement]&lt;&gt;"stand by"))</f>
        <v>2</v>
      </c>
      <c r="I169" s="194" cm="1">
        <f t="array" ref="I169">SUMPRODUCT((Tableau6[RO]=B169)*(Tableau6[ASSISTANTE]=$I$167)*(Tableau6[Avancement]&lt;&gt;"patrimoine")*(Tableau6[Avancement]&lt;&gt;"stand by"))</f>
        <v>0</v>
      </c>
      <c r="O169" s="70"/>
      <c r="P169" s="70"/>
      <c r="Q169" s="70"/>
      <c r="AC169" s="69"/>
      <c r="AD169" s="15"/>
      <c r="AE169" s="15"/>
      <c r="AW169" s="7"/>
      <c r="AX169" s="7"/>
      <c r="BO169" s="85"/>
      <c r="BP169" s="85"/>
      <c r="BQ169" s="85"/>
      <c r="BR169" s="532"/>
      <c r="BS169" s="85"/>
      <c r="BT169" s="85"/>
      <c r="BU169" s="85"/>
      <c r="BV169" s="85"/>
      <c r="BW169" s="85"/>
      <c r="BX169" s="85"/>
      <c r="BY169" s="85"/>
      <c r="BZ169" s="85"/>
      <c r="CA169" s="85"/>
      <c r="DV169" s="303"/>
      <c r="DW169" s="303"/>
      <c r="DX169" s="7"/>
      <c r="DY169" s="303"/>
      <c r="DZ169" s="303"/>
      <c r="EA169" s="303"/>
      <c r="EL169" s="414">
        <v>44346</v>
      </c>
      <c r="GI169" s="72"/>
      <c r="GK169" s="428" t="s">
        <v>835</v>
      </c>
      <c r="GL169" s="427">
        <v>21</v>
      </c>
      <c r="GM169" s="35">
        <v>693000.63</v>
      </c>
      <c r="GN169"/>
      <c r="GO169" s="811">
        <f>GM169/GL169</f>
        <v>33000.03</v>
      </c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56">
      <c r="B170" s="191" t="s">
        <v>686</v>
      </c>
      <c r="C170" s="194" cm="1">
        <f t="array" ref="C170">SUMPRODUCT((Tableau6[RO]=B170)*(Tableau6[ASSISTANTE]=$C$167)*(Tableau6[Avancement]&lt;&gt;"patrimoine")*(Tableau6[Avancement]&lt;&gt;"stand by"))</f>
        <v>0</v>
      </c>
      <c r="D170" s="194" cm="1">
        <f t="array" ref="D170">SUMPRODUCT((Tableau6[RO]=B170)*(Tableau6[ASSISTANTE]=$D$167)*(Tableau6[Avancement]&lt;&gt;"patrimoine")*(Tableau6[Avancement]&lt;&gt;"stand by"))</f>
        <v>2</v>
      </c>
      <c r="E170" s="194" cm="1">
        <f t="array" ref="E170">SUMPRODUCT((Tableau6[RO]=B170)*(Tableau6[ASSISTANTE]=$E$167)*(Tableau6[Avancement]&lt;&gt;"patrimoine")*(Tableau6[Avancement]&lt;&gt;"stand by"))</f>
        <v>2</v>
      </c>
      <c r="F170" s="194" cm="1">
        <f t="array" ref="F170">SUMPRODUCT((Tableau6[RO]=B170)*(Tableau6[ASSISTANTE]=$F$167)*(Tableau6[Avancement]&lt;&gt;"patrimoine")*(Tableau6[Avancement]&lt;&gt;"stand by"))</f>
        <v>1</v>
      </c>
      <c r="G170" s="194" cm="1">
        <f t="array" ref="G170">SUMPRODUCT((Tableau6[RO]=B170)*(Tableau6[ASSISTANTE]=$G$167)*(Tableau6[Avancement]&lt;&gt;"patrimoine")*(Tableau6[Avancement]&lt;&gt;"stand by"))</f>
        <v>0</v>
      </c>
      <c r="H170" s="194" cm="1">
        <f t="array" ref="H170">SUMPRODUCT((Tableau6[RO]=B170)*(Tableau6[ASSISTANTE]=$H$167)*(Tableau6[Avancement]&lt;&gt;"patrimoine")*(Tableau6[Avancement]&lt;&gt;"stand by"))</f>
        <v>0</v>
      </c>
      <c r="I170" s="194" cm="1">
        <f t="array" ref="I170">SUMPRODUCT((Tableau6[RO]=B170)*(Tableau6[ASSISTANTE]=$I$167)*(Tableau6[Avancement]&lt;&gt;"patrimoine")*(Tableau6[Avancement]&lt;&gt;"stand by"))</f>
        <v>2</v>
      </c>
      <c r="O170" s="70"/>
      <c r="P170" s="70"/>
      <c r="Q170" s="70"/>
      <c r="AC170" s="69"/>
      <c r="AD170" s="15"/>
      <c r="AE170" s="15"/>
      <c r="AW170" s="7"/>
      <c r="AX170" s="7"/>
      <c r="BO170" s="85"/>
      <c r="BP170" s="85"/>
      <c r="BQ170" s="85"/>
      <c r="BR170" s="532"/>
      <c r="BS170" s="85"/>
      <c r="BT170" s="85"/>
      <c r="BU170" s="85"/>
      <c r="BV170" s="85"/>
      <c r="BW170" s="85"/>
      <c r="BX170" s="85"/>
      <c r="BY170" s="85"/>
      <c r="BZ170" s="85"/>
      <c r="CA170" s="85"/>
      <c r="DV170" s="303"/>
      <c r="DW170" s="303"/>
      <c r="DX170" s="7"/>
      <c r="DY170" s="303"/>
      <c r="DZ170" s="303"/>
      <c r="EA170" s="303"/>
      <c r="GD170" s="831">
        <f>GD166+GG166</f>
        <v>235920813.19683397</v>
      </c>
      <c r="GI170" s="74"/>
      <c r="GK170" s="43" t="s">
        <v>877</v>
      </c>
      <c r="GL170" s="427">
        <v>13</v>
      </c>
      <c r="GM170" s="35">
        <v>260000</v>
      </c>
      <c r="GN170" s="321" t="s">
        <v>293</v>
      </c>
      <c r="GO170" s="811">
        <f t="shared" ref="GO170:GO180" si="481">GM170/GL170</f>
        <v>20000</v>
      </c>
      <c r="GP170" s="68"/>
      <c r="GQ170" s="68"/>
      <c r="GR170" s="68"/>
      <c r="GS170" s="71"/>
      <c r="GT170" s="71"/>
      <c r="GU170" s="68"/>
      <c r="GV170" s="132" t="e">
        <f>GS170/#REF!</f>
        <v>#REF!</v>
      </c>
      <c r="GW170" s="7"/>
    </row>
    <row r="171" spans="1:256">
      <c r="B171" s="191" t="s">
        <v>16</v>
      </c>
      <c r="C171" s="479" cm="1">
        <f t="array" ref="C171">SUMPRODUCT((Tableau6[RO]=B171)*(Tableau6[ASSISTANTE]=$C$167)*(Tableau6[Avancement]&lt;&gt;"patrimoine")*(Tableau6[Avancement]&lt;&gt;"stand by"))</f>
        <v>1</v>
      </c>
      <c r="D171" s="194" cm="1">
        <f t="array" ref="D171">SUMPRODUCT((Tableau6[RO]=B171)*(Tableau6[ASSISTANTE]=$D$167)*(Tableau6[Avancement]&lt;&gt;"patrimoine")*(Tableau6[Avancement]&lt;&gt;"stand by"))</f>
        <v>1</v>
      </c>
      <c r="E171" s="194" cm="1">
        <f t="array" ref="E171">SUMPRODUCT((Tableau6[RO]=B171)*(Tableau6[ASSISTANTE]=$E$167)*(Tableau6[Avancement]&lt;&gt;"patrimoine")*(Tableau6[Avancement]&lt;&gt;"stand by"))</f>
        <v>1</v>
      </c>
      <c r="F171" s="194" cm="1">
        <f t="array" ref="F171">SUMPRODUCT((Tableau6[RO]=B171)*(Tableau6[ASSISTANTE]=$F$167)*(Tableau6[Avancement]&lt;&gt;"patrimoine")*(Tableau6[Avancement]&lt;&gt;"stand by"))</f>
        <v>2</v>
      </c>
      <c r="G171" s="194" cm="1">
        <f t="array" ref="G171">SUMPRODUCT((Tableau6[RO]=B171)*(Tableau6[ASSISTANTE]=$G$167)*(Tableau6[Avancement]&lt;&gt;"patrimoine")*(Tableau6[Avancement]&lt;&gt;"stand by"))</f>
        <v>0</v>
      </c>
      <c r="H171" s="194" cm="1">
        <f t="array" ref="H171">SUMPRODUCT((Tableau6[RO]=B171)*(Tableau6[ASSISTANTE]=$H$167)*(Tableau6[Avancement]&lt;&gt;"patrimoine")*(Tableau6[Avancement]&lt;&gt;"stand by"))</f>
        <v>1</v>
      </c>
      <c r="I171" s="194" cm="1">
        <f t="array" ref="I171">SUMPRODUCT((Tableau6[RO]=B171)*(Tableau6[ASSISTANTE]=$I$167)*(Tableau6[Avancement]&lt;&gt;"patrimoine")*(Tableau6[Avancement]&lt;&gt;"stand by"))</f>
        <v>3</v>
      </c>
      <c r="O171" s="70"/>
      <c r="P171" s="70"/>
      <c r="Q171" s="70"/>
      <c r="AC171" s="69"/>
      <c r="AD171" s="15"/>
      <c r="AE171" s="15"/>
      <c r="BH171" s="17"/>
      <c r="BI171" s="17"/>
      <c r="CR171" s="17"/>
      <c r="CX171" s="17"/>
      <c r="CY171" s="17"/>
      <c r="CZ171" s="17"/>
      <c r="DB171" s="116"/>
      <c r="DC171" s="17"/>
      <c r="DV171" s="303"/>
      <c r="DW171" s="303"/>
      <c r="DX171" s="7"/>
      <c r="DY171" s="303"/>
      <c r="DZ171" s="303"/>
      <c r="EA171" s="303"/>
      <c r="EB171" s="17"/>
      <c r="EC171" s="17"/>
      <c r="ED171" s="17"/>
      <c r="EE171" s="506"/>
      <c r="EF171" s="17"/>
      <c r="EG171" s="17"/>
      <c r="EH171" s="17"/>
      <c r="EI171" s="17"/>
      <c r="EJ171" s="17"/>
      <c r="EK171" s="17"/>
      <c r="EL171" s="17"/>
      <c r="EM171" s="174"/>
      <c r="EN171" s="17"/>
      <c r="EO171" s="17"/>
      <c r="EP171" s="17"/>
      <c r="EQ171" s="17"/>
      <c r="ER171" s="748"/>
      <c r="ES171" s="116"/>
      <c r="FE171" s="17"/>
      <c r="FF171" s="17"/>
      <c r="FG171" s="17"/>
      <c r="FH171" s="17"/>
      <c r="FI171" s="17"/>
      <c r="FJ171" s="17"/>
      <c r="FK171" s="17"/>
      <c r="FL171" s="17"/>
      <c r="FM171" s="17"/>
      <c r="FN171" s="17"/>
      <c r="FO171" s="17"/>
      <c r="FP171" s="17"/>
      <c r="FQ171" s="17"/>
      <c r="FR171" s="17"/>
      <c r="FS171" s="17"/>
      <c r="FT171" s="17"/>
      <c r="FU171" s="17"/>
      <c r="FV171" s="17"/>
      <c r="FW171" s="17"/>
      <c r="FX171" s="17"/>
      <c r="FY171" s="17"/>
      <c r="FZ171" s="17"/>
      <c r="GK171" s="43" t="s">
        <v>881</v>
      </c>
      <c r="GL171" s="427">
        <v>79</v>
      </c>
      <c r="GM171" s="35">
        <v>2325000</v>
      </c>
      <c r="GO171" s="811">
        <f t="shared" si="481"/>
        <v>29430.379746835442</v>
      </c>
      <c r="GP171" s="7"/>
      <c r="GQ171" s="7"/>
      <c r="GR171" s="7"/>
      <c r="GS171" s="7"/>
      <c r="GT171" s="7"/>
      <c r="GU171" s="74"/>
      <c r="GV171" s="73"/>
      <c r="GW171" s="73"/>
      <c r="GX171" s="68"/>
      <c r="GY171" s="68"/>
      <c r="GZ171" s="68"/>
      <c r="HA171" s="68"/>
      <c r="HB171" s="68"/>
      <c r="HC171" s="68"/>
      <c r="HD171" s="68"/>
      <c r="HE171" s="68"/>
    </row>
    <row r="172" spans="1:256">
      <c r="B172" s="191" t="s">
        <v>870</v>
      </c>
      <c r="C172" s="479" cm="1">
        <f t="array" ref="C172">SUMPRODUCT((Tableau6[RO]=B172)*(Tableau6[ASSISTANTE]=$C$167)*(Tableau6[Avancement]&lt;&gt;"patrimoine")*(Tableau6[Avancement]&lt;&gt;"stand by"))</f>
        <v>3</v>
      </c>
      <c r="D172" s="194" cm="1">
        <f t="array" ref="D172">SUMPRODUCT((Tableau6[RO]=B172)*(Tableau6[ASSISTANTE]=$D$167)*(Tableau6[Avancement]&lt;&gt;"patrimoine")*(Tableau6[Avancement]&lt;&gt;"stand by"))</f>
        <v>1</v>
      </c>
      <c r="E172" s="194" cm="1">
        <f t="array" ref="E172">SUMPRODUCT((Tableau6[RO]=B172)*(Tableau6[ASSISTANTE]=$E$167)*(Tableau6[Avancement]&lt;&gt;"patrimoine")*(Tableau6[Avancement]&lt;&gt;"stand by"))</f>
        <v>1</v>
      </c>
      <c r="F172" s="194" cm="1">
        <f t="array" ref="F172">SUMPRODUCT((Tableau6[RO]=B172)*(Tableau6[ASSISTANTE]=$F$167)*(Tableau6[Avancement]&lt;&gt;"patrimoine")*(Tableau6[Avancement]&lt;&gt;"stand by"))</f>
        <v>0</v>
      </c>
      <c r="G172" s="194" cm="1">
        <f t="array" ref="G172">SUMPRODUCT((Tableau6[RO]=B172)*(Tableau6[ASSISTANTE]=$G$167)*(Tableau6[Avancement]&lt;&gt;"patrimoine")*(Tableau6[Avancement]&lt;&gt;"stand by"))</f>
        <v>0</v>
      </c>
      <c r="H172" s="194" cm="1">
        <f t="array" ref="H172">SUMPRODUCT((Tableau6[RO]=B172)*(Tableau6[ASSISTANTE]=$H$167)*(Tableau6[Avancement]&lt;&gt;"patrimoine")*(Tableau6[Avancement]&lt;&gt;"stand by"))</f>
        <v>0</v>
      </c>
      <c r="I172" s="194" cm="1">
        <f t="array" ref="I172">SUMPRODUCT((Tableau6[RO]=B172)*(Tableau6[ASSISTANTE]=$I$167)*(Tableau6[Avancement]&lt;&gt;"patrimoine")*(Tableau6[Avancement]&lt;&gt;"stand by"))</f>
        <v>3</v>
      </c>
      <c r="DV172" s="303"/>
      <c r="DW172" s="303"/>
      <c r="DX172" s="7"/>
      <c r="DY172" s="303"/>
      <c r="DZ172" s="303"/>
      <c r="EA172" s="303"/>
      <c r="GK172" s="428" t="s">
        <v>836</v>
      </c>
      <c r="GL172" s="427">
        <v>11</v>
      </c>
      <c r="GM172" s="35">
        <v>321999.37</v>
      </c>
      <c r="GO172" s="811">
        <f t="shared" si="481"/>
        <v>29272.67</v>
      </c>
      <c r="GP172" s="7"/>
      <c r="GQ172" s="7"/>
      <c r="GR172" s="7"/>
      <c r="GS172" s="7"/>
      <c r="GT172" s="7"/>
      <c r="GU172" s="74"/>
      <c r="GV172" s="73"/>
      <c r="GW172" s="73"/>
      <c r="GX172" s="68"/>
      <c r="GY172" s="68"/>
      <c r="GZ172" s="68"/>
      <c r="HA172" s="68"/>
      <c r="HB172" s="68"/>
      <c r="HC172" s="68"/>
      <c r="HD172" s="68"/>
      <c r="HE172" s="68"/>
    </row>
    <row r="173" spans="1:256">
      <c r="B173" s="191" t="s">
        <v>834</v>
      </c>
      <c r="C173" s="479" cm="1">
        <f t="array" ref="C173">SUMPRODUCT((Tableau6[RO]=B173)*(Tableau6[ASSISTANTE]=$C$167)*(Tableau6[Avancement]&lt;&gt;"patrimoine")*(Tableau6[Avancement]&lt;&gt;"stand by"))</f>
        <v>1</v>
      </c>
      <c r="D173" s="194" cm="1">
        <f t="array" ref="D173">SUMPRODUCT((Tableau6[RO]=B173)*(Tableau6[ASSISTANTE]=$D$167)*(Tableau6[Avancement]&lt;&gt;"patrimoine")*(Tableau6[Avancement]&lt;&gt;"stand by"))</f>
        <v>0</v>
      </c>
      <c r="E173" s="194" cm="1">
        <f t="array" ref="E173">SUMPRODUCT((Tableau6[RO]=B173)*(Tableau6[ASSISTANTE]=$E$167)*(Tableau6[Avancement]&lt;&gt;"patrimoine")*(Tableau6[Avancement]&lt;&gt;"stand by"))</f>
        <v>0</v>
      </c>
      <c r="F173" s="194" cm="1">
        <f t="array" ref="F173">SUMPRODUCT((Tableau6[RO]=B173)*(Tableau6[ASSISTANTE]=$F$167)*(Tableau6[Avancement]&lt;&gt;"patrimoine")*(Tableau6[Avancement]&lt;&gt;"stand by"))</f>
        <v>1</v>
      </c>
      <c r="G173" s="194" cm="1">
        <f t="array" ref="G173">SUMPRODUCT((Tableau6[RO]=B173)*(Tableau6[ASSISTANTE]=$G$167)*(Tableau6[Avancement]&lt;&gt;"patrimoine")*(Tableau6[Avancement]&lt;&gt;"stand by"))</f>
        <v>1</v>
      </c>
      <c r="H173" s="194" cm="1">
        <f t="array" ref="H173">SUMPRODUCT((Tableau6[RO]=B173)*(Tableau6[ASSISTANTE]=$H$167)*(Tableau6[Avancement]&lt;&gt;"patrimoine")*(Tableau6[Avancement]&lt;&gt;"stand by"))</f>
        <v>0</v>
      </c>
      <c r="I173" s="194" cm="1">
        <f t="array" ref="I173">SUMPRODUCT((Tableau6[RO]=B173)*(Tableau6[ASSISTANTE]=$I$167)*(Tableau6[Avancement]&lt;&gt;"patrimoine")*(Tableau6[Avancement]&lt;&gt;"stand by"))</f>
        <v>1</v>
      </c>
      <c r="DV173" s="303"/>
      <c r="DW173" s="303"/>
      <c r="DX173" s="7"/>
      <c r="DY173" s="303"/>
      <c r="DZ173" s="303"/>
      <c r="EA173" s="303"/>
      <c r="GK173" s="810" t="s">
        <v>707</v>
      </c>
      <c r="GL173" s="427">
        <v>16</v>
      </c>
      <c r="GM173" s="35">
        <v>600000</v>
      </c>
      <c r="GO173" s="811">
        <f t="shared" si="481"/>
        <v>37500</v>
      </c>
      <c r="GP173" s="7"/>
      <c r="GQ173" s="7"/>
      <c r="GR173" s="7"/>
      <c r="GS173" s="7"/>
      <c r="GT173" s="7"/>
      <c r="GU173" s="74"/>
      <c r="GV173" s="73"/>
      <c r="GW173" s="73"/>
      <c r="GX173" s="68"/>
      <c r="GY173" s="68"/>
      <c r="GZ173" s="68"/>
      <c r="HA173" s="68"/>
      <c r="HB173" s="68"/>
      <c r="HC173" s="68"/>
      <c r="HD173" s="68"/>
      <c r="HE173" s="68"/>
    </row>
    <row r="174" spans="1:256">
      <c r="B174" s="191" t="s">
        <v>40</v>
      </c>
      <c r="C174" s="479" cm="1">
        <f t="array" ref="C174">SUMPRODUCT((Tableau6[RO]=B174)*(Tableau6[ASSISTANTE]=$C$167)*(Tableau6[Avancement]&lt;&gt;"patrimoine")*(Tableau6[Avancement]&lt;&gt;"stand by"))</f>
        <v>1</v>
      </c>
      <c r="D174" s="194" cm="1">
        <f t="array" ref="D174">SUMPRODUCT((Tableau6[RO]=B174)*(Tableau6[ASSISTANTE]=$D$167)*(Tableau6[Avancement]&lt;&gt;"patrimoine")*(Tableau6[Avancement]&lt;&gt;"stand by"))</f>
        <v>0</v>
      </c>
      <c r="E174" s="194" cm="1">
        <f t="array" ref="E174">SUMPRODUCT((Tableau6[RO]=B174)*(Tableau6[ASSISTANTE]=$E$167)*(Tableau6[Avancement]&lt;&gt;"patrimoine")*(Tableau6[Avancement]&lt;&gt;"stand by"))</f>
        <v>2</v>
      </c>
      <c r="F174" s="194" cm="1">
        <f t="array" ref="F174">SUMPRODUCT((Tableau6[RO]=B174)*(Tableau6[ASSISTANTE]=$F$167)*(Tableau6[Avancement]&lt;&gt;"patrimoine")*(Tableau6[Avancement]&lt;&gt;"stand by"))</f>
        <v>2</v>
      </c>
      <c r="G174" s="194" cm="1">
        <f t="array" ref="G174">SUMPRODUCT((Tableau6[RO]=B174)*(Tableau6[ASSISTANTE]=$G$167)*(Tableau6[Avancement]&lt;&gt;"patrimoine")*(Tableau6[Avancement]&lt;&gt;"stand by"))</f>
        <v>0</v>
      </c>
      <c r="H174" s="194" cm="1">
        <f t="array" ref="H174">SUMPRODUCT((Tableau6[RO]=B174)*(Tableau6[ASSISTANTE]=$H$167)*(Tableau6[Avancement]&lt;&gt;"patrimoine")*(Tableau6[Avancement]&lt;&gt;"stand by"))</f>
        <v>1</v>
      </c>
      <c r="I174" s="194" cm="1">
        <f t="array" ref="I174">SUMPRODUCT((Tableau6[RO]=B174)*(Tableau6[ASSISTANTE]=$I$167)*(Tableau6[Avancement]&lt;&gt;"patrimoine")*(Tableau6[Avancement]&lt;&gt;"stand by"))</f>
        <v>1</v>
      </c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AW174" s="7"/>
      <c r="AX174" s="7"/>
      <c r="BO174" s="85"/>
      <c r="DV174" s="303"/>
      <c r="DW174" s="303"/>
      <c r="DX174" s="7"/>
      <c r="DY174" s="303"/>
      <c r="DZ174" s="303"/>
      <c r="EA174" s="303"/>
      <c r="GH174" s="73"/>
      <c r="GI174" s="73"/>
      <c r="GK174" s="810" t="s">
        <v>706</v>
      </c>
      <c r="GL174" s="427">
        <v>25</v>
      </c>
      <c r="GM174" s="35">
        <v>907000</v>
      </c>
      <c r="GN174" s="321"/>
      <c r="GO174" s="811">
        <f t="shared" si="481"/>
        <v>36280</v>
      </c>
      <c r="GP174" s="68"/>
      <c r="GQ174" s="68"/>
      <c r="GR174" s="68"/>
      <c r="GS174" s="68"/>
      <c r="GT174" s="68"/>
      <c r="GU174" s="68"/>
      <c r="GV174" s="68"/>
      <c r="GW174" s="68"/>
    </row>
    <row r="175" spans="1:256" ht="15" thickBot="1">
      <c r="B175" s="189" t="s">
        <v>301</v>
      </c>
      <c r="C175" s="479" cm="1">
        <f t="array" ref="C175">SUMPRODUCT((Tableau6[RO]=B175)*(Tableau6[ASSISTANTE]=$C$167)*(Tableau6[Avancement]&lt;&gt;"patrimoine")*(Tableau6[Avancement]&lt;&gt;"stand by"))</f>
        <v>3</v>
      </c>
      <c r="D175" s="194" cm="1">
        <f t="array" ref="D175">SUMPRODUCT((Tableau6[RO]=B175)*(Tableau6[ASSISTANTE]=$D$167)*(Tableau6[Avancement]&lt;&gt;"patrimoine")*(Tableau6[Avancement]&lt;&gt;"stand by"))</f>
        <v>3</v>
      </c>
      <c r="E175" s="193" cm="1">
        <f t="array" ref="E175">SUMPRODUCT((Tableau6[RO]=B175)*(Tableau6[ASSISTANTE]=$E$167)*(Tableau6[Avancement]&lt;&gt;"patrimoine")*(Tableau6[Avancement]&lt;&gt;"stand by"))</f>
        <v>0</v>
      </c>
      <c r="F175" s="193" cm="1">
        <f t="array" ref="F175">SUMPRODUCT((Tableau6[RO]=B175)*(Tableau6[ASSISTANTE]=$F$167)*(Tableau6[Avancement]&lt;&gt;"patrimoine")*(Tableau6[Avancement]&lt;&gt;"stand by"))</f>
        <v>1</v>
      </c>
      <c r="G175" s="194" cm="1">
        <f t="array" ref="G175">SUMPRODUCT((Tableau6[RO]=B175)*(Tableau6[ASSISTANTE]=$G$167)*(Tableau6[Avancement]&lt;&gt;"patrimoine")*(Tableau6[Avancement]&lt;&gt;"stand by"))</f>
        <v>7</v>
      </c>
      <c r="H175" s="193" cm="1">
        <f t="array" ref="H175">SUMPRODUCT((Tableau6[RO]=B175)*(Tableau6[ASSISTANTE]=$H$167)*(Tableau6[Avancement]&lt;&gt;"patrimoine")*(Tableau6[Avancement]&lt;&gt;"stand by"))</f>
        <v>0</v>
      </c>
      <c r="I175" s="193" cm="1">
        <f t="array" ref="I175">SUMPRODUCT((Tableau6[RO]=B175)*(Tableau6[ASSISTANTE]=$I$167)*(Tableau6[Avancement]&lt;&gt;"patrimoine")*(Tableau6[Avancement]&lt;&gt;"stand by"))</f>
        <v>2</v>
      </c>
      <c r="K175" s="156"/>
      <c r="Z175" s="69"/>
      <c r="AA175" s="69"/>
      <c r="AB175" s="69"/>
      <c r="AW175" s="7"/>
      <c r="AX175" s="7"/>
      <c r="BO175" s="85"/>
      <c r="DV175" s="303"/>
      <c r="DW175" s="303"/>
      <c r="DX175" s="7"/>
      <c r="DY175" s="303"/>
      <c r="DZ175" s="303"/>
      <c r="EA175" s="303"/>
      <c r="GH175" s="73"/>
      <c r="GI175" s="73"/>
      <c r="GK175" s="43" t="s">
        <v>832</v>
      </c>
      <c r="GL175" s="427">
        <v>20</v>
      </c>
      <c r="GM175" s="35">
        <v>500000</v>
      </c>
      <c r="GN175" s="321"/>
      <c r="GO175" s="811">
        <f t="shared" si="481"/>
        <v>25000</v>
      </c>
      <c r="GP175" s="68"/>
      <c r="GQ175" s="68"/>
      <c r="GR175" s="68"/>
      <c r="GS175" s="68"/>
      <c r="GT175" s="68"/>
      <c r="GU175" s="68"/>
      <c r="GV175" s="68"/>
      <c r="GW175" s="68"/>
    </row>
    <row r="176" spans="1:256" ht="15" thickBot="1">
      <c r="A176" s="140" t="s">
        <v>584</v>
      </c>
      <c r="B176" s="140">
        <f>SUBTOTAL(9,C176:I176)</f>
        <v>54</v>
      </c>
      <c r="C176" s="190">
        <f>SUM(C168:C175)</f>
        <v>10</v>
      </c>
      <c r="D176" s="190">
        <f t="shared" ref="D176:I176" si="482">SUM(D168:D175)</f>
        <v>7</v>
      </c>
      <c r="E176" s="190">
        <f t="shared" si="482"/>
        <v>6</v>
      </c>
      <c r="F176" s="190">
        <f t="shared" si="482"/>
        <v>7</v>
      </c>
      <c r="G176" s="190">
        <f t="shared" si="482"/>
        <v>8</v>
      </c>
      <c r="H176" s="190">
        <f t="shared" si="482"/>
        <v>4</v>
      </c>
      <c r="I176" s="190">
        <f t="shared" si="482"/>
        <v>12</v>
      </c>
      <c r="K176" s="156"/>
      <c r="Z176" s="69"/>
      <c r="AA176" s="69"/>
      <c r="AB176" s="69"/>
      <c r="AW176" s="7"/>
      <c r="AX176" s="7"/>
      <c r="BO176" s="85"/>
      <c r="DV176" s="303"/>
      <c r="DW176" s="303"/>
      <c r="DX176" s="7"/>
      <c r="DY176" s="303"/>
      <c r="DZ176" s="303"/>
      <c r="EA176" s="303"/>
      <c r="GH176" s="73"/>
      <c r="GI176" s="73"/>
      <c r="GK176" s="43" t="s">
        <v>833</v>
      </c>
      <c r="GL176" s="427">
        <v>36</v>
      </c>
      <c r="GM176" s="35">
        <v>1110000</v>
      </c>
      <c r="GN176" s="321"/>
      <c r="GO176" s="811">
        <f t="shared" si="481"/>
        <v>30833.333333333332</v>
      </c>
      <c r="GP176" s="68"/>
      <c r="GQ176" s="68"/>
      <c r="GR176" s="68"/>
      <c r="GS176" s="68"/>
      <c r="GT176" s="68"/>
      <c r="GU176" s="68"/>
      <c r="GV176" s="68"/>
      <c r="GW176" s="68"/>
    </row>
    <row r="177" spans="1:205" ht="15" thickBot="1">
      <c r="A177" s="140" t="s">
        <v>393</v>
      </c>
      <c r="B177" s="140">
        <f>SUBTOTAL(9,C177:I177)</f>
        <v>2</v>
      </c>
      <c r="C177" s="192">
        <v>2</v>
      </c>
      <c r="D177" s="140"/>
      <c r="E177" s="140"/>
      <c r="F177" s="140"/>
      <c r="G177" s="140"/>
      <c r="H177" s="140"/>
      <c r="I177" s="140"/>
      <c r="K177" s="156"/>
      <c r="Z177" s="69"/>
      <c r="AA177" s="69"/>
      <c r="AB177" s="69"/>
      <c r="AW177" s="7"/>
      <c r="AX177" s="7"/>
      <c r="BO177" s="85"/>
      <c r="DV177" s="303"/>
      <c r="DW177" s="303"/>
      <c r="DX177" s="7"/>
      <c r="DY177" s="303"/>
      <c r="DZ177" s="303"/>
      <c r="EA177" s="303"/>
      <c r="GH177" s="73"/>
      <c r="GI177" s="73"/>
      <c r="GK177" s="43" t="s">
        <v>875</v>
      </c>
      <c r="GL177" s="427">
        <v>53</v>
      </c>
      <c r="GM177" s="35">
        <v>1431000</v>
      </c>
      <c r="GN177" s="321"/>
      <c r="GO177" s="811">
        <f t="shared" si="481"/>
        <v>27000</v>
      </c>
      <c r="GP177" s="68"/>
      <c r="GQ177" s="68"/>
      <c r="GR177" s="68"/>
      <c r="GS177" s="68"/>
      <c r="GT177" s="68"/>
      <c r="GU177" s="68"/>
      <c r="GV177" s="68"/>
      <c r="GW177" s="68"/>
    </row>
    <row r="178" spans="1:205" ht="15" thickBot="1">
      <c r="A178" s="187" t="s">
        <v>89</v>
      </c>
      <c r="B178" s="187">
        <f>SUBTOTAL(9,C178:I178)</f>
        <v>56</v>
      </c>
      <c r="C178" s="190">
        <f t="shared" ref="C178:I178" si="483">C176+C177</f>
        <v>12</v>
      </c>
      <c r="D178" s="187">
        <f t="shared" si="483"/>
        <v>7</v>
      </c>
      <c r="E178" s="187">
        <f t="shared" si="483"/>
        <v>6</v>
      </c>
      <c r="F178" s="187">
        <f t="shared" si="483"/>
        <v>7</v>
      </c>
      <c r="G178" s="187">
        <f t="shared" si="483"/>
        <v>8</v>
      </c>
      <c r="H178" s="187">
        <f t="shared" si="483"/>
        <v>4</v>
      </c>
      <c r="I178" s="187">
        <f t="shared" si="483"/>
        <v>12</v>
      </c>
      <c r="K178" s="156"/>
      <c r="L178" s="97"/>
      <c r="M178" s="97"/>
      <c r="N178" s="97"/>
      <c r="Z178" s="69"/>
      <c r="AA178" s="69"/>
      <c r="AB178" s="69"/>
      <c r="AW178" s="7"/>
      <c r="AX178" s="7"/>
      <c r="BO178" s="85"/>
      <c r="DV178" s="303"/>
      <c r="DW178" s="303"/>
      <c r="DX178" s="7"/>
      <c r="DY178" s="303"/>
      <c r="DZ178" s="303"/>
      <c r="EA178" s="303"/>
      <c r="GH178" s="68"/>
      <c r="GI178" s="68"/>
      <c r="GK178" s="43" t="s">
        <v>879</v>
      </c>
      <c r="GL178" s="427">
        <v>25</v>
      </c>
      <c r="GM178" s="35">
        <v>725000</v>
      </c>
      <c r="GN178" s="321"/>
      <c r="GO178" s="811">
        <f t="shared" si="481"/>
        <v>29000</v>
      </c>
      <c r="GP178" s="68"/>
      <c r="GQ178" s="68"/>
      <c r="GR178" s="68"/>
      <c r="GS178" s="68"/>
      <c r="GT178" s="68"/>
      <c r="GU178" s="68"/>
      <c r="GV178" s="68"/>
      <c r="GW178" s="68"/>
    </row>
    <row r="179" spans="1:205">
      <c r="A179" s="611" t="s">
        <v>585</v>
      </c>
      <c r="C179" s="7">
        <v>1</v>
      </c>
      <c r="D179" s="7">
        <v>1</v>
      </c>
      <c r="E179" s="7">
        <v>1</v>
      </c>
      <c r="F179" s="7">
        <v>1</v>
      </c>
      <c r="G179" s="7">
        <v>0</v>
      </c>
      <c r="H179" s="7">
        <v>1</v>
      </c>
      <c r="I179" s="7">
        <v>1</v>
      </c>
      <c r="K179" s="156"/>
      <c r="L179" s="97"/>
      <c r="M179" s="97"/>
      <c r="N179" s="97"/>
      <c r="Z179" s="69"/>
      <c r="AA179" s="69"/>
      <c r="AB179" s="69"/>
      <c r="DV179" s="303"/>
      <c r="DW179" s="303"/>
      <c r="DX179" s="7"/>
      <c r="DY179" s="303"/>
      <c r="DZ179" s="303"/>
      <c r="EA179" s="303"/>
      <c r="GK179" s="428" t="s">
        <v>871</v>
      </c>
      <c r="GL179" s="427">
        <v>30</v>
      </c>
      <c r="GM179" s="35">
        <v>750000</v>
      </c>
      <c r="GO179" s="811">
        <f t="shared" si="481"/>
        <v>25000</v>
      </c>
      <c r="GP179" s="7"/>
      <c r="GQ179" s="7"/>
      <c r="GR179" s="7"/>
      <c r="GS179" s="7"/>
      <c r="GT179" s="7"/>
      <c r="GU179" s="7"/>
      <c r="GV179" s="7"/>
      <c r="GW179" s="7"/>
    </row>
    <row r="180" spans="1:205">
      <c r="K180" s="156"/>
      <c r="L180" s="97"/>
      <c r="M180" s="97"/>
      <c r="N180" s="97"/>
      <c r="Z180" s="69"/>
      <c r="AA180" s="69"/>
      <c r="AB180" s="69"/>
      <c r="DV180" s="303"/>
      <c r="DW180" s="303"/>
      <c r="DX180" s="7"/>
      <c r="DY180" s="303"/>
      <c r="DZ180" s="303"/>
      <c r="EA180" s="303"/>
      <c r="GK180" s="43" t="s">
        <v>878</v>
      </c>
      <c r="GL180" s="427">
        <v>30</v>
      </c>
      <c r="GM180" s="35">
        <v>750000</v>
      </c>
      <c r="GO180" s="811">
        <f t="shared" si="481"/>
        <v>25000</v>
      </c>
      <c r="GP180" s="7"/>
      <c r="GQ180" s="7"/>
      <c r="GR180" s="7"/>
      <c r="GS180" s="7"/>
      <c r="GT180" s="7"/>
      <c r="GU180" s="7"/>
      <c r="GV180" s="7"/>
      <c r="GW180" s="7"/>
    </row>
    <row r="181" spans="1:205">
      <c r="K181" s="156"/>
      <c r="L181" s="97"/>
      <c r="M181" s="97"/>
      <c r="N181" s="97"/>
      <c r="Z181" s="69"/>
      <c r="AA181" s="69"/>
      <c r="AB181" s="69"/>
      <c r="DV181" s="303"/>
      <c r="DW181" s="303"/>
      <c r="DX181" s="7"/>
      <c r="DY181" s="303"/>
      <c r="DZ181" s="303"/>
      <c r="EA181" s="303"/>
      <c r="GM181" s="815">
        <f>SUM(GM169:GM180)</f>
        <v>10373000</v>
      </c>
      <c r="GN181" s="816"/>
      <c r="GO181" s="817">
        <f>AVERAGE(GO169:GO180)</f>
        <v>28943.034423347399</v>
      </c>
      <c r="GP181" s="7"/>
      <c r="GQ181" s="7"/>
      <c r="GR181" s="7"/>
      <c r="GS181" s="7"/>
      <c r="GT181" s="7"/>
      <c r="GU181" s="7"/>
      <c r="GV181" s="7"/>
      <c r="GW181" s="7"/>
    </row>
    <row r="182" spans="1:205">
      <c r="B182" s="139"/>
      <c r="C182" s="424" t="s">
        <v>194</v>
      </c>
      <c r="D182" s="424" t="s">
        <v>6</v>
      </c>
      <c r="E182" s="424" t="s">
        <v>267</v>
      </c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>
        <f>SUM(D251:D256)</f>
        <v>0</v>
      </c>
      <c r="AD182" s="16">
        <f>SUM(E251:E256)</f>
        <v>0</v>
      </c>
      <c r="AE182" s="16"/>
      <c r="DV182" s="303"/>
      <c r="DW182" s="303"/>
      <c r="DX182" s="7"/>
      <c r="DY182" s="303"/>
      <c r="DZ182" s="303"/>
      <c r="EA182" s="303"/>
      <c r="GP182" s="7"/>
      <c r="GQ182" s="7"/>
      <c r="GR182" s="7"/>
      <c r="GS182" s="7"/>
      <c r="GT182" s="7"/>
      <c r="GU182" s="7"/>
      <c r="GV182" s="7"/>
      <c r="GW182" s="7"/>
    </row>
    <row r="183" spans="1:205" ht="15.5">
      <c r="B183" s="142" t="s">
        <v>254</v>
      </c>
      <c r="C183" s="141" t="s">
        <v>266</v>
      </c>
      <c r="D183" s="141" t="s">
        <v>113</v>
      </c>
      <c r="E183" s="141" t="s">
        <v>139</v>
      </c>
      <c r="AR183" s="69"/>
      <c r="AS183" s="15"/>
      <c r="AW183" s="7"/>
      <c r="AX183" s="7"/>
      <c r="DV183" s="303"/>
      <c r="DW183" s="303"/>
      <c r="DX183" s="7"/>
      <c r="DY183" s="303"/>
      <c r="DZ183" s="303"/>
      <c r="EA183" s="303"/>
      <c r="GP183" s="16" t="s">
        <v>957</v>
      </c>
      <c r="GQ183" s="16" t="s">
        <v>954</v>
      </c>
      <c r="GR183" s="16" t="s">
        <v>955</v>
      </c>
      <c r="GS183" s="7"/>
      <c r="GT183" s="7"/>
      <c r="GU183" s="7"/>
      <c r="GV183" s="7"/>
      <c r="GW183" s="7"/>
    </row>
    <row r="184" spans="1:205" ht="15.5">
      <c r="B184" s="142" t="s">
        <v>253</v>
      </c>
      <c r="C184" s="141" t="s">
        <v>268</v>
      </c>
      <c r="D184" s="141" t="s">
        <v>113</v>
      </c>
      <c r="E184" s="141"/>
      <c r="AR184" s="69"/>
      <c r="AS184" s="15"/>
      <c r="AW184" s="7"/>
      <c r="AX184" s="7"/>
      <c r="DV184" s="303"/>
      <c r="DW184" s="303"/>
      <c r="DX184" s="7"/>
      <c r="DY184" s="303"/>
      <c r="DZ184" s="303"/>
      <c r="EA184" s="303"/>
      <c r="GK184" s="812" t="s">
        <v>443</v>
      </c>
      <c r="GL184" s="427">
        <v>39</v>
      </c>
      <c r="GM184" s="35">
        <v>741000</v>
      </c>
      <c r="GO184" s="413">
        <f>GM184/GL184</f>
        <v>19000</v>
      </c>
      <c r="GP184" s="413">
        <v>600000</v>
      </c>
      <c r="GQ184" s="814">
        <f>GP184/GL184</f>
        <v>15384.615384615385</v>
      </c>
      <c r="GR184" s="814">
        <f>GO184+GQ184</f>
        <v>34384.615384615383</v>
      </c>
      <c r="GS184" s="7"/>
      <c r="GT184" s="7"/>
      <c r="GU184" s="7"/>
      <c r="GV184" s="7"/>
      <c r="GW184" s="7"/>
    </row>
    <row r="185" spans="1:205" ht="15.5">
      <c r="B185" s="142" t="s">
        <v>404</v>
      </c>
      <c r="C185" s="141" t="s">
        <v>179</v>
      </c>
      <c r="D185" s="141" t="s">
        <v>113</v>
      </c>
      <c r="E185" s="141"/>
      <c r="AR185" s="69"/>
      <c r="AS185" s="15"/>
      <c r="AW185" s="7"/>
      <c r="AX185" s="7"/>
      <c r="DV185" s="303"/>
      <c r="DW185" s="303"/>
      <c r="DX185" s="7"/>
      <c r="DY185" s="303"/>
      <c r="DZ185" s="303"/>
      <c r="EA185" s="303"/>
      <c r="GK185" s="812" t="s">
        <v>274</v>
      </c>
      <c r="GL185" s="427">
        <v>26</v>
      </c>
      <c r="GM185" s="35">
        <v>520000</v>
      </c>
      <c r="GO185" s="413">
        <f t="shared" ref="GO185:GO189" si="484">GM185/GL185</f>
        <v>20000</v>
      </c>
      <c r="GP185" s="413">
        <v>500000</v>
      </c>
      <c r="GQ185" s="814">
        <f t="shared" ref="GQ185:GQ189" si="485">GP185/GL185</f>
        <v>19230.76923076923</v>
      </c>
      <c r="GR185" s="814">
        <f t="shared" ref="GR185:GR189" si="486">GO185+GQ185</f>
        <v>39230.769230769234</v>
      </c>
      <c r="GS185" s="7"/>
      <c r="GT185" s="7"/>
      <c r="GU185" s="7"/>
      <c r="GV185" s="7"/>
      <c r="GW185" s="7"/>
    </row>
    <row r="186" spans="1:205" ht="15.5">
      <c r="B186" s="143" t="s">
        <v>582</v>
      </c>
      <c r="C186" s="141" t="s">
        <v>269</v>
      </c>
      <c r="D186" s="141" t="s">
        <v>113</v>
      </c>
      <c r="E186" s="141" t="s">
        <v>139</v>
      </c>
      <c r="AR186" s="69"/>
      <c r="AS186" s="15"/>
      <c r="AW186" s="7"/>
      <c r="AX186" s="7"/>
      <c r="DV186" s="303"/>
      <c r="DW186" s="303"/>
      <c r="DX186" s="7"/>
      <c r="DY186" s="303"/>
      <c r="DZ186" s="303"/>
      <c r="EA186" s="303"/>
      <c r="GK186" s="813" t="s">
        <v>290</v>
      </c>
      <c r="GL186" s="427">
        <v>22</v>
      </c>
      <c r="GM186" s="35">
        <v>418000</v>
      </c>
      <c r="GO186" s="413">
        <f t="shared" si="484"/>
        <v>19000</v>
      </c>
      <c r="GP186" s="413">
        <v>300000</v>
      </c>
      <c r="GQ186" s="814">
        <f t="shared" si="485"/>
        <v>13636.363636363636</v>
      </c>
      <c r="GR186" s="814">
        <f t="shared" si="486"/>
        <v>32636.363636363636</v>
      </c>
      <c r="GS186" s="7"/>
      <c r="GT186" s="7"/>
      <c r="GU186" s="7"/>
      <c r="GV186" s="7"/>
      <c r="GW186" s="7"/>
    </row>
    <row r="187" spans="1:205" ht="15.5">
      <c r="B187" s="143" t="s">
        <v>583</v>
      </c>
      <c r="C187" s="141" t="s">
        <v>269</v>
      </c>
      <c r="D187" s="141" t="s">
        <v>262</v>
      </c>
      <c r="E187" s="141"/>
      <c r="AR187" s="69"/>
      <c r="AS187" s="15"/>
      <c r="AW187" s="7"/>
      <c r="AX187" s="7"/>
      <c r="DV187" s="303"/>
      <c r="DW187" s="303"/>
      <c r="DX187" s="7"/>
      <c r="DY187" s="303"/>
      <c r="DZ187" s="303"/>
      <c r="EA187" s="303"/>
      <c r="GK187" s="813" t="s">
        <v>291</v>
      </c>
      <c r="GL187" s="427">
        <v>34</v>
      </c>
      <c r="GM187" s="35">
        <v>714000</v>
      </c>
      <c r="GO187" s="413">
        <f t="shared" si="484"/>
        <v>21000</v>
      </c>
      <c r="GP187" s="413">
        <v>400000</v>
      </c>
      <c r="GQ187" s="814">
        <f t="shared" si="485"/>
        <v>11764.705882352941</v>
      </c>
      <c r="GR187" s="814">
        <f t="shared" si="486"/>
        <v>32764.705882352941</v>
      </c>
      <c r="GS187" s="7"/>
      <c r="GT187" s="7"/>
      <c r="GU187" s="7"/>
      <c r="GV187" s="7"/>
      <c r="GW187" s="7"/>
    </row>
    <row r="188" spans="1:205">
      <c r="AR188" s="69"/>
      <c r="AS188" s="15"/>
      <c r="AW188" s="7"/>
      <c r="AX188" s="7"/>
      <c r="DV188" s="303"/>
      <c r="DW188" s="303"/>
      <c r="DX188" s="7"/>
      <c r="DY188" s="303"/>
      <c r="DZ188" s="303"/>
      <c r="EA188" s="303"/>
      <c r="GK188" s="812" t="s">
        <v>368</v>
      </c>
      <c r="GL188" s="427">
        <v>84</v>
      </c>
      <c r="GM188" s="35">
        <v>1512000</v>
      </c>
      <c r="GO188" s="413">
        <f t="shared" si="484"/>
        <v>18000</v>
      </c>
      <c r="GP188" s="413">
        <v>1000000</v>
      </c>
      <c r="GQ188" s="814">
        <f t="shared" si="485"/>
        <v>11904.761904761905</v>
      </c>
      <c r="GR188" s="814">
        <f t="shared" si="486"/>
        <v>29904.761904761905</v>
      </c>
      <c r="GS188" s="7"/>
      <c r="GT188" s="7"/>
      <c r="GU188" s="7"/>
      <c r="GV188" s="7"/>
      <c r="GW188" s="7"/>
    </row>
    <row r="189" spans="1:205">
      <c r="AR189" s="69"/>
      <c r="AS189" s="15"/>
      <c r="AW189" s="7"/>
      <c r="AX189" s="7"/>
      <c r="DV189" s="303"/>
      <c r="DW189" s="303"/>
      <c r="DX189" s="7"/>
      <c r="DY189" s="303"/>
      <c r="DZ189" s="303"/>
      <c r="EA189" s="303"/>
      <c r="GK189" s="813" t="s">
        <v>28</v>
      </c>
      <c r="GL189" s="427">
        <v>30</v>
      </c>
      <c r="GM189" s="578">
        <v>270000</v>
      </c>
      <c r="GO189" s="413">
        <f t="shared" si="484"/>
        <v>9000</v>
      </c>
      <c r="GP189" s="413">
        <v>700000</v>
      </c>
      <c r="GQ189" s="814">
        <f t="shared" si="485"/>
        <v>23333.333333333332</v>
      </c>
      <c r="GR189" s="814">
        <f t="shared" si="486"/>
        <v>32333.333333333332</v>
      </c>
      <c r="GS189" s="7"/>
      <c r="GT189" s="7"/>
      <c r="GU189" s="7"/>
      <c r="GV189" s="7"/>
      <c r="GW189" s="7"/>
    </row>
    <row r="190" spans="1:205" ht="29.25" customHeight="1">
      <c r="H190" s="164"/>
      <c r="I190" s="164"/>
      <c r="AR190" s="69"/>
      <c r="AS190" s="15"/>
      <c r="AW190" s="7"/>
      <c r="AX190" s="7"/>
      <c r="DV190" s="303"/>
      <c r="DW190" s="303"/>
      <c r="DX190" s="7"/>
      <c r="DY190" s="303"/>
      <c r="DZ190" s="303"/>
      <c r="EA190" s="303"/>
      <c r="GM190" s="815">
        <f>SUM(GM184:GM189)</f>
        <v>4175000</v>
      </c>
      <c r="GN190" s="816"/>
      <c r="GO190" s="817">
        <f>AVERAGE(GO184:GO189)</f>
        <v>17666.666666666668</v>
      </c>
      <c r="GP190" s="817">
        <f>SUM(GP184:GP189)</f>
        <v>3500000</v>
      </c>
      <c r="GQ190" s="817"/>
      <c r="GR190" s="817">
        <f t="shared" ref="GR190" si="487">AVERAGE(GR184:GR189)</f>
        <v>33542.424895366072</v>
      </c>
      <c r="GS190" s="7"/>
      <c r="GT190" s="7"/>
      <c r="GU190" s="7"/>
      <c r="GV190" s="7"/>
      <c r="GW190" s="7"/>
    </row>
    <row r="191" spans="1:205" ht="30.75" customHeight="1">
      <c r="AR191" s="69"/>
      <c r="AS191" s="15"/>
      <c r="AW191" s="7"/>
      <c r="AX191" s="7"/>
      <c r="DV191" s="303"/>
      <c r="DW191" s="303"/>
      <c r="DX191" s="7"/>
      <c r="DY191" s="303"/>
      <c r="DZ191" s="303"/>
      <c r="EA191" s="303"/>
      <c r="GP191" s="7"/>
      <c r="GQ191" s="7"/>
      <c r="GR191" s="7"/>
      <c r="GS191" s="7"/>
      <c r="GT191" s="7"/>
      <c r="GU191" s="7"/>
      <c r="GV191" s="7"/>
      <c r="GW191" s="7"/>
    </row>
    <row r="192" spans="1:205" ht="19" thickBot="1">
      <c r="C192" s="839" t="s">
        <v>723</v>
      </c>
      <c r="D192" s="839"/>
      <c r="E192" s="839"/>
      <c r="F192" s="839"/>
      <c r="G192" s="839"/>
      <c r="H192" s="839"/>
      <c r="I192" s="839"/>
      <c r="J192" s="839"/>
      <c r="K192" s="839"/>
      <c r="L192" s="839"/>
      <c r="M192" s="839"/>
      <c r="N192" s="839"/>
      <c r="O192" s="839"/>
      <c r="AR192" s="69"/>
      <c r="AS192" s="15"/>
      <c r="AW192" s="7"/>
      <c r="AX192" s="7"/>
      <c r="DV192" s="303"/>
      <c r="DW192" s="303"/>
      <c r="DX192" s="7"/>
      <c r="DY192" s="303"/>
      <c r="DZ192" s="303"/>
      <c r="EA192" s="303"/>
      <c r="GP192" s="70">
        <f>+GP5+GP92</f>
        <v>957688</v>
      </c>
      <c r="GQ192" s="7"/>
      <c r="GR192" s="7"/>
      <c r="GS192" s="7"/>
      <c r="GT192" s="7"/>
      <c r="GU192" s="7"/>
      <c r="GV192" s="7"/>
      <c r="GW192" s="7"/>
    </row>
    <row r="193" spans="2:205" ht="16" thickBot="1">
      <c r="C193" s="840" t="s">
        <v>394</v>
      </c>
      <c r="D193" s="841"/>
      <c r="E193" s="850" t="s">
        <v>395</v>
      </c>
      <c r="F193" s="851"/>
      <c r="G193" s="848" t="s">
        <v>188</v>
      </c>
      <c r="H193" s="849"/>
      <c r="I193" s="846" t="s">
        <v>187</v>
      </c>
      <c r="J193" s="847"/>
      <c r="K193" s="844" t="s">
        <v>133</v>
      </c>
      <c r="L193" s="845"/>
      <c r="M193" s="842" t="s">
        <v>396</v>
      </c>
      <c r="N193" s="843"/>
      <c r="O193" s="13" t="s">
        <v>692</v>
      </c>
      <c r="AR193" s="69"/>
      <c r="AS193" s="15"/>
      <c r="AW193" s="7"/>
      <c r="AX193" s="7"/>
      <c r="DV193" s="303"/>
      <c r="DW193" s="303"/>
      <c r="DX193" s="7"/>
      <c r="DY193" s="303"/>
      <c r="DZ193" s="303"/>
      <c r="EA193" s="303"/>
      <c r="GP193" s="7"/>
      <c r="GQ193" s="7"/>
      <c r="GR193" s="7"/>
      <c r="GS193" s="7"/>
      <c r="GT193" s="7"/>
      <c r="GU193" s="7"/>
      <c r="GV193" s="7"/>
      <c r="GW193" s="7"/>
    </row>
    <row r="194" spans="2:205">
      <c r="B194" s="209" t="s">
        <v>139</v>
      </c>
      <c r="C194" s="195" cm="1">
        <f t="array" ref="C194">SUMPRODUCT((Tableau6[ASSISTANTE]=B194)*((Tableau6[Avancement]="Faisa")+(Tableau6[Avancement]="ESQ")+(Tableau6[Avancement]="APS")+(Tableau6[Avancement]="PC")+(Tableau6[Avancement]="APD")))</f>
        <v>2</v>
      </c>
      <c r="D194" s="199">
        <f t="shared" ref="D194:D200" si="488">C194/$C$201</f>
        <v>0.2</v>
      </c>
      <c r="E194" s="480" cm="1">
        <f t="array" ref="E194">SUMPRODUCT((Tableau6[ASSISTANTE]=B194)*((Tableau6[Avancement]="PRO")+(Tableau6[Avancement]="DCE")+(Tableau6[Avancement]="AO")))</f>
        <v>3</v>
      </c>
      <c r="F194" s="199">
        <f t="shared" ref="F194:F200" si="489">E194/$E$201</f>
        <v>0.27272727272727271</v>
      </c>
      <c r="G194" s="195" cm="1">
        <f t="array" ref="G194">SUMPRODUCT((Tableau6[ASSISTANTE]=B194)*((Tableau6[Avancement]="OS")))</f>
        <v>0</v>
      </c>
      <c r="H194" s="199" t="e">
        <f t="shared" ref="H194:H200" si="490">G194/$G$201</f>
        <v>#DIV/0!</v>
      </c>
      <c r="I194" s="195" cm="1">
        <f t="array" ref="I194">SUMPRODUCT((Tableau6[ASSISTANTE]=B194)*((Tableau6[Avancement]="Tvx")+(Tableau6[Avancement]="Réception")))</f>
        <v>2</v>
      </c>
      <c r="J194" s="199">
        <f t="shared" ref="J194:J200" si="491">I194/$I$201</f>
        <v>0.16666666666666666</v>
      </c>
      <c r="K194" s="195" cm="1">
        <f t="array" ref="K194">SUMPRODUCT((Tableau6[ASSISTANTE]=B194)*((Tableau6[Avancement]="GPA")))</f>
        <v>2</v>
      </c>
      <c r="L194" s="199">
        <f t="shared" ref="L194:L200" si="492">K194/$K$201</f>
        <v>0.2857142857142857</v>
      </c>
      <c r="M194" s="195" cm="1">
        <f t="array" ref="M194">SUMPRODUCT((Tableau6[ASSISTANTE]=B194)*((Tableau6[Avancement]="cloture")))</f>
        <v>0</v>
      </c>
      <c r="N194" s="199">
        <f>M194/$M$201</f>
        <v>0</v>
      </c>
      <c r="O194" s="195" cm="1">
        <f t="array" ref="O194">SUMPRODUCT((Tableau6[ASSISTANTE]=B194)*((Tableau6[Avancement]="stand by")))</f>
        <v>0</v>
      </c>
      <c r="P194" s="209">
        <f>C194+E194+G194+I194+K194+M194+O194</f>
        <v>9</v>
      </c>
      <c r="Q194" s="69">
        <f>P194-C176</f>
        <v>-1</v>
      </c>
      <c r="AR194" s="69"/>
      <c r="AS194" s="15"/>
      <c r="AW194" s="7"/>
      <c r="AX194" s="7"/>
      <c r="DV194" s="303"/>
      <c r="DW194" s="303"/>
      <c r="DX194" s="7"/>
      <c r="DY194" s="303"/>
      <c r="DZ194" s="303"/>
      <c r="EA194" s="303"/>
      <c r="GP194" s="7"/>
      <c r="GQ194" s="7"/>
      <c r="GR194" s="7"/>
      <c r="GS194" s="7"/>
      <c r="GT194" s="7"/>
      <c r="GU194" s="7"/>
      <c r="GV194" s="7"/>
      <c r="GW194" s="7"/>
    </row>
    <row r="195" spans="2:205">
      <c r="B195" s="210" t="s">
        <v>586</v>
      </c>
      <c r="C195" s="197" cm="1">
        <f t="array" ref="C195">SUMPRODUCT((Tableau6[ASSISTANTE]=B195)*((Tableau6[Avancement]="Faisa")+(Tableau6[Avancement]="ESQ")+(Tableau6[Avancement]="APS")+(Tableau6[Avancement]="PC")+(Tableau6[Avancement]="APD")))</f>
        <v>3</v>
      </c>
      <c r="D195" s="200">
        <f t="shared" si="488"/>
        <v>0.3</v>
      </c>
      <c r="E195" s="197" cm="1">
        <f t="array" ref="E195">SUMPRODUCT((Tableau6[ASSISTANTE]=B195)*((Tableau6[Avancement]="PRO")+(Tableau6[Avancement]="DCE")+(Tableau6[Avancement]="AO")))</f>
        <v>1</v>
      </c>
      <c r="F195" s="200">
        <f t="shared" si="489"/>
        <v>9.0909090909090912E-2</v>
      </c>
      <c r="G195" s="197" cm="1">
        <f t="array" ref="G195">SUMPRODUCT((Tableau6[ASSISTANTE]=B195)*((Tableau6[Avancement]="OS")))</f>
        <v>0</v>
      </c>
      <c r="H195" s="200" t="e">
        <f t="shared" si="490"/>
        <v>#DIV/0!</v>
      </c>
      <c r="I195" s="197" cm="1">
        <f t="array" ref="I195">SUMPRODUCT((Tableau6[ASSISTANTE]=B195)*((Tableau6[Avancement]="Tvx")+(Tableau6[Avancement]="Réception")))</f>
        <v>2</v>
      </c>
      <c r="J195" s="200">
        <f t="shared" si="491"/>
        <v>0.16666666666666666</v>
      </c>
      <c r="K195" s="197" cm="1">
        <f t="array" ref="K195">SUMPRODUCT((Tableau6[ASSISTANTE]=B195)*((Tableau6[Avancement]="GPA")))</f>
        <v>0</v>
      </c>
      <c r="L195" s="200">
        <f t="shared" si="492"/>
        <v>0</v>
      </c>
      <c r="M195" s="197" cm="1">
        <f t="array" ref="M195">SUMPRODUCT((Tableau6[ASSISTANTE]=B195)*((Tableau6[Avancement]="cloture")))</f>
        <v>0</v>
      </c>
      <c r="N195" s="200">
        <f t="shared" ref="N195:N200" si="493">M195/$M$201</f>
        <v>0</v>
      </c>
      <c r="O195" s="197" cm="1">
        <f t="array" ref="O195">SUMPRODUCT((Tableau6[ASSISTANTE]=B195)*((Tableau6[Avancement]="stand by")))</f>
        <v>2</v>
      </c>
      <c r="P195" s="210">
        <f t="shared" ref="P195:P200" si="494">C195+E195+G195+I195+K195+M195+O195</f>
        <v>8</v>
      </c>
      <c r="Q195" s="69">
        <f>P195-F176</f>
        <v>1</v>
      </c>
      <c r="AR195" s="69"/>
      <c r="AS195" s="15"/>
      <c r="AW195" s="7"/>
      <c r="AX195" s="7"/>
      <c r="DV195" s="303"/>
      <c r="DW195" s="303"/>
      <c r="DX195" s="7"/>
      <c r="DY195" s="303"/>
      <c r="DZ195" s="303"/>
      <c r="EA195" s="303"/>
      <c r="GP195" s="7"/>
      <c r="GQ195" s="7"/>
      <c r="GR195" s="7"/>
      <c r="GS195" s="7"/>
      <c r="GT195" s="7"/>
      <c r="GU195" s="7"/>
      <c r="GV195" s="7"/>
      <c r="GW195" s="7"/>
    </row>
    <row r="196" spans="2:205">
      <c r="B196" s="210" t="s">
        <v>450</v>
      </c>
      <c r="C196" s="197" cm="1">
        <f t="array" ref="C196">SUMPRODUCT((Tableau6[ASSISTANTE]=B196)*((Tableau6[Avancement]="Faisa")+(Tableau6[Avancement]="ESQ")+(Tableau6[Avancement]="APS")+(Tableau6[Avancement]="PC")+(Tableau6[Avancement]="APD")))</f>
        <v>2</v>
      </c>
      <c r="D196" s="200">
        <f t="shared" si="488"/>
        <v>0.2</v>
      </c>
      <c r="E196" s="197" cm="1">
        <f t="array" ref="E196">SUMPRODUCT((Tableau6[ASSISTANTE]=B196)*((Tableau6[Avancement]="PRO")+(Tableau6[Avancement]="DCE")+(Tableau6[Avancement]="AO")))</f>
        <v>2</v>
      </c>
      <c r="F196" s="200">
        <f t="shared" si="489"/>
        <v>0.18181818181818182</v>
      </c>
      <c r="G196" s="197" cm="1">
        <f t="array" ref="G196">SUMPRODUCT((Tableau6[ASSISTANTE]=B196)*((Tableau6[Avancement]="OS")))</f>
        <v>0</v>
      </c>
      <c r="H196" s="200" t="e">
        <f t="shared" si="490"/>
        <v>#DIV/0!</v>
      </c>
      <c r="I196" s="197" cm="1">
        <f t="array" ref="I196">SUMPRODUCT((Tableau6[ASSISTANTE]=B196)*((Tableau6[Avancement]="Tvx")+(Tableau6[Avancement]="Réception")))</f>
        <v>1</v>
      </c>
      <c r="J196" s="200">
        <f t="shared" si="491"/>
        <v>8.3333333333333329E-2</v>
      </c>
      <c r="K196" s="197" cm="1">
        <f t="array" ref="K196">SUMPRODUCT((Tableau6[ASSISTANTE]=B196)*((Tableau6[Avancement]="GPA")))</f>
        <v>1</v>
      </c>
      <c r="L196" s="200">
        <f t="shared" si="492"/>
        <v>0.14285714285714285</v>
      </c>
      <c r="M196" s="197" cm="1">
        <f t="array" ref="M196">SUMPRODUCT((Tableau6[ASSISTANTE]=B196)*((Tableau6[Avancement]="cloture")))</f>
        <v>0</v>
      </c>
      <c r="N196" s="200">
        <f t="shared" si="493"/>
        <v>0</v>
      </c>
      <c r="O196" s="197" cm="1">
        <f t="array" ref="O196">SUMPRODUCT((Tableau6[ASSISTANTE]=B196)*((Tableau6[Avancement]="stand by")))</f>
        <v>0</v>
      </c>
      <c r="P196" s="210">
        <f t="shared" si="494"/>
        <v>6</v>
      </c>
      <c r="Q196" s="69">
        <f>P196-E176</f>
        <v>0</v>
      </c>
      <c r="DV196" s="303"/>
      <c r="DW196" s="303"/>
      <c r="DX196" s="7"/>
      <c r="DY196" s="303"/>
      <c r="DZ196" s="303"/>
      <c r="EA196" s="303"/>
      <c r="GP196" s="7"/>
      <c r="GQ196" s="7"/>
      <c r="GR196" s="7"/>
      <c r="GS196" s="7"/>
      <c r="GT196" s="7"/>
      <c r="GU196" s="7"/>
      <c r="GV196" s="7"/>
      <c r="GW196" s="7"/>
    </row>
    <row r="197" spans="2:205">
      <c r="B197" s="210" t="s">
        <v>587</v>
      </c>
      <c r="C197" s="197" cm="1">
        <f t="array" ref="C197">SUMPRODUCT((Tableau6[ASSISTANTE]=B197)*((Tableau6[Avancement]="Faisa")+(Tableau6[Avancement]="ESQ")+(Tableau6[Avancement]="APS")+(Tableau6[Avancement]="PC")+(Tableau6[Avancement]="APD")))</f>
        <v>0</v>
      </c>
      <c r="D197" s="200">
        <f t="shared" si="488"/>
        <v>0</v>
      </c>
      <c r="E197" s="197" cm="1">
        <f t="array" ref="E197">SUMPRODUCT((Tableau6[ASSISTANTE]=B197)*((Tableau6[Avancement]="PRO")+(Tableau6[Avancement]="DCE")+(Tableau6[Avancement]="AO")))</f>
        <v>0</v>
      </c>
      <c r="F197" s="200">
        <f t="shared" si="489"/>
        <v>0</v>
      </c>
      <c r="G197" s="197" cm="1">
        <f t="array" ref="G197">SUMPRODUCT((Tableau6[ASSISTANTE]=B197)*((Tableau6[Avancement]="OS")))</f>
        <v>0</v>
      </c>
      <c r="H197" s="200" t="e">
        <f t="shared" si="490"/>
        <v>#DIV/0!</v>
      </c>
      <c r="I197" s="197" cm="1">
        <f t="array" ref="I197">SUMPRODUCT((Tableau6[ASSISTANTE]=B197)*((Tableau6[Avancement]="Tvx")+(Tableau6[Avancement]="Réception")))</f>
        <v>0</v>
      </c>
      <c r="J197" s="200">
        <f t="shared" si="491"/>
        <v>0</v>
      </c>
      <c r="K197" s="197" cm="1">
        <f t="array" ref="K197">SUMPRODUCT((Tableau6[ASSISTANTE]=B197)*((Tableau6[Avancement]="GPA")))</f>
        <v>0</v>
      </c>
      <c r="L197" s="200">
        <f t="shared" si="492"/>
        <v>0</v>
      </c>
      <c r="M197" s="197" cm="1">
        <f t="array" ref="M197">SUMPRODUCT((Tableau6[ASSISTANTE]=B197)*((Tableau6[Avancement]="cloture")))</f>
        <v>1</v>
      </c>
      <c r="N197" s="200">
        <f t="shared" si="493"/>
        <v>0.5</v>
      </c>
      <c r="O197" s="197" cm="1">
        <f t="array" ref="O197">SUMPRODUCT((Tableau6[ASSISTANTE]=B197)*((Tableau6[Avancement]="stand by")))</f>
        <v>0</v>
      </c>
      <c r="P197" s="210">
        <f t="shared" si="494"/>
        <v>1</v>
      </c>
      <c r="Q197" s="69">
        <f>P197-F176</f>
        <v>-6</v>
      </c>
      <c r="DV197" s="303"/>
      <c r="DW197" s="303"/>
      <c r="DX197" s="7"/>
      <c r="DY197" s="303"/>
      <c r="DZ197" s="303"/>
      <c r="EA197" s="303"/>
      <c r="GP197" s="7"/>
      <c r="GQ197" s="7"/>
      <c r="GR197" s="7"/>
      <c r="GS197" s="7"/>
      <c r="GT197" s="7"/>
      <c r="GU197" s="7"/>
      <c r="GV197" s="7"/>
      <c r="GW197" s="7"/>
    </row>
    <row r="198" spans="2:205">
      <c r="B198" s="210" t="s">
        <v>138</v>
      </c>
      <c r="C198" s="197" cm="1">
        <f t="array" ref="C198">SUMPRODUCT((Tableau6[ASSISTANTE]=B198)*((Tableau6[Avancement]="Faisa")+(Tableau6[Avancement]="ESQ")+(Tableau6[Avancement]="APS")+(Tableau6[Avancement]="PC")+(Tableau6[Avancement]="APD")))</f>
        <v>0</v>
      </c>
      <c r="D198" s="200">
        <f t="shared" si="488"/>
        <v>0</v>
      </c>
      <c r="E198" s="197" cm="1">
        <f t="array" ref="E198">SUMPRODUCT((Tableau6[ASSISTANTE]=B198)*((Tableau6[Avancement]="PRO")+(Tableau6[Avancement]="DCE")+(Tableau6[Avancement]="AO")))</f>
        <v>4</v>
      </c>
      <c r="F198" s="200">
        <f t="shared" si="489"/>
        <v>0.36363636363636365</v>
      </c>
      <c r="G198" s="197" cm="1">
        <f t="array" ref="G198">SUMPRODUCT((Tableau6[ASSISTANTE]=B198)*((Tableau6[Avancement]="OS")))</f>
        <v>0</v>
      </c>
      <c r="H198" s="200" t="e">
        <f t="shared" si="490"/>
        <v>#DIV/0!</v>
      </c>
      <c r="I198" s="197" cm="1">
        <f t="array" ref="I198">SUMPRODUCT((Tableau6[ASSISTANTE]=B198)*((Tableau6[Avancement]="Tvx")+(Tableau6[Avancement]="Réception")))</f>
        <v>2</v>
      </c>
      <c r="J198" s="200">
        <f t="shared" si="491"/>
        <v>0.16666666666666666</v>
      </c>
      <c r="K198" s="197" cm="1">
        <f t="array" ref="K198">SUMPRODUCT((Tableau6[ASSISTANTE]=B198)*((Tableau6[Avancement]="GPA")))</f>
        <v>0</v>
      </c>
      <c r="L198" s="200">
        <f t="shared" si="492"/>
        <v>0</v>
      </c>
      <c r="M198" s="197" cm="1">
        <f t="array" ref="M198">SUMPRODUCT((Tableau6[ASSISTANTE]=B198)*((Tableau6[Avancement]="cloture")))</f>
        <v>0</v>
      </c>
      <c r="N198" s="200">
        <f t="shared" si="493"/>
        <v>0</v>
      </c>
      <c r="O198" s="197" cm="1">
        <f t="array" ref="O198">SUMPRODUCT((Tableau6[ASSISTANTE]=B198)*((Tableau6[Avancement]="stand by")))</f>
        <v>0</v>
      </c>
      <c r="P198" s="210">
        <f t="shared" si="494"/>
        <v>6</v>
      </c>
      <c r="Q198" s="69">
        <f>P198-G176</f>
        <v>-2</v>
      </c>
      <c r="DV198" s="303"/>
      <c r="DW198" s="303"/>
      <c r="DX198" s="7"/>
      <c r="DY198" s="303"/>
      <c r="DZ198" s="303"/>
      <c r="EA198" s="303"/>
      <c r="GP198" s="7"/>
      <c r="GQ198" s="7"/>
      <c r="GR198" s="7"/>
      <c r="GS198" s="7"/>
      <c r="GT198" s="7"/>
      <c r="GU198" s="7"/>
      <c r="GV198" s="7"/>
      <c r="GW198" s="7"/>
    </row>
    <row r="199" spans="2:205">
      <c r="B199" s="210" t="s">
        <v>137</v>
      </c>
      <c r="C199" s="197" cm="1">
        <f t="array" ref="C199">SUMPRODUCT((Tableau6[ASSISTANTE]=B199)*((Tableau6[Avancement]="Faisa")+(Tableau6[Avancement]="ESQ")+(Tableau6[Avancement]="APS")+(Tableau6[Avancement]="PC")+(Tableau6[Avancement]="APD")))</f>
        <v>1</v>
      </c>
      <c r="D199" s="200">
        <f t="shared" si="488"/>
        <v>0.1</v>
      </c>
      <c r="E199" s="197" cm="1">
        <f t="array" ref="E199">SUMPRODUCT((Tableau6[ASSISTANTE]=B199)*((Tableau6[Avancement]="PRO")+(Tableau6[Avancement]="DCE")+(Tableau6[Avancement]="AO")))</f>
        <v>0</v>
      </c>
      <c r="F199" s="200">
        <f t="shared" si="489"/>
        <v>0</v>
      </c>
      <c r="G199" s="197" cm="1">
        <f t="array" ref="G199">SUMPRODUCT((Tableau6[ASSISTANTE]=B199)*((Tableau6[Avancement]="OS")))</f>
        <v>0</v>
      </c>
      <c r="H199" s="200" t="e">
        <f t="shared" si="490"/>
        <v>#DIV/0!</v>
      </c>
      <c r="I199" s="197" cm="1">
        <f t="array" ref="I199">SUMPRODUCT((Tableau6[ASSISTANTE]=B199)*((Tableau6[Avancement]="Tvx")+(Tableau6[Avancement]="Réception")))</f>
        <v>2</v>
      </c>
      <c r="J199" s="200">
        <f t="shared" si="491"/>
        <v>0.16666666666666666</v>
      </c>
      <c r="K199" s="197" cm="1">
        <f t="array" ref="K199">SUMPRODUCT((Tableau6[ASSISTANTE]=B199)*((Tableau6[Avancement]="GPA")))</f>
        <v>0</v>
      </c>
      <c r="L199" s="200">
        <f t="shared" si="492"/>
        <v>0</v>
      </c>
      <c r="M199" s="197" cm="1">
        <f t="array" ref="M199">SUMPRODUCT((Tableau6[ASSISTANTE]=B199)*((Tableau6[Avancement]="cloture")))</f>
        <v>1</v>
      </c>
      <c r="N199" s="200">
        <f t="shared" si="493"/>
        <v>0.5</v>
      </c>
      <c r="O199" s="197" cm="1">
        <f t="array" ref="O199">SUMPRODUCT((Tableau6[ASSISTANTE]=B199)*((Tableau6[Avancement]="stand by")))</f>
        <v>0</v>
      </c>
      <c r="P199" s="210">
        <f t="shared" si="494"/>
        <v>4</v>
      </c>
      <c r="Q199" s="69">
        <f>P199-H176</f>
        <v>0</v>
      </c>
      <c r="DV199" s="303"/>
      <c r="DW199" s="303"/>
      <c r="DX199" s="7"/>
      <c r="DY199" s="303"/>
      <c r="DZ199" s="303"/>
      <c r="EA199" s="303"/>
      <c r="GP199" s="7"/>
      <c r="GQ199" s="7"/>
      <c r="GR199" s="7"/>
      <c r="GS199" s="7"/>
      <c r="GT199" s="7"/>
      <c r="GU199" s="7"/>
      <c r="GV199" s="7"/>
      <c r="GW199" s="7"/>
    </row>
    <row r="200" spans="2:205" ht="15" thickBot="1">
      <c r="B200" s="211" t="s">
        <v>329</v>
      </c>
      <c r="C200" s="196" cm="1">
        <f t="array" ref="C200">SUMPRODUCT((Tableau6[ASSISTANTE]=B200)*((Tableau6[Avancement]="Faisa")+(Tableau6[Avancement]="ESQ")+(Tableau6[Avancement]="APS")+(Tableau6[Avancement]="PC")+(Tableau6[Avancement]="APD")))</f>
        <v>2</v>
      </c>
      <c r="D200" s="201">
        <f t="shared" si="488"/>
        <v>0.2</v>
      </c>
      <c r="E200" s="196" cm="1">
        <f t="array" ref="E200">SUMPRODUCT((Tableau6[ASSISTANTE]=B200)*((Tableau6[Avancement]="PRO")+(Tableau6[Avancement]="DCE")+(Tableau6[Avancement]="AO")))</f>
        <v>1</v>
      </c>
      <c r="F200" s="201">
        <f t="shared" si="489"/>
        <v>9.0909090909090912E-2</v>
      </c>
      <c r="G200" s="196" cm="1">
        <f t="array" ref="G200">SUMPRODUCT((Tableau6[ASSISTANTE]=B200)*((Tableau6[Avancement]="OS")))</f>
        <v>0</v>
      </c>
      <c r="H200" s="201" t="e">
        <f t="shared" si="490"/>
        <v>#DIV/0!</v>
      </c>
      <c r="I200" s="196" cm="1">
        <f t="array" ref="I200">SUMPRODUCT((Tableau6[ASSISTANTE]=B200)*((Tableau6[Avancement]="Tvx")+(Tableau6[Avancement]="Réception")))</f>
        <v>3</v>
      </c>
      <c r="J200" s="201">
        <f t="shared" si="491"/>
        <v>0.25</v>
      </c>
      <c r="K200" s="196" cm="1">
        <f t="array" ref="K200">SUMPRODUCT((Tableau6[ASSISTANTE]=B200)*((Tableau6[Avancement]="GPA")))</f>
        <v>4</v>
      </c>
      <c r="L200" s="201">
        <f t="shared" si="492"/>
        <v>0.5714285714285714</v>
      </c>
      <c r="M200" s="196" cm="1">
        <f t="array" ref="M200">SUMPRODUCT((Tableau6[ASSISTANTE]=B200)*((Tableau6[Avancement]="cloture")))</f>
        <v>0</v>
      </c>
      <c r="N200" s="201">
        <f t="shared" si="493"/>
        <v>0</v>
      </c>
      <c r="O200" s="196" cm="1">
        <f t="array" ref="O200">SUMPRODUCT((Tableau6[ASSISTANTE]=B200)*((Tableau6[Avancement]="stand by")))</f>
        <v>0</v>
      </c>
      <c r="P200" s="211">
        <f t="shared" si="494"/>
        <v>10</v>
      </c>
      <c r="Q200" s="69">
        <f>P200-I176</f>
        <v>-2</v>
      </c>
      <c r="DV200" s="303"/>
      <c r="DW200" s="303"/>
      <c r="DX200" s="7"/>
      <c r="DY200" s="303"/>
      <c r="DZ200" s="303"/>
      <c r="EA200" s="303"/>
      <c r="GP200" s="7"/>
      <c r="GQ200" s="7"/>
      <c r="GR200" s="7"/>
      <c r="GS200" s="7"/>
      <c r="GT200" s="7"/>
      <c r="GU200" s="7"/>
      <c r="GV200" s="7"/>
      <c r="GW200" s="7"/>
    </row>
    <row r="201" spans="2:205" ht="15" thickBot="1">
      <c r="C201" s="202">
        <f t="shared" ref="C201:H201" si="495">SUM(C194:C200)</f>
        <v>10</v>
      </c>
      <c r="D201" s="203">
        <f t="shared" si="495"/>
        <v>1</v>
      </c>
      <c r="E201" s="202">
        <f t="shared" si="495"/>
        <v>11</v>
      </c>
      <c r="F201" s="205">
        <f t="shared" si="495"/>
        <v>1</v>
      </c>
      <c r="G201" s="202">
        <f t="shared" si="495"/>
        <v>0</v>
      </c>
      <c r="H201" s="205" t="e">
        <f t="shared" si="495"/>
        <v>#DIV/0!</v>
      </c>
      <c r="I201" s="204">
        <f>SUBTOTAL(9,I194:I200)</f>
        <v>12</v>
      </c>
      <c r="J201" s="206">
        <f>SUBTOTAL(9,J194:J200)</f>
        <v>0.99999999999999989</v>
      </c>
      <c r="K201" s="198">
        <f>SUM(K194:K200)</f>
        <v>7</v>
      </c>
      <c r="L201" s="207">
        <f>SUM(L194:L200)</f>
        <v>1</v>
      </c>
      <c r="M201" s="198">
        <f>SUM(M194:M200)</f>
        <v>2</v>
      </c>
      <c r="N201" s="208">
        <f>SUM(N194:N200)</f>
        <v>1</v>
      </c>
      <c r="O201" s="14">
        <f>SUBTOTAL(9,O194:O200)</f>
        <v>2</v>
      </c>
      <c r="P201" s="16">
        <f>SUBTOTAL(9,P194:P200)</f>
        <v>44</v>
      </c>
      <c r="Q201" s="69">
        <f>P201-B176</f>
        <v>-10</v>
      </c>
      <c r="DV201" s="303"/>
      <c r="DW201" s="303"/>
      <c r="DX201" s="7"/>
      <c r="DY201" s="303"/>
      <c r="DZ201" s="303"/>
      <c r="EA201" s="303"/>
      <c r="GP201" s="7"/>
      <c r="GQ201" s="7"/>
      <c r="GR201" s="7"/>
      <c r="GS201" s="7"/>
      <c r="GT201" s="7"/>
      <c r="GU201" s="7"/>
      <c r="GV201" s="7"/>
      <c r="GW201" s="7"/>
    </row>
    <row r="202" spans="2:205">
      <c r="DV202" s="303"/>
      <c r="DW202" s="303"/>
      <c r="DX202" s="7"/>
      <c r="DY202" s="303"/>
      <c r="DZ202" s="303"/>
      <c r="EA202" s="303"/>
      <c r="GP202" s="7"/>
      <c r="GQ202" s="7"/>
      <c r="GR202" s="7"/>
      <c r="GS202" s="7"/>
      <c r="GT202" s="7"/>
      <c r="GU202" s="7"/>
      <c r="GV202" s="7"/>
      <c r="GW202" s="7"/>
    </row>
    <row r="203" spans="2:205">
      <c r="DV203" s="303"/>
      <c r="DW203" s="303"/>
      <c r="DX203" s="7"/>
      <c r="DY203" s="303"/>
      <c r="DZ203" s="303"/>
      <c r="EA203" s="303"/>
      <c r="GP203" s="7"/>
      <c r="GQ203" s="7"/>
      <c r="GR203" s="7"/>
      <c r="GS203" s="7"/>
      <c r="GT203" s="7"/>
      <c r="GU203" s="7"/>
      <c r="GV203" s="7"/>
      <c r="GW203" s="7"/>
    </row>
    <row r="204" spans="2:205">
      <c r="DV204" s="303"/>
      <c r="DW204" s="303"/>
      <c r="DX204" s="7"/>
      <c r="DY204" s="303"/>
      <c r="DZ204" s="303"/>
      <c r="EA204" s="303"/>
      <c r="GP204" s="7"/>
      <c r="GQ204" s="7"/>
      <c r="GR204" s="7"/>
      <c r="GS204" s="7"/>
      <c r="GT204" s="7"/>
      <c r="GU204" s="7"/>
      <c r="GV204" s="7"/>
      <c r="GW204" s="7"/>
    </row>
    <row r="205" spans="2:205">
      <c r="DV205" s="303"/>
      <c r="DW205" s="303"/>
      <c r="DX205" s="7"/>
      <c r="DY205" s="303"/>
      <c r="DZ205" s="303"/>
      <c r="EA205" s="303"/>
      <c r="GP205" s="7"/>
      <c r="GQ205" s="7"/>
      <c r="GR205" s="7"/>
      <c r="GS205" s="7"/>
      <c r="GT205" s="7"/>
      <c r="GU205" s="7"/>
      <c r="GV205" s="7"/>
      <c r="GW205" s="7"/>
    </row>
    <row r="206" spans="2:205">
      <c r="DV206" s="303"/>
      <c r="DW206" s="303"/>
      <c r="DX206" s="7"/>
      <c r="DY206" s="303"/>
      <c r="DZ206" s="303"/>
      <c r="EA206" s="303"/>
      <c r="GP206" s="7"/>
      <c r="GQ206" s="7"/>
      <c r="GR206" s="7"/>
      <c r="GS206" s="7"/>
      <c r="GT206" s="7"/>
      <c r="GU206" s="7"/>
      <c r="GV206" s="7"/>
      <c r="GW206" s="7"/>
    </row>
    <row r="207" spans="2:205">
      <c r="DV207" s="303"/>
      <c r="DW207" s="303"/>
      <c r="DX207" s="7"/>
      <c r="DY207" s="303"/>
      <c r="DZ207" s="303"/>
      <c r="EA207" s="303"/>
      <c r="GP207" s="7"/>
      <c r="GQ207" s="7"/>
      <c r="GR207" s="7"/>
      <c r="GS207" s="7"/>
      <c r="GT207" s="7"/>
      <c r="GU207" s="7"/>
      <c r="GV207" s="7"/>
      <c r="GW207" s="7"/>
    </row>
    <row r="208" spans="2:205">
      <c r="DV208" s="303"/>
      <c r="DW208" s="303"/>
      <c r="DX208" s="7"/>
      <c r="DY208" s="303"/>
      <c r="DZ208" s="303"/>
      <c r="EA208" s="303"/>
      <c r="GP208" s="7"/>
      <c r="GQ208" s="7"/>
      <c r="GR208" s="7"/>
      <c r="GS208" s="7"/>
      <c r="GT208" s="7"/>
      <c r="GU208" s="7"/>
      <c r="GV208" s="7"/>
      <c r="GW208" s="7"/>
    </row>
    <row r="209" spans="126:205">
      <c r="DV209" s="303"/>
      <c r="DW209" s="303"/>
      <c r="DX209" s="7"/>
      <c r="DY209" s="303"/>
      <c r="DZ209" s="303"/>
      <c r="EA209" s="303"/>
      <c r="GP209" s="7"/>
      <c r="GQ209" s="7"/>
      <c r="GR209" s="7"/>
      <c r="GS209" s="7"/>
      <c r="GT209" s="7"/>
      <c r="GU209" s="7"/>
      <c r="GV209" s="7"/>
      <c r="GW209" s="7"/>
    </row>
    <row r="210" spans="126:205">
      <c r="DV210" s="303"/>
      <c r="DW210" s="303"/>
      <c r="DX210" s="7"/>
      <c r="DY210" s="303"/>
      <c r="DZ210" s="303"/>
      <c r="EA210" s="303"/>
      <c r="GP210" s="7"/>
      <c r="GQ210" s="7"/>
      <c r="GR210" s="7"/>
      <c r="GS210" s="7"/>
      <c r="GT210" s="7"/>
      <c r="GU210" s="7"/>
      <c r="GV210" s="7"/>
      <c r="GW210" s="7"/>
    </row>
    <row r="211" spans="126:205">
      <c r="DV211" s="303"/>
      <c r="DW211" s="303"/>
      <c r="DX211" s="7"/>
      <c r="DY211" s="303"/>
      <c r="DZ211" s="303"/>
      <c r="EA211" s="303"/>
      <c r="GP211" s="7"/>
      <c r="GQ211" s="7"/>
      <c r="GR211" s="7"/>
      <c r="GS211" s="7"/>
      <c r="GT211" s="7"/>
      <c r="GU211" s="7"/>
      <c r="GV211" s="7"/>
      <c r="GW211" s="7"/>
    </row>
    <row r="212" spans="126:205">
      <c r="DV212" s="303"/>
      <c r="DW212" s="303"/>
      <c r="DX212" s="7"/>
      <c r="DY212" s="303"/>
      <c r="DZ212" s="303"/>
      <c r="EA212" s="303"/>
      <c r="GP212" s="7"/>
      <c r="GQ212" s="7"/>
      <c r="GR212" s="7"/>
      <c r="GS212" s="7"/>
      <c r="GT212" s="7"/>
      <c r="GU212" s="7"/>
      <c r="GV212" s="7"/>
      <c r="GW212" s="7"/>
    </row>
    <row r="213" spans="126:205">
      <c r="DV213" s="303"/>
      <c r="DW213" s="303"/>
      <c r="DX213" s="7"/>
      <c r="DY213" s="303"/>
      <c r="DZ213" s="303"/>
      <c r="EA213" s="303"/>
      <c r="GP213" s="7"/>
      <c r="GQ213" s="7"/>
      <c r="GR213" s="7"/>
      <c r="GS213" s="7"/>
      <c r="GT213" s="7"/>
      <c r="GU213" s="7"/>
      <c r="GV213" s="7"/>
      <c r="GW213" s="7"/>
    </row>
    <row r="214" spans="126:205">
      <c r="DV214" s="303"/>
      <c r="DW214" s="303"/>
      <c r="DX214" s="7"/>
      <c r="DY214" s="303"/>
      <c r="DZ214" s="303"/>
      <c r="EA214" s="303"/>
      <c r="GP214" s="7"/>
      <c r="GQ214" s="7"/>
      <c r="GR214" s="7"/>
      <c r="GS214" s="7"/>
      <c r="GT214" s="7"/>
      <c r="GU214" s="7"/>
      <c r="GV214" s="7"/>
      <c r="GW214" s="7"/>
    </row>
    <row r="215" spans="126:205">
      <c r="DV215" s="303"/>
      <c r="DW215" s="303"/>
      <c r="DX215" s="7"/>
      <c r="DY215" s="303"/>
      <c r="DZ215" s="303"/>
      <c r="EA215" s="303"/>
      <c r="GP215" s="7"/>
      <c r="GQ215" s="7"/>
      <c r="GR215" s="7"/>
      <c r="GS215" s="7"/>
      <c r="GT215" s="7"/>
      <c r="GU215" s="7"/>
      <c r="GV215" s="7"/>
      <c r="GW215" s="7"/>
    </row>
    <row r="216" spans="126:205">
      <c r="DV216" s="303"/>
      <c r="DW216" s="303"/>
      <c r="DX216" s="7"/>
      <c r="DY216" s="303"/>
      <c r="DZ216" s="303"/>
      <c r="EA216" s="303"/>
      <c r="GP216" s="7"/>
      <c r="GQ216" s="7"/>
      <c r="GR216" s="7"/>
      <c r="GS216" s="7"/>
      <c r="GT216" s="7"/>
      <c r="GU216" s="7"/>
      <c r="GV216" s="7"/>
      <c r="GW216" s="7"/>
    </row>
    <row r="217" spans="126:205">
      <c r="DV217" s="303"/>
      <c r="DW217" s="303"/>
      <c r="DX217" s="7"/>
      <c r="DY217" s="303"/>
      <c r="DZ217" s="303"/>
      <c r="EA217" s="303"/>
      <c r="GP217" s="7"/>
      <c r="GQ217" s="7"/>
      <c r="GR217" s="7"/>
      <c r="GS217" s="7"/>
      <c r="GT217" s="7"/>
      <c r="GU217" s="7"/>
      <c r="GV217" s="7"/>
      <c r="GW217" s="7"/>
    </row>
    <row r="218" spans="126:205">
      <c r="DV218" s="303"/>
      <c r="DW218" s="303"/>
      <c r="DX218" s="7"/>
      <c r="DY218" s="303"/>
      <c r="DZ218" s="303"/>
      <c r="EA218" s="303"/>
      <c r="GP218" s="7"/>
      <c r="GQ218" s="7"/>
      <c r="GR218" s="7"/>
      <c r="GS218" s="7"/>
      <c r="GT218" s="7"/>
      <c r="GU218" s="7"/>
      <c r="GV218" s="7"/>
      <c r="GW218" s="7"/>
    </row>
    <row r="219" spans="126:205">
      <c r="DV219" s="303"/>
      <c r="DW219" s="303"/>
      <c r="DX219" s="7"/>
      <c r="DY219" s="303"/>
      <c r="DZ219" s="303"/>
      <c r="EA219" s="303"/>
      <c r="GP219" s="7"/>
      <c r="GQ219" s="7"/>
      <c r="GR219" s="7"/>
      <c r="GS219" s="7"/>
      <c r="GT219" s="7"/>
      <c r="GU219" s="7"/>
      <c r="GV219" s="7"/>
      <c r="GW219" s="7"/>
    </row>
    <row r="220" spans="126:205">
      <c r="DV220" s="303"/>
      <c r="DW220" s="303"/>
      <c r="DX220" s="7"/>
      <c r="DY220" s="303"/>
      <c r="DZ220" s="303"/>
      <c r="EA220" s="303"/>
      <c r="GP220" s="7"/>
      <c r="GQ220" s="7"/>
      <c r="GR220" s="7"/>
      <c r="GS220" s="7"/>
      <c r="GT220" s="7"/>
      <c r="GU220" s="7"/>
      <c r="GV220" s="7"/>
      <c r="GW220" s="7"/>
    </row>
    <row r="221" spans="126:205">
      <c r="DV221" s="303"/>
      <c r="DW221" s="303"/>
      <c r="DX221" s="7"/>
      <c r="DY221" s="303"/>
      <c r="DZ221" s="303"/>
      <c r="EA221" s="303"/>
      <c r="GP221" s="7"/>
      <c r="GQ221" s="7"/>
      <c r="GR221" s="7"/>
      <c r="GS221" s="7"/>
      <c r="GT221" s="7"/>
      <c r="GU221" s="7"/>
      <c r="GV221" s="7"/>
      <c r="GW221" s="7"/>
    </row>
    <row r="222" spans="126:205">
      <c r="DV222" s="303"/>
      <c r="DW222" s="303"/>
      <c r="DX222" s="7"/>
      <c r="DY222" s="303"/>
      <c r="DZ222" s="303"/>
      <c r="EA222" s="303"/>
      <c r="GP222" s="7"/>
      <c r="GQ222" s="7"/>
      <c r="GR222" s="7"/>
      <c r="GS222" s="7"/>
      <c r="GT222" s="7"/>
      <c r="GU222" s="7"/>
      <c r="GV222" s="7"/>
      <c r="GW222" s="7"/>
    </row>
    <row r="223" spans="126:205">
      <c r="DV223" s="303"/>
      <c r="DW223" s="303"/>
      <c r="DX223" s="7"/>
      <c r="DY223" s="303"/>
      <c r="DZ223" s="303"/>
      <c r="EA223" s="303"/>
      <c r="GP223" s="7"/>
      <c r="GQ223" s="7"/>
      <c r="GR223" s="7"/>
      <c r="GS223" s="7"/>
      <c r="GT223" s="7"/>
      <c r="GU223" s="7"/>
      <c r="GV223" s="7"/>
      <c r="GW223" s="7"/>
    </row>
    <row r="224" spans="126:205">
      <c r="DV224" s="303"/>
      <c r="DW224" s="303"/>
      <c r="DX224" s="7"/>
      <c r="DY224" s="303"/>
      <c r="DZ224" s="303"/>
      <c r="EA224" s="303"/>
      <c r="GP224" s="7"/>
      <c r="GQ224" s="7"/>
      <c r="GR224" s="7"/>
      <c r="GS224" s="7"/>
      <c r="GT224" s="7"/>
      <c r="GU224" s="7"/>
      <c r="GV224" s="7"/>
      <c r="GW224" s="7"/>
    </row>
    <row r="225" spans="1:256">
      <c r="DV225" s="303"/>
      <c r="DW225" s="303"/>
      <c r="DX225" s="7"/>
      <c r="DY225" s="303"/>
      <c r="DZ225" s="303"/>
      <c r="EA225" s="303"/>
      <c r="GP225" s="7"/>
      <c r="GQ225" s="7"/>
      <c r="GR225" s="7"/>
      <c r="GS225" s="7"/>
      <c r="GT225" s="7"/>
      <c r="GU225" s="7"/>
      <c r="GV225" s="7"/>
      <c r="GW225" s="7"/>
    </row>
    <row r="226" spans="1:256">
      <c r="DV226" s="303"/>
      <c r="DW226" s="303"/>
      <c r="DX226" s="7"/>
      <c r="DY226" s="303"/>
      <c r="DZ226" s="303"/>
      <c r="EA226" s="303"/>
      <c r="GP226" s="7"/>
      <c r="GQ226" s="7"/>
      <c r="GR226" s="7"/>
      <c r="GS226" s="7"/>
      <c r="GT226" s="7"/>
      <c r="GU226" s="7"/>
      <c r="GV226" s="7"/>
      <c r="GW226" s="7"/>
    </row>
    <row r="227" spans="1:256">
      <c r="DV227" s="303"/>
      <c r="DW227" s="303"/>
      <c r="DX227" s="7"/>
      <c r="DY227" s="303"/>
      <c r="DZ227" s="303"/>
      <c r="EA227" s="303"/>
      <c r="GP227" s="7"/>
      <c r="GQ227" s="7"/>
      <c r="GR227" s="7"/>
      <c r="GS227" s="7"/>
      <c r="GT227" s="7"/>
      <c r="GU227" s="7"/>
      <c r="GV227" s="7"/>
      <c r="GW227" s="7"/>
    </row>
    <row r="228" spans="1:256">
      <c r="DV228" s="303"/>
      <c r="DW228" s="303"/>
      <c r="DX228" s="7"/>
      <c r="DY228" s="303"/>
      <c r="DZ228" s="303"/>
      <c r="EA228" s="303"/>
      <c r="GP228" s="7"/>
      <c r="GQ228" s="7"/>
      <c r="GR228" s="7"/>
      <c r="GS228" s="7"/>
      <c r="GT228" s="7"/>
      <c r="GU228" s="7"/>
      <c r="GV228" s="7"/>
      <c r="GW228" s="7"/>
    </row>
    <row r="229" spans="1:256">
      <c r="DV229" s="303"/>
      <c r="DW229" s="303"/>
      <c r="DX229" s="7"/>
      <c r="DY229" s="303"/>
      <c r="DZ229" s="303"/>
      <c r="EA229" s="303"/>
      <c r="GP229" s="7"/>
      <c r="GQ229" s="7"/>
      <c r="GR229" s="7"/>
      <c r="GS229" s="7"/>
      <c r="GT229" s="7"/>
      <c r="GU229" s="7"/>
      <c r="GV229" s="7"/>
      <c r="GW229" s="7"/>
    </row>
    <row r="230" spans="1:256" s="19" customFormat="1">
      <c r="A230" s="611"/>
      <c r="B230" s="7"/>
      <c r="C230" s="7"/>
      <c r="D230" s="7"/>
      <c r="E230" s="7"/>
      <c r="F230" s="7"/>
      <c r="G230" s="7"/>
      <c r="H230" s="7"/>
      <c r="I230" s="7"/>
      <c r="J230" s="7"/>
      <c r="K230" s="155"/>
      <c r="L230" s="96"/>
      <c r="M230" s="96"/>
      <c r="N230" s="96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413"/>
      <c r="AK230" s="84"/>
      <c r="AL230" s="493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69"/>
      <c r="AX230" s="15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84"/>
      <c r="BK230" s="84"/>
      <c r="BL230" s="84"/>
      <c r="BM230" s="84"/>
      <c r="BN230" s="84"/>
      <c r="BO230" s="84"/>
      <c r="BP230" s="84"/>
      <c r="BQ230" s="84"/>
      <c r="BR230" s="531"/>
      <c r="BS230" s="84"/>
      <c r="BT230" s="84"/>
      <c r="BU230" s="84"/>
      <c r="BV230" s="84"/>
      <c r="BW230" s="84"/>
      <c r="BX230" s="84"/>
      <c r="BY230" s="84"/>
      <c r="BZ230" s="84"/>
      <c r="CA230" s="84"/>
      <c r="CB230" s="7"/>
      <c r="CC230" s="303"/>
      <c r="CD230" s="303"/>
      <c r="CE230" s="16"/>
      <c r="CF230" s="7"/>
      <c r="CG230" s="303"/>
      <c r="CH230" s="7"/>
      <c r="CI230" s="303"/>
      <c r="CJ230" s="7"/>
      <c r="CK230" s="7"/>
      <c r="CL230" s="7"/>
      <c r="CM230" s="7"/>
      <c r="CN230" s="7"/>
      <c r="CO230" s="303"/>
      <c r="CP230" s="303"/>
      <c r="CQ230" s="7"/>
      <c r="CR230" s="7"/>
      <c r="CS230" s="303"/>
      <c r="CT230" s="303"/>
      <c r="CU230" s="303"/>
      <c r="CV230" s="7"/>
      <c r="CW230" s="303"/>
      <c r="CX230" s="7"/>
      <c r="CY230" s="7"/>
      <c r="CZ230" s="7"/>
      <c r="DA230" s="7"/>
      <c r="DB230" s="115"/>
      <c r="DC230" s="7"/>
      <c r="DD230" s="303"/>
      <c r="DE230" s="303"/>
      <c r="DF230" s="16"/>
      <c r="DG230" s="303"/>
      <c r="DH230" s="303"/>
      <c r="DI230" s="7"/>
      <c r="DJ230" s="303"/>
      <c r="DK230" s="303"/>
      <c r="DL230" s="7"/>
      <c r="DM230" s="303"/>
      <c r="DN230" s="303"/>
      <c r="DO230" s="7"/>
      <c r="DP230" s="303"/>
      <c r="DQ230" s="303"/>
      <c r="DR230" s="7"/>
      <c r="DS230" s="303"/>
      <c r="DT230" s="303"/>
      <c r="DU230" s="7"/>
      <c r="DV230" s="303"/>
      <c r="DW230" s="303"/>
      <c r="DX230" s="7"/>
      <c r="DY230" s="303"/>
      <c r="DZ230" s="303"/>
      <c r="EA230" s="303"/>
      <c r="EB230" s="7"/>
      <c r="EC230" s="7"/>
      <c r="ED230" s="7"/>
      <c r="EE230" s="84"/>
      <c r="EF230" s="7"/>
      <c r="EG230" s="7"/>
      <c r="EH230" s="7"/>
      <c r="EI230" s="7"/>
      <c r="EJ230" s="7"/>
      <c r="EK230" s="7"/>
      <c r="EL230" s="7"/>
      <c r="EM230" s="173"/>
      <c r="EN230" s="7"/>
      <c r="EO230" s="7"/>
      <c r="EP230" s="7"/>
      <c r="EQ230" s="7"/>
      <c r="ER230" s="303"/>
      <c r="ES230" s="115"/>
      <c r="ET230" s="320"/>
      <c r="EU230" s="320"/>
      <c r="EV230" s="320"/>
      <c r="EW230" s="320"/>
      <c r="EX230" s="320"/>
      <c r="EY230" s="320"/>
      <c r="FA230" s="317"/>
      <c r="FB230" s="464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333"/>
      <c r="GB230" s="16"/>
      <c r="GC230" s="7"/>
      <c r="GD230" s="16"/>
      <c r="GE230" s="7"/>
      <c r="GF230" s="7"/>
      <c r="GG230" s="16"/>
      <c r="GH230" s="7"/>
      <c r="GI230" s="7"/>
      <c r="GJ230" s="16"/>
      <c r="GK230" s="7"/>
      <c r="GL230" s="7"/>
      <c r="GM230" s="7"/>
      <c r="GN230" s="34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16"/>
      <c r="HG230" s="16"/>
      <c r="HH230" s="7"/>
      <c r="HI230" s="7"/>
      <c r="HJ230" s="7"/>
      <c r="HK230" s="7"/>
      <c r="HL230" s="7"/>
      <c r="HM230" s="7"/>
      <c r="HN230" s="7"/>
      <c r="HO230" s="7"/>
      <c r="HP230" s="7"/>
      <c r="HQ230" s="7"/>
      <c r="HR230" s="7"/>
      <c r="HS230" s="7"/>
      <c r="HT230" s="30"/>
      <c r="HU230" s="30"/>
      <c r="HV230" s="30"/>
      <c r="HW230" s="30"/>
      <c r="HX230" s="30"/>
      <c r="HY230" s="30"/>
      <c r="HZ230" s="30"/>
      <c r="IA230" s="30"/>
      <c r="IB230" s="30"/>
      <c r="IC230" s="30"/>
      <c r="ID230" s="30"/>
      <c r="IE230" s="30"/>
      <c r="IF230" s="30"/>
      <c r="IG230" s="7"/>
      <c r="IH230" s="7"/>
      <c r="IT230" s="7"/>
      <c r="IU230" s="7"/>
      <c r="IV230" s="30"/>
    </row>
    <row r="231" spans="1:256" s="19" customFormat="1">
      <c r="A231" s="611"/>
      <c r="B231" s="7"/>
      <c r="C231" s="7"/>
      <c r="D231" s="7"/>
      <c r="E231" s="7"/>
      <c r="F231" s="7"/>
      <c r="G231" s="7"/>
      <c r="H231" s="7"/>
      <c r="I231" s="7"/>
      <c r="J231" s="7"/>
      <c r="K231" s="155"/>
      <c r="L231" s="96"/>
      <c r="M231" s="96"/>
      <c r="N231" s="96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413"/>
      <c r="AK231" s="84"/>
      <c r="AL231" s="493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69"/>
      <c r="AX231" s="15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84"/>
      <c r="BK231" s="84"/>
      <c r="BL231" s="84"/>
      <c r="BM231" s="84"/>
      <c r="BN231" s="84"/>
      <c r="BO231" s="84"/>
      <c r="BP231" s="84"/>
      <c r="BQ231" s="84"/>
      <c r="BR231" s="531"/>
      <c r="BS231" s="84"/>
      <c r="BT231" s="84"/>
      <c r="BU231" s="84"/>
      <c r="BV231" s="84"/>
      <c r="BW231" s="84"/>
      <c r="BX231" s="84"/>
      <c r="BY231" s="84"/>
      <c r="BZ231" s="84"/>
      <c r="CA231" s="84"/>
      <c r="CB231" s="7"/>
      <c r="CC231" s="303"/>
      <c r="CD231" s="303"/>
      <c r="CE231" s="16"/>
      <c r="CF231" s="7"/>
      <c r="CG231" s="303"/>
      <c r="CH231" s="7"/>
      <c r="CI231" s="303"/>
      <c r="CJ231" s="7"/>
      <c r="CK231" s="7"/>
      <c r="CL231" s="7"/>
      <c r="CM231" s="7"/>
      <c r="CN231" s="7"/>
      <c r="CO231" s="303"/>
      <c r="CP231" s="303"/>
      <c r="CQ231" s="7"/>
      <c r="CR231" s="7"/>
      <c r="CS231" s="303"/>
      <c r="CT231" s="303"/>
      <c r="CU231" s="303"/>
      <c r="CV231" s="7"/>
      <c r="CW231" s="303"/>
      <c r="CX231" s="7"/>
      <c r="CY231" s="7"/>
      <c r="CZ231" s="7"/>
      <c r="DA231" s="7"/>
      <c r="DB231" s="115"/>
      <c r="DC231" s="7"/>
      <c r="DD231" s="303"/>
      <c r="DE231" s="303"/>
      <c r="DF231" s="16"/>
      <c r="DG231" s="303"/>
      <c r="DH231" s="303"/>
      <c r="DI231" s="7"/>
      <c r="DJ231" s="303"/>
      <c r="DK231" s="303"/>
      <c r="DL231" s="7"/>
      <c r="DM231" s="303"/>
      <c r="DN231" s="303"/>
      <c r="DO231" s="7"/>
      <c r="DP231" s="303"/>
      <c r="DQ231" s="303"/>
      <c r="DR231" s="7"/>
      <c r="DS231" s="303"/>
      <c r="DT231" s="303"/>
      <c r="DU231" s="7"/>
      <c r="DV231" s="303"/>
      <c r="DW231" s="303"/>
      <c r="DX231" s="7"/>
      <c r="DY231" s="303"/>
      <c r="DZ231" s="303"/>
      <c r="EA231" s="303"/>
      <c r="EB231" s="7"/>
      <c r="EC231" s="7"/>
      <c r="ED231" s="7"/>
      <c r="EE231" s="84"/>
      <c r="EF231" s="7"/>
      <c r="EG231" s="7"/>
      <c r="EH231" s="7"/>
      <c r="EI231" s="7"/>
      <c r="EJ231" s="7"/>
      <c r="EK231" s="7"/>
      <c r="EL231" s="7"/>
      <c r="EM231" s="173"/>
      <c r="EN231" s="7"/>
      <c r="EO231" s="7"/>
      <c r="EP231" s="7"/>
      <c r="EQ231" s="7"/>
      <c r="ER231" s="303"/>
      <c r="ES231" s="115"/>
      <c r="ET231" s="320"/>
      <c r="EU231" s="320"/>
      <c r="EV231" s="320"/>
      <c r="EW231" s="320"/>
      <c r="EX231" s="320"/>
      <c r="EY231" s="320"/>
      <c r="FA231" s="317"/>
      <c r="FB231" s="464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333"/>
      <c r="GB231" s="16"/>
      <c r="GC231" s="7"/>
      <c r="GD231" s="16"/>
      <c r="GE231" s="7"/>
      <c r="GF231" s="7"/>
      <c r="GG231" s="16"/>
      <c r="GH231" s="7"/>
      <c r="GI231" s="7"/>
      <c r="GJ231" s="16"/>
      <c r="GK231" s="7"/>
      <c r="GL231" s="7"/>
      <c r="GM231" s="7"/>
      <c r="GN231" s="34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16"/>
      <c r="HG231" s="16"/>
      <c r="HH231" s="7"/>
      <c r="HI231" s="7"/>
      <c r="HJ231" s="7"/>
      <c r="HK231" s="7"/>
      <c r="HL231" s="7"/>
      <c r="HM231" s="7"/>
      <c r="HN231" s="7"/>
      <c r="HO231" s="7"/>
      <c r="HP231" s="7"/>
      <c r="HQ231" s="7"/>
      <c r="HR231" s="7"/>
      <c r="HS231" s="7"/>
      <c r="HT231" s="30"/>
      <c r="HU231" s="30"/>
      <c r="HV231" s="30"/>
      <c r="HW231" s="30"/>
      <c r="HX231" s="30"/>
      <c r="HY231" s="30"/>
      <c r="HZ231" s="30"/>
      <c r="IA231" s="30"/>
      <c r="IB231" s="30"/>
      <c r="IC231" s="30"/>
      <c r="ID231" s="30"/>
      <c r="IE231" s="30"/>
      <c r="IF231" s="30"/>
      <c r="IG231" s="7"/>
      <c r="IH231" s="7"/>
      <c r="IT231" s="7"/>
      <c r="IU231" s="7"/>
      <c r="IV231" s="30"/>
    </row>
    <row r="232" spans="1:256" s="19" customFormat="1">
      <c r="A232" s="611"/>
      <c r="B232" s="7"/>
      <c r="C232" s="7"/>
      <c r="D232" s="7"/>
      <c r="E232" s="7"/>
      <c r="F232" s="7"/>
      <c r="G232" s="7"/>
      <c r="H232" s="7"/>
      <c r="I232" s="7"/>
      <c r="J232" s="7"/>
      <c r="K232" s="155"/>
      <c r="L232" s="96"/>
      <c r="M232" s="96"/>
      <c r="N232" s="96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413"/>
      <c r="AK232" s="84"/>
      <c r="AL232" s="493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69"/>
      <c r="AX232" s="15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84"/>
      <c r="BK232" s="84"/>
      <c r="BL232" s="84"/>
      <c r="BM232" s="84"/>
      <c r="BN232" s="84"/>
      <c r="BO232" s="84"/>
      <c r="BP232" s="84"/>
      <c r="BQ232" s="84"/>
      <c r="BR232" s="531"/>
      <c r="BS232" s="84"/>
      <c r="BT232" s="84"/>
      <c r="BU232" s="84"/>
      <c r="BV232" s="84"/>
      <c r="BW232" s="84"/>
      <c r="BX232" s="84"/>
      <c r="BY232" s="84"/>
      <c r="BZ232" s="84"/>
      <c r="CA232" s="84"/>
      <c r="CB232" s="7"/>
      <c r="CC232" s="303"/>
      <c r="CD232" s="303"/>
      <c r="CE232" s="16"/>
      <c r="CF232" s="7"/>
      <c r="CG232" s="303"/>
      <c r="CH232" s="7"/>
      <c r="CI232" s="303"/>
      <c r="CJ232" s="7"/>
      <c r="CK232" s="7"/>
      <c r="CL232" s="7"/>
      <c r="CM232" s="7"/>
      <c r="CN232" s="7"/>
      <c r="CO232" s="303"/>
      <c r="CP232" s="303"/>
      <c r="CQ232" s="7"/>
      <c r="CR232" s="7"/>
      <c r="CS232" s="303"/>
      <c r="CT232" s="303"/>
      <c r="CU232" s="303"/>
      <c r="CV232" s="7"/>
      <c r="CW232" s="303"/>
      <c r="CX232" s="7"/>
      <c r="CY232" s="7"/>
      <c r="CZ232" s="7"/>
      <c r="DA232" s="7"/>
      <c r="DB232" s="115"/>
      <c r="DC232" s="7"/>
      <c r="DD232" s="303"/>
      <c r="DE232" s="303"/>
      <c r="DF232" s="16"/>
      <c r="DG232" s="303"/>
      <c r="DH232" s="303"/>
      <c r="DI232" s="7"/>
      <c r="DJ232" s="303"/>
      <c r="DK232" s="303"/>
      <c r="DL232" s="7"/>
      <c r="DM232" s="303"/>
      <c r="DN232" s="303"/>
      <c r="DO232" s="7"/>
      <c r="DP232" s="303"/>
      <c r="DQ232" s="303"/>
      <c r="DR232" s="7"/>
      <c r="DS232" s="303"/>
      <c r="DT232" s="303"/>
      <c r="DU232" s="7"/>
      <c r="DV232" s="303"/>
      <c r="DW232" s="303"/>
      <c r="DX232" s="7"/>
      <c r="DY232" s="303"/>
      <c r="DZ232" s="303"/>
      <c r="EA232" s="303"/>
      <c r="EB232" s="7"/>
      <c r="EC232" s="7"/>
      <c r="ED232" s="7"/>
      <c r="EE232" s="84"/>
      <c r="EF232" s="7"/>
      <c r="EG232" s="7"/>
      <c r="EH232" s="7"/>
      <c r="EI232" s="7"/>
      <c r="EJ232" s="7"/>
      <c r="EK232" s="7"/>
      <c r="EL232" s="7"/>
      <c r="EM232" s="173"/>
      <c r="EN232" s="7"/>
      <c r="EO232" s="7"/>
      <c r="EP232" s="7"/>
      <c r="EQ232" s="7"/>
      <c r="ER232" s="303"/>
      <c r="ES232" s="115"/>
      <c r="ET232" s="320"/>
      <c r="EU232" s="320"/>
      <c r="EV232" s="320"/>
      <c r="EW232" s="320"/>
      <c r="EX232" s="320"/>
      <c r="EY232" s="320"/>
      <c r="FA232" s="317"/>
      <c r="FB232" s="464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  <c r="GA232" s="333"/>
      <c r="GB232" s="16"/>
      <c r="GC232" s="7"/>
      <c r="GD232" s="16"/>
      <c r="GE232" s="7"/>
      <c r="GF232" s="7"/>
      <c r="GG232" s="16"/>
      <c r="GH232" s="7"/>
      <c r="GI232" s="7"/>
      <c r="GJ232" s="16"/>
      <c r="GK232" s="7"/>
      <c r="GL232" s="7"/>
      <c r="GM232" s="7"/>
      <c r="GN232" s="347"/>
      <c r="GO232" s="7"/>
      <c r="GP232" s="7"/>
      <c r="GQ232" s="7"/>
      <c r="GR232" s="7"/>
      <c r="GS232" s="7"/>
      <c r="GT232" s="7"/>
      <c r="GU232" s="7"/>
      <c r="GV232" s="7"/>
      <c r="GW232" s="7"/>
      <c r="GX232" s="7"/>
      <c r="GY232" s="7"/>
      <c r="GZ232" s="7"/>
      <c r="HA232" s="7"/>
      <c r="HB232" s="7"/>
      <c r="HC232" s="7"/>
      <c r="HD232" s="7"/>
      <c r="HE232" s="7"/>
      <c r="HF232" s="16"/>
      <c r="HG232" s="16"/>
      <c r="HH232" s="7"/>
      <c r="HI232" s="7"/>
      <c r="HJ232" s="7"/>
      <c r="HK232" s="7"/>
      <c r="HL232" s="7"/>
      <c r="HM232" s="7"/>
      <c r="HN232" s="7"/>
      <c r="HO232" s="7"/>
      <c r="HP232" s="7"/>
      <c r="HQ232" s="7"/>
      <c r="HR232" s="7"/>
      <c r="HS232" s="7"/>
      <c r="HT232" s="30"/>
      <c r="HU232" s="30"/>
      <c r="HV232" s="30"/>
      <c r="HW232" s="30"/>
      <c r="HX232" s="30"/>
      <c r="HY232" s="30"/>
      <c r="HZ232" s="30"/>
      <c r="IA232" s="30"/>
      <c r="IB232" s="30"/>
      <c r="IC232" s="30"/>
      <c r="ID232" s="30"/>
      <c r="IE232" s="30"/>
      <c r="IF232" s="30"/>
      <c r="IG232" s="7"/>
      <c r="IH232" s="7"/>
      <c r="IT232" s="7"/>
      <c r="IU232" s="7"/>
      <c r="IV232" s="30"/>
    </row>
    <row r="233" spans="1:256" s="19" customFormat="1">
      <c r="A233" s="611"/>
      <c r="B233" s="7"/>
      <c r="C233" s="7"/>
      <c r="D233" s="7"/>
      <c r="E233" s="7"/>
      <c r="F233" s="7"/>
      <c r="G233" s="7"/>
      <c r="H233" s="7"/>
      <c r="I233" s="7"/>
      <c r="J233" s="7"/>
      <c r="K233" s="155"/>
      <c r="L233" s="96"/>
      <c r="M233" s="96"/>
      <c r="N233" s="96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413"/>
      <c r="AK233" s="84"/>
      <c r="AL233" s="493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69"/>
      <c r="AX233" s="15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84"/>
      <c r="BK233" s="84"/>
      <c r="BL233" s="84"/>
      <c r="BM233" s="84"/>
      <c r="BN233" s="84"/>
      <c r="BO233" s="84"/>
      <c r="BP233" s="84"/>
      <c r="BQ233" s="84"/>
      <c r="BR233" s="531"/>
      <c r="BS233" s="84"/>
      <c r="BT233" s="84"/>
      <c r="BU233" s="84"/>
      <c r="BV233" s="84"/>
      <c r="BW233" s="84"/>
      <c r="BX233" s="84"/>
      <c r="BY233" s="84"/>
      <c r="BZ233" s="84"/>
      <c r="CA233" s="84"/>
      <c r="CB233" s="7"/>
      <c r="CC233" s="303"/>
      <c r="CD233" s="303"/>
      <c r="CE233" s="16"/>
      <c r="CF233" s="7"/>
      <c r="CG233" s="303"/>
      <c r="CH233" s="7"/>
      <c r="CI233" s="303"/>
      <c r="CJ233" s="7"/>
      <c r="CK233" s="7"/>
      <c r="CL233" s="7"/>
      <c r="CM233" s="7"/>
      <c r="CN233" s="7"/>
      <c r="CO233" s="303"/>
      <c r="CP233" s="303"/>
      <c r="CQ233" s="7"/>
      <c r="CR233" s="7"/>
      <c r="CS233" s="303"/>
      <c r="CT233" s="303"/>
      <c r="CU233" s="303"/>
      <c r="CV233" s="7"/>
      <c r="CW233" s="303"/>
      <c r="CX233" s="7"/>
      <c r="CY233" s="7"/>
      <c r="CZ233" s="7"/>
      <c r="DA233" s="7"/>
      <c r="DB233" s="115"/>
      <c r="DC233" s="7"/>
      <c r="DD233" s="303"/>
      <c r="DE233" s="303"/>
      <c r="DF233" s="16"/>
      <c r="DG233" s="303"/>
      <c r="DH233" s="303"/>
      <c r="DI233" s="7"/>
      <c r="DJ233" s="303"/>
      <c r="DK233" s="303"/>
      <c r="DL233" s="7"/>
      <c r="DM233" s="303"/>
      <c r="DN233" s="303"/>
      <c r="DO233" s="7"/>
      <c r="DP233" s="303"/>
      <c r="DQ233" s="303"/>
      <c r="DR233" s="7"/>
      <c r="DS233" s="303"/>
      <c r="DT233" s="303"/>
      <c r="DU233" s="7"/>
      <c r="DV233" s="303"/>
      <c r="DW233" s="303"/>
      <c r="DX233" s="7"/>
      <c r="DY233" s="303"/>
      <c r="DZ233" s="303"/>
      <c r="EA233" s="303"/>
      <c r="EB233" s="7"/>
      <c r="EC233" s="7"/>
      <c r="ED233" s="7"/>
      <c r="EE233" s="84"/>
      <c r="EF233" s="7"/>
      <c r="EG233" s="7"/>
      <c r="EH233" s="7"/>
      <c r="EI233" s="7"/>
      <c r="EJ233" s="7"/>
      <c r="EK233" s="7"/>
      <c r="EL233" s="7"/>
      <c r="EM233" s="173"/>
      <c r="EN233" s="7"/>
      <c r="EO233" s="7"/>
      <c r="EP233" s="7"/>
      <c r="EQ233" s="7"/>
      <c r="ER233" s="303"/>
      <c r="ES233" s="115"/>
      <c r="ET233" s="320"/>
      <c r="EU233" s="320"/>
      <c r="EV233" s="320"/>
      <c r="EW233" s="320"/>
      <c r="EX233" s="320"/>
      <c r="EY233" s="320"/>
      <c r="FA233" s="317"/>
      <c r="FB233" s="464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  <c r="GA233" s="333"/>
      <c r="GB233" s="16"/>
      <c r="GC233" s="7"/>
      <c r="GD233" s="16"/>
      <c r="GE233" s="7"/>
      <c r="GF233" s="7"/>
      <c r="GG233" s="16"/>
      <c r="GH233" s="7"/>
      <c r="GI233" s="7"/>
      <c r="GJ233" s="16"/>
      <c r="GK233" s="7"/>
      <c r="GL233" s="7"/>
      <c r="GM233" s="7"/>
      <c r="GN233" s="347"/>
      <c r="GO233" s="7"/>
      <c r="GP233" s="7"/>
      <c r="GQ233" s="7"/>
      <c r="GR233" s="7"/>
      <c r="GS233" s="7"/>
      <c r="GT233" s="7"/>
      <c r="GU233" s="7"/>
      <c r="GV233" s="7"/>
      <c r="GW233" s="7"/>
      <c r="GX233" s="7"/>
      <c r="GY233" s="7"/>
      <c r="GZ233" s="7"/>
      <c r="HA233" s="7"/>
      <c r="HB233" s="7"/>
      <c r="HC233" s="7"/>
      <c r="HD233" s="7"/>
      <c r="HE233" s="7"/>
      <c r="HF233" s="16"/>
      <c r="HG233" s="16"/>
      <c r="HH233" s="7"/>
      <c r="HI233" s="7"/>
      <c r="HJ233" s="7"/>
      <c r="HK233" s="7"/>
      <c r="HL233" s="7"/>
      <c r="HM233" s="7"/>
      <c r="HN233" s="7"/>
      <c r="HO233" s="7"/>
      <c r="HP233" s="7"/>
      <c r="HQ233" s="7"/>
      <c r="HR233" s="7"/>
      <c r="HS233" s="7"/>
      <c r="HT233" s="30"/>
      <c r="HU233" s="30"/>
      <c r="HV233" s="30"/>
      <c r="HW233" s="30"/>
      <c r="HX233" s="30"/>
      <c r="HY233" s="30"/>
      <c r="HZ233" s="30"/>
      <c r="IA233" s="30"/>
      <c r="IB233" s="30"/>
      <c r="IC233" s="30"/>
      <c r="ID233" s="30"/>
      <c r="IE233" s="30"/>
      <c r="IF233" s="30"/>
      <c r="IG233" s="7"/>
      <c r="IH233" s="7"/>
      <c r="IT233" s="7"/>
      <c r="IU233" s="7"/>
      <c r="IV233" s="30"/>
    </row>
    <row r="234" spans="1:256" s="19" customFormat="1">
      <c r="A234" s="611"/>
      <c r="B234" s="7"/>
      <c r="C234" s="7"/>
      <c r="D234" s="7"/>
      <c r="E234" s="7"/>
      <c r="F234" s="7"/>
      <c r="G234" s="7"/>
      <c r="H234" s="7"/>
      <c r="I234" s="7"/>
      <c r="J234" s="7"/>
      <c r="K234" s="155"/>
      <c r="L234" s="96"/>
      <c r="M234" s="96"/>
      <c r="N234" s="96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413"/>
      <c r="AK234" s="84"/>
      <c r="AL234" s="493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69"/>
      <c r="AX234" s="15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84"/>
      <c r="BK234" s="84"/>
      <c r="BL234" s="84"/>
      <c r="BM234" s="84"/>
      <c r="BN234" s="84"/>
      <c r="BO234" s="84"/>
      <c r="BP234" s="84"/>
      <c r="BQ234" s="84"/>
      <c r="BR234" s="531"/>
      <c r="BS234" s="84"/>
      <c r="BT234" s="84"/>
      <c r="BU234" s="84"/>
      <c r="BV234" s="84"/>
      <c r="BW234" s="84"/>
      <c r="BX234" s="84"/>
      <c r="BY234" s="84"/>
      <c r="BZ234" s="84"/>
      <c r="CA234" s="84"/>
      <c r="CB234" s="7"/>
      <c r="CC234" s="303"/>
      <c r="CD234" s="303"/>
      <c r="CE234" s="16"/>
      <c r="CF234" s="7"/>
      <c r="CG234" s="303"/>
      <c r="CH234" s="7"/>
      <c r="CI234" s="303"/>
      <c r="CJ234" s="7"/>
      <c r="CK234" s="7"/>
      <c r="CL234" s="7"/>
      <c r="CM234" s="7"/>
      <c r="CN234" s="7"/>
      <c r="CO234" s="303"/>
      <c r="CP234" s="303"/>
      <c r="CQ234" s="7"/>
      <c r="CR234" s="7"/>
      <c r="CS234" s="303"/>
      <c r="CT234" s="303"/>
      <c r="CU234" s="303"/>
      <c r="CV234" s="7"/>
      <c r="CW234" s="303"/>
      <c r="CX234" s="7"/>
      <c r="CY234" s="7"/>
      <c r="CZ234" s="7"/>
      <c r="DA234" s="7"/>
      <c r="DB234" s="115"/>
      <c r="DC234" s="7"/>
      <c r="DD234" s="303"/>
      <c r="DE234" s="303"/>
      <c r="DF234" s="16"/>
      <c r="DG234" s="303"/>
      <c r="DH234" s="303"/>
      <c r="DI234" s="7"/>
      <c r="DJ234" s="303"/>
      <c r="DK234" s="303"/>
      <c r="DL234" s="7"/>
      <c r="DM234" s="303"/>
      <c r="DN234" s="303"/>
      <c r="DO234" s="7"/>
      <c r="DP234" s="303"/>
      <c r="DQ234" s="303"/>
      <c r="DR234" s="7"/>
      <c r="DS234" s="303"/>
      <c r="DT234" s="303"/>
      <c r="DU234" s="7"/>
      <c r="DV234" s="303"/>
      <c r="DW234" s="303"/>
      <c r="DX234" s="7"/>
      <c r="DY234" s="303"/>
      <c r="DZ234" s="303"/>
      <c r="EA234" s="303"/>
      <c r="EB234" s="7"/>
      <c r="EC234" s="7"/>
      <c r="ED234" s="7"/>
      <c r="EE234" s="84"/>
      <c r="EF234" s="7"/>
      <c r="EG234" s="7"/>
      <c r="EH234" s="7"/>
      <c r="EI234" s="7"/>
      <c r="EJ234" s="7"/>
      <c r="EK234" s="7"/>
      <c r="EL234" s="7"/>
      <c r="EM234" s="173"/>
      <c r="EN234" s="7"/>
      <c r="EO234" s="7"/>
      <c r="EP234" s="7"/>
      <c r="EQ234" s="7"/>
      <c r="ER234" s="303"/>
      <c r="ES234" s="115"/>
      <c r="ET234" s="320"/>
      <c r="EU234" s="320"/>
      <c r="EV234" s="320"/>
      <c r="EW234" s="320"/>
      <c r="EX234" s="320"/>
      <c r="EY234" s="320"/>
      <c r="FA234" s="317"/>
      <c r="FB234" s="464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333"/>
      <c r="GB234" s="16"/>
      <c r="GC234" s="7"/>
      <c r="GD234" s="16"/>
      <c r="GE234" s="7"/>
      <c r="GF234" s="7"/>
      <c r="GG234" s="16"/>
      <c r="GH234" s="7"/>
      <c r="GI234" s="7"/>
      <c r="GJ234" s="16"/>
      <c r="GK234" s="7"/>
      <c r="GL234" s="7"/>
      <c r="GM234" s="7"/>
      <c r="GN234" s="34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16"/>
      <c r="HG234" s="16"/>
      <c r="HH234" s="7"/>
      <c r="HI234" s="7"/>
      <c r="HJ234" s="7"/>
      <c r="HK234" s="7"/>
      <c r="HL234" s="7"/>
      <c r="HM234" s="7"/>
      <c r="HN234" s="7"/>
      <c r="HO234" s="7"/>
      <c r="HP234" s="7"/>
      <c r="HQ234" s="7"/>
      <c r="HR234" s="7"/>
      <c r="HS234" s="7"/>
      <c r="HT234" s="30"/>
      <c r="HU234" s="30"/>
      <c r="HV234" s="30"/>
      <c r="HW234" s="30"/>
      <c r="HX234" s="30"/>
      <c r="HY234" s="30"/>
      <c r="HZ234" s="30"/>
      <c r="IA234" s="30"/>
      <c r="IB234" s="30"/>
      <c r="IC234" s="30"/>
      <c r="ID234" s="30"/>
      <c r="IE234" s="30"/>
      <c r="IF234" s="30"/>
      <c r="IG234" s="7"/>
      <c r="IH234" s="7"/>
      <c r="IT234" s="7"/>
      <c r="IU234" s="7"/>
      <c r="IV234" s="30"/>
    </row>
    <row r="235" spans="1:256" s="19" customFormat="1">
      <c r="A235" s="611"/>
      <c r="B235" s="7"/>
      <c r="C235" s="7"/>
      <c r="D235" s="7"/>
      <c r="E235" s="7"/>
      <c r="F235" s="7"/>
      <c r="G235" s="7"/>
      <c r="H235" s="7"/>
      <c r="I235" s="7"/>
      <c r="J235" s="7"/>
      <c r="K235" s="155"/>
      <c r="L235" s="96"/>
      <c r="M235" s="96"/>
      <c r="N235" s="96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413"/>
      <c r="AK235" s="84"/>
      <c r="AL235" s="493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69"/>
      <c r="AX235" s="15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84"/>
      <c r="BK235" s="84"/>
      <c r="BL235" s="84"/>
      <c r="BM235" s="84"/>
      <c r="BN235" s="84"/>
      <c r="BO235" s="84"/>
      <c r="BP235" s="84"/>
      <c r="BQ235" s="84"/>
      <c r="BR235" s="531"/>
      <c r="BS235" s="84"/>
      <c r="BT235" s="84"/>
      <c r="BU235" s="84"/>
      <c r="BV235" s="84"/>
      <c r="BW235" s="84"/>
      <c r="BX235" s="84"/>
      <c r="BY235" s="84"/>
      <c r="BZ235" s="84"/>
      <c r="CA235" s="84"/>
      <c r="CB235" s="7"/>
      <c r="CC235" s="303"/>
      <c r="CD235" s="303"/>
      <c r="CE235" s="16"/>
      <c r="CF235" s="7"/>
      <c r="CG235" s="303"/>
      <c r="CH235" s="7"/>
      <c r="CI235" s="303"/>
      <c r="CJ235" s="7"/>
      <c r="CK235" s="7"/>
      <c r="CL235" s="7"/>
      <c r="CM235" s="7"/>
      <c r="CN235" s="7"/>
      <c r="CO235" s="303"/>
      <c r="CP235" s="303"/>
      <c r="CQ235" s="7"/>
      <c r="CR235" s="7"/>
      <c r="CS235" s="303"/>
      <c r="CT235" s="303"/>
      <c r="CU235" s="303"/>
      <c r="CV235" s="7"/>
      <c r="CW235" s="303"/>
      <c r="CX235" s="7"/>
      <c r="CY235" s="7"/>
      <c r="CZ235" s="7"/>
      <c r="DA235" s="7"/>
      <c r="DB235" s="115"/>
      <c r="DC235" s="7"/>
      <c r="DD235" s="303"/>
      <c r="DE235" s="303"/>
      <c r="DF235" s="16"/>
      <c r="DG235" s="303"/>
      <c r="DH235" s="303"/>
      <c r="DI235" s="7"/>
      <c r="DJ235" s="303"/>
      <c r="DK235" s="303"/>
      <c r="DL235" s="7"/>
      <c r="DM235" s="303"/>
      <c r="DN235" s="303"/>
      <c r="DO235" s="7"/>
      <c r="DP235" s="303"/>
      <c r="DQ235" s="303"/>
      <c r="DR235" s="7"/>
      <c r="DS235" s="303"/>
      <c r="DT235" s="303"/>
      <c r="DU235" s="7"/>
      <c r="DV235" s="303"/>
      <c r="DW235" s="303"/>
      <c r="DX235" s="7"/>
      <c r="DY235" s="303"/>
      <c r="DZ235" s="303"/>
      <c r="EA235" s="303"/>
      <c r="EB235" s="7"/>
      <c r="EC235" s="7"/>
      <c r="ED235" s="7"/>
      <c r="EE235" s="84"/>
      <c r="EF235" s="7"/>
      <c r="EG235" s="7"/>
      <c r="EH235" s="7"/>
      <c r="EI235" s="7"/>
      <c r="EJ235" s="7"/>
      <c r="EK235" s="7"/>
      <c r="EL235" s="7"/>
      <c r="EM235" s="173"/>
      <c r="EN235" s="7"/>
      <c r="EO235" s="7"/>
      <c r="EP235" s="7"/>
      <c r="EQ235" s="7"/>
      <c r="ER235" s="303"/>
      <c r="ES235" s="115"/>
      <c r="ET235" s="320"/>
      <c r="EU235" s="320"/>
      <c r="EV235" s="320"/>
      <c r="EW235" s="320"/>
      <c r="EX235" s="320"/>
      <c r="EY235" s="320"/>
      <c r="FA235" s="317"/>
      <c r="FB235" s="464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333"/>
      <c r="GB235" s="16"/>
      <c r="GC235" s="7"/>
      <c r="GD235" s="16"/>
      <c r="GE235" s="7"/>
      <c r="GF235" s="7"/>
      <c r="GG235" s="16"/>
      <c r="GH235" s="7"/>
      <c r="GI235" s="7"/>
      <c r="GJ235" s="16"/>
      <c r="GK235" s="7"/>
      <c r="GL235" s="7"/>
      <c r="GM235" s="7"/>
      <c r="GN235" s="34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16"/>
      <c r="HG235" s="16"/>
      <c r="HH235" s="7"/>
      <c r="HI235" s="7"/>
      <c r="HJ235" s="7"/>
      <c r="HK235" s="7"/>
      <c r="HL235" s="7"/>
      <c r="HM235" s="7"/>
      <c r="HN235" s="7"/>
      <c r="HO235" s="7"/>
      <c r="HP235" s="7"/>
      <c r="HQ235" s="7"/>
      <c r="HR235" s="7"/>
      <c r="HS235" s="7"/>
      <c r="HT235" s="30"/>
      <c r="HU235" s="30"/>
      <c r="HV235" s="30"/>
      <c r="HW235" s="30"/>
      <c r="HX235" s="30"/>
      <c r="HY235" s="30"/>
      <c r="HZ235" s="30"/>
      <c r="IA235" s="30"/>
      <c r="IB235" s="30"/>
      <c r="IC235" s="30"/>
      <c r="ID235" s="30"/>
      <c r="IE235" s="30"/>
      <c r="IF235" s="30"/>
      <c r="IG235" s="7"/>
      <c r="IH235" s="7"/>
      <c r="IT235" s="7"/>
      <c r="IU235" s="7"/>
      <c r="IV235" s="30"/>
    </row>
    <row r="236" spans="1:256" s="19" customFormat="1">
      <c r="A236" s="611"/>
      <c r="B236" s="7"/>
      <c r="C236" s="7"/>
      <c r="D236" s="7"/>
      <c r="E236" s="7"/>
      <c r="F236" s="7"/>
      <c r="G236" s="7"/>
      <c r="H236" s="7"/>
      <c r="I236" s="7"/>
      <c r="J236" s="7"/>
      <c r="K236" s="155"/>
      <c r="L236" s="96"/>
      <c r="M236" s="96"/>
      <c r="N236" s="96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413"/>
      <c r="AK236" s="84"/>
      <c r="AL236" s="493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69"/>
      <c r="AX236" s="15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84"/>
      <c r="BK236" s="84"/>
      <c r="BL236" s="84"/>
      <c r="BM236" s="84"/>
      <c r="BN236" s="84"/>
      <c r="BO236" s="84"/>
      <c r="BP236" s="84"/>
      <c r="BQ236" s="84"/>
      <c r="BR236" s="531"/>
      <c r="BS236" s="84"/>
      <c r="BT236" s="84"/>
      <c r="BU236" s="84"/>
      <c r="BV236" s="84"/>
      <c r="BW236" s="84"/>
      <c r="BX236" s="84"/>
      <c r="BY236" s="84"/>
      <c r="BZ236" s="84"/>
      <c r="CA236" s="84"/>
      <c r="CB236" s="7"/>
      <c r="CC236" s="303"/>
      <c r="CD236" s="303"/>
      <c r="CE236" s="16"/>
      <c r="CF236" s="7"/>
      <c r="CG236" s="303"/>
      <c r="CH236" s="7"/>
      <c r="CI236" s="303"/>
      <c r="CJ236" s="7"/>
      <c r="CK236" s="7"/>
      <c r="CL236" s="7"/>
      <c r="CM236" s="7"/>
      <c r="CN236" s="7"/>
      <c r="CO236" s="303"/>
      <c r="CP236" s="303"/>
      <c r="CQ236" s="7"/>
      <c r="CR236" s="7"/>
      <c r="CS236" s="303"/>
      <c r="CT236" s="303"/>
      <c r="CU236" s="303"/>
      <c r="CV236" s="7"/>
      <c r="CW236" s="303"/>
      <c r="CX236" s="7"/>
      <c r="CY236" s="7"/>
      <c r="CZ236" s="7"/>
      <c r="DA236" s="7"/>
      <c r="DB236" s="115"/>
      <c r="DC236" s="7"/>
      <c r="DD236" s="303"/>
      <c r="DE236" s="303"/>
      <c r="DF236" s="16"/>
      <c r="DG236" s="303"/>
      <c r="DH236" s="303"/>
      <c r="DI236" s="7"/>
      <c r="DJ236" s="303"/>
      <c r="DK236" s="303"/>
      <c r="DL236" s="7"/>
      <c r="DM236" s="303"/>
      <c r="DN236" s="303"/>
      <c r="DO236" s="7"/>
      <c r="DP236" s="303"/>
      <c r="DQ236" s="303"/>
      <c r="DR236" s="7"/>
      <c r="DS236" s="303"/>
      <c r="DT236" s="303"/>
      <c r="DU236" s="7"/>
      <c r="DV236" s="303"/>
      <c r="DW236" s="303"/>
      <c r="DX236" s="7"/>
      <c r="DY236" s="303"/>
      <c r="DZ236" s="303"/>
      <c r="EA236" s="303"/>
      <c r="EB236" s="7"/>
      <c r="EC236" s="7"/>
      <c r="ED236" s="7"/>
      <c r="EE236" s="84"/>
      <c r="EF236" s="7"/>
      <c r="EG236" s="7"/>
      <c r="EH236" s="7"/>
      <c r="EI236" s="7"/>
      <c r="EJ236" s="7"/>
      <c r="EK236" s="7"/>
      <c r="EL236" s="7"/>
      <c r="EM236" s="173"/>
      <c r="EN236" s="7"/>
      <c r="EO236" s="7"/>
      <c r="EP236" s="7"/>
      <c r="EQ236" s="7"/>
      <c r="ER236" s="303"/>
      <c r="ES236" s="115"/>
      <c r="ET236" s="320"/>
      <c r="EU236" s="320"/>
      <c r="EV236" s="320"/>
      <c r="EW236" s="320"/>
      <c r="EX236" s="320"/>
      <c r="EY236" s="320"/>
      <c r="FA236" s="317"/>
      <c r="FB236" s="464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  <c r="GA236" s="333"/>
      <c r="GB236" s="16"/>
      <c r="GC236" s="7"/>
      <c r="GD236" s="16"/>
      <c r="GE236" s="7"/>
      <c r="GF236" s="7"/>
      <c r="GG236" s="16"/>
      <c r="GH236" s="7"/>
      <c r="GI236" s="7"/>
      <c r="GJ236" s="16"/>
      <c r="GK236" s="7"/>
      <c r="GL236" s="7"/>
      <c r="GM236" s="7"/>
      <c r="GN236" s="347"/>
      <c r="GO236" s="7"/>
      <c r="GP236" s="7"/>
      <c r="GQ236" s="7"/>
      <c r="GR236" s="7"/>
      <c r="GS236" s="7"/>
      <c r="GT236" s="7"/>
      <c r="GU236" s="7"/>
      <c r="GV236" s="7"/>
      <c r="GW236" s="7"/>
      <c r="GX236" s="7"/>
      <c r="GY236" s="7"/>
      <c r="GZ236" s="7"/>
      <c r="HA236" s="7"/>
      <c r="HB236" s="7"/>
      <c r="HC236" s="7"/>
      <c r="HD236" s="7"/>
      <c r="HE236" s="7"/>
      <c r="HF236" s="16"/>
      <c r="HG236" s="16"/>
      <c r="HH236" s="7"/>
      <c r="HI236" s="7"/>
      <c r="HJ236" s="7"/>
      <c r="HK236" s="7"/>
      <c r="HL236" s="7"/>
      <c r="HM236" s="7"/>
      <c r="HN236" s="7"/>
      <c r="HO236" s="7"/>
      <c r="HP236" s="7"/>
      <c r="HQ236" s="7"/>
      <c r="HR236" s="7"/>
      <c r="HS236" s="7"/>
      <c r="HT236" s="30"/>
      <c r="HU236" s="30"/>
      <c r="HV236" s="30"/>
      <c r="HW236" s="30"/>
      <c r="HX236" s="30"/>
      <c r="HY236" s="30"/>
      <c r="HZ236" s="30"/>
      <c r="IA236" s="30"/>
      <c r="IB236" s="30"/>
      <c r="IC236" s="30"/>
      <c r="ID236" s="30"/>
      <c r="IE236" s="30"/>
      <c r="IF236" s="30"/>
      <c r="IG236" s="7"/>
      <c r="IH236" s="7"/>
      <c r="IT236" s="7"/>
      <c r="IU236" s="7"/>
      <c r="IV236" s="30"/>
    </row>
    <row r="237" spans="1:256" s="19" customFormat="1">
      <c r="A237" s="611"/>
      <c r="B237" s="7"/>
      <c r="C237" s="7"/>
      <c r="D237" s="7"/>
      <c r="E237" s="7"/>
      <c r="F237" s="7"/>
      <c r="G237" s="136"/>
      <c r="H237" s="15"/>
      <c r="I237" s="15"/>
      <c r="J237" s="15"/>
      <c r="K237" s="155"/>
      <c r="L237" s="96"/>
      <c r="M237" s="96"/>
      <c r="N237" s="96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413"/>
      <c r="AK237" s="84"/>
      <c r="AL237" s="493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69"/>
      <c r="AX237" s="15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84"/>
      <c r="BK237" s="84"/>
      <c r="BL237" s="84"/>
      <c r="BM237" s="84"/>
      <c r="BN237" s="84"/>
      <c r="BO237" s="84"/>
      <c r="BP237" s="84"/>
      <c r="BQ237" s="84"/>
      <c r="BR237" s="531"/>
      <c r="BS237" s="84"/>
      <c r="BT237" s="84"/>
      <c r="BU237" s="84"/>
      <c r="BV237" s="84"/>
      <c r="BW237" s="84"/>
      <c r="BX237" s="84"/>
      <c r="BY237" s="84"/>
      <c r="BZ237" s="84"/>
      <c r="CA237" s="84"/>
      <c r="CB237" s="7"/>
      <c r="CC237" s="303"/>
      <c r="CD237" s="303"/>
      <c r="CE237" s="16"/>
      <c r="CF237" s="7"/>
      <c r="CG237" s="303"/>
      <c r="CH237" s="7"/>
      <c r="CI237" s="303"/>
      <c r="CJ237" s="7"/>
      <c r="CK237" s="7"/>
      <c r="CL237" s="7"/>
      <c r="CM237" s="7"/>
      <c r="CN237" s="7"/>
      <c r="CO237" s="303"/>
      <c r="CP237" s="303"/>
      <c r="CQ237" s="7"/>
      <c r="CR237" s="7"/>
      <c r="CS237" s="303"/>
      <c r="CT237" s="303"/>
      <c r="CU237" s="303"/>
      <c r="CV237" s="7"/>
      <c r="CW237" s="303"/>
      <c r="CX237" s="7"/>
      <c r="CY237" s="7"/>
      <c r="CZ237" s="7"/>
      <c r="DA237" s="7"/>
      <c r="DB237" s="115"/>
      <c r="DC237" s="7"/>
      <c r="DD237" s="303"/>
      <c r="DE237" s="303"/>
      <c r="DF237" s="16"/>
      <c r="DG237" s="303"/>
      <c r="DH237" s="303"/>
      <c r="DI237" s="7"/>
      <c r="DJ237" s="303"/>
      <c r="DK237" s="303"/>
      <c r="DL237" s="7"/>
      <c r="DM237" s="303"/>
      <c r="DN237" s="303"/>
      <c r="DO237" s="7"/>
      <c r="DP237" s="303"/>
      <c r="DQ237" s="303"/>
      <c r="DR237" s="7"/>
      <c r="DS237" s="303"/>
      <c r="DT237" s="303"/>
      <c r="DU237" s="7"/>
      <c r="DV237" s="303"/>
      <c r="DW237" s="303"/>
      <c r="DX237" s="7"/>
      <c r="DY237" s="303"/>
      <c r="DZ237" s="303"/>
      <c r="EA237" s="303"/>
      <c r="EB237" s="7"/>
      <c r="EC237" s="7"/>
      <c r="ED237" s="7"/>
      <c r="EE237" s="84"/>
      <c r="EF237" s="7"/>
      <c r="EG237" s="7"/>
      <c r="EH237" s="7"/>
      <c r="EI237" s="7"/>
      <c r="EJ237" s="7"/>
      <c r="EK237" s="7"/>
      <c r="EL237" s="7"/>
      <c r="EM237" s="173"/>
      <c r="EN237" s="7"/>
      <c r="EO237" s="7"/>
      <c r="EP237" s="7"/>
      <c r="EQ237" s="7"/>
      <c r="ER237" s="303"/>
      <c r="ES237" s="115"/>
      <c r="ET237" s="320"/>
      <c r="EU237" s="320"/>
      <c r="EV237" s="320"/>
      <c r="EW237" s="320"/>
      <c r="EX237" s="320"/>
      <c r="EY237" s="320"/>
      <c r="FA237" s="317"/>
      <c r="FB237" s="464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  <c r="GA237" s="333"/>
      <c r="GB237" s="16"/>
      <c r="GC237" s="7"/>
      <c r="GD237" s="16"/>
      <c r="GE237" s="7"/>
      <c r="GF237" s="7"/>
      <c r="GG237" s="16"/>
      <c r="GH237" s="7"/>
      <c r="GI237" s="7"/>
      <c r="GJ237" s="16"/>
      <c r="GK237" s="7"/>
      <c r="GL237" s="7"/>
      <c r="GM237" s="7"/>
      <c r="GN237" s="347"/>
      <c r="GO237" s="7"/>
      <c r="GP237" s="7"/>
      <c r="GQ237" s="7"/>
      <c r="GR237" s="7"/>
      <c r="GS237" s="7"/>
      <c r="GT237" s="7"/>
      <c r="GU237" s="7"/>
      <c r="GV237" s="7"/>
      <c r="GW237" s="7"/>
      <c r="GX237" s="7"/>
      <c r="GY237" s="7"/>
      <c r="GZ237" s="7"/>
      <c r="HA237" s="7"/>
      <c r="HB237" s="7"/>
      <c r="HC237" s="7"/>
      <c r="HD237" s="7"/>
      <c r="HE237" s="7"/>
      <c r="HF237" s="16"/>
      <c r="HG237" s="16"/>
      <c r="HH237" s="7"/>
      <c r="HI237" s="7"/>
      <c r="HJ237" s="7"/>
      <c r="HK237" s="7"/>
      <c r="HL237" s="7"/>
      <c r="HM237" s="7"/>
      <c r="HN237" s="7"/>
      <c r="HO237" s="7"/>
      <c r="HP237" s="7"/>
      <c r="HQ237" s="7"/>
      <c r="HR237" s="7"/>
      <c r="HS237" s="7"/>
      <c r="HT237" s="30"/>
      <c r="HU237" s="30"/>
      <c r="HV237" s="30"/>
      <c r="HW237" s="30"/>
      <c r="HX237" s="30"/>
      <c r="HY237" s="30"/>
      <c r="HZ237" s="30"/>
      <c r="IA237" s="30"/>
      <c r="IB237" s="30"/>
      <c r="IC237" s="30"/>
      <c r="ID237" s="30"/>
      <c r="IE237" s="30"/>
      <c r="IF237" s="30"/>
      <c r="IG237" s="7"/>
      <c r="IH237" s="7"/>
      <c r="IT237" s="7"/>
      <c r="IU237" s="7"/>
      <c r="IV237" s="30"/>
    </row>
    <row r="238" spans="1:256" s="19" customFormat="1">
      <c r="A238" s="611"/>
      <c r="B238" s="7"/>
      <c r="C238" s="7"/>
      <c r="D238" s="7"/>
      <c r="E238" s="7"/>
      <c r="F238" s="7"/>
      <c r="G238" s="136"/>
      <c r="H238" s="15"/>
      <c r="I238" s="15"/>
      <c r="J238" s="15"/>
      <c r="K238" s="155"/>
      <c r="L238" s="96"/>
      <c r="M238" s="96"/>
      <c r="N238" s="96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413"/>
      <c r="AK238" s="84"/>
      <c r="AL238" s="493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69"/>
      <c r="AX238" s="15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84"/>
      <c r="BK238" s="84"/>
      <c r="BL238" s="84"/>
      <c r="BM238" s="84"/>
      <c r="BN238" s="84"/>
      <c r="BO238" s="84"/>
      <c r="BP238" s="84"/>
      <c r="BQ238" s="84"/>
      <c r="BR238" s="531"/>
      <c r="BS238" s="84"/>
      <c r="BT238" s="84"/>
      <c r="BU238" s="84"/>
      <c r="BV238" s="84"/>
      <c r="BW238" s="84"/>
      <c r="BX238" s="84"/>
      <c r="BY238" s="84"/>
      <c r="BZ238" s="84"/>
      <c r="CA238" s="84"/>
      <c r="CB238" s="7"/>
      <c r="CC238" s="303"/>
      <c r="CD238" s="303"/>
      <c r="CE238" s="16"/>
      <c r="CF238" s="7"/>
      <c r="CG238" s="303"/>
      <c r="CH238" s="7"/>
      <c r="CI238" s="303"/>
      <c r="CJ238" s="7"/>
      <c r="CK238" s="7"/>
      <c r="CL238" s="7"/>
      <c r="CM238" s="7"/>
      <c r="CN238" s="7"/>
      <c r="CO238" s="303"/>
      <c r="CP238" s="303"/>
      <c r="CQ238" s="7"/>
      <c r="CR238" s="7"/>
      <c r="CS238" s="303"/>
      <c r="CT238" s="303"/>
      <c r="CU238" s="303"/>
      <c r="CV238" s="7"/>
      <c r="CW238" s="303"/>
      <c r="CX238" s="7"/>
      <c r="CY238" s="7"/>
      <c r="CZ238" s="7"/>
      <c r="DA238" s="7"/>
      <c r="DB238" s="115"/>
      <c r="DC238" s="7"/>
      <c r="DD238" s="303"/>
      <c r="DE238" s="303"/>
      <c r="DF238" s="16"/>
      <c r="DG238" s="303"/>
      <c r="DH238" s="303"/>
      <c r="DI238" s="7"/>
      <c r="DJ238" s="303"/>
      <c r="DK238" s="303"/>
      <c r="DL238" s="7"/>
      <c r="DM238" s="303"/>
      <c r="DN238" s="303"/>
      <c r="DO238" s="7"/>
      <c r="DP238" s="303"/>
      <c r="DQ238" s="303"/>
      <c r="DR238" s="7"/>
      <c r="DS238" s="303"/>
      <c r="DT238" s="303"/>
      <c r="DU238" s="7"/>
      <c r="DV238" s="303"/>
      <c r="DW238" s="303"/>
      <c r="DX238" s="7"/>
      <c r="DY238" s="303"/>
      <c r="DZ238" s="303"/>
      <c r="EA238" s="303"/>
      <c r="EB238" s="7"/>
      <c r="EC238" s="7"/>
      <c r="ED238" s="7"/>
      <c r="EE238" s="84"/>
      <c r="EF238" s="7"/>
      <c r="EG238" s="7"/>
      <c r="EH238" s="7"/>
      <c r="EI238" s="7"/>
      <c r="EJ238" s="7"/>
      <c r="EK238" s="7"/>
      <c r="EL238" s="7"/>
      <c r="EM238" s="173"/>
      <c r="EN238" s="7"/>
      <c r="EO238" s="7"/>
      <c r="EP238" s="7"/>
      <c r="EQ238" s="7"/>
      <c r="ER238" s="303"/>
      <c r="ES238" s="115"/>
      <c r="ET238" s="320"/>
      <c r="EU238" s="320"/>
      <c r="EV238" s="320"/>
      <c r="EW238" s="320"/>
      <c r="EX238" s="320"/>
      <c r="EY238" s="320"/>
      <c r="FA238" s="317"/>
      <c r="FB238" s="464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333"/>
      <c r="GB238" s="16"/>
      <c r="GC238" s="7"/>
      <c r="GD238" s="16"/>
      <c r="GE238" s="7"/>
      <c r="GF238" s="7"/>
      <c r="GG238" s="16"/>
      <c r="GH238" s="7"/>
      <c r="GI238" s="7"/>
      <c r="GJ238" s="16"/>
      <c r="GK238" s="7"/>
      <c r="GL238" s="7"/>
      <c r="GM238" s="7"/>
      <c r="GN238" s="34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16"/>
      <c r="HG238" s="16"/>
      <c r="HH238" s="7"/>
      <c r="HI238" s="7"/>
      <c r="HJ238" s="7"/>
      <c r="HK238" s="7"/>
      <c r="HL238" s="7"/>
      <c r="HM238" s="7"/>
      <c r="HN238" s="7"/>
      <c r="HO238" s="7"/>
      <c r="HP238" s="7"/>
      <c r="HQ238" s="7"/>
      <c r="HR238" s="7"/>
      <c r="HS238" s="7"/>
      <c r="HT238" s="30"/>
      <c r="HU238" s="30"/>
      <c r="HV238" s="30"/>
      <c r="HW238" s="30"/>
      <c r="HX238" s="30"/>
      <c r="HY238" s="30"/>
      <c r="HZ238" s="30"/>
      <c r="IA238" s="30"/>
      <c r="IB238" s="30"/>
      <c r="IC238" s="30"/>
      <c r="ID238" s="30"/>
      <c r="IE238" s="30"/>
      <c r="IF238" s="30"/>
      <c r="IG238" s="7"/>
      <c r="IH238" s="7"/>
      <c r="IT238" s="7"/>
      <c r="IU238" s="7"/>
      <c r="IV238" s="30"/>
    </row>
    <row r="239" spans="1:256" s="19" customFormat="1">
      <c r="A239" s="611"/>
      <c r="B239" s="7"/>
      <c r="C239" s="7"/>
      <c r="D239" s="7"/>
      <c r="E239" s="7"/>
      <c r="F239" s="7"/>
      <c r="G239" s="7"/>
      <c r="H239" s="7"/>
      <c r="I239" s="7"/>
      <c r="J239" s="7"/>
      <c r="K239" s="155"/>
      <c r="L239" s="96"/>
      <c r="M239" s="96"/>
      <c r="N239" s="96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413"/>
      <c r="AK239" s="84"/>
      <c r="AL239" s="493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69"/>
      <c r="AX239" s="15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84"/>
      <c r="BK239" s="84"/>
      <c r="BL239" s="84"/>
      <c r="BM239" s="84"/>
      <c r="BN239" s="84"/>
      <c r="BO239" s="84"/>
      <c r="BP239" s="84"/>
      <c r="BQ239" s="84"/>
      <c r="BR239" s="531"/>
      <c r="BS239" s="84"/>
      <c r="BT239" s="84"/>
      <c r="BU239" s="84"/>
      <c r="BV239" s="84"/>
      <c r="BW239" s="84"/>
      <c r="BX239" s="84"/>
      <c r="BY239" s="84"/>
      <c r="BZ239" s="84"/>
      <c r="CA239" s="84"/>
      <c r="CB239" s="7"/>
      <c r="CC239" s="303"/>
      <c r="CD239" s="303"/>
      <c r="CE239" s="16"/>
      <c r="CF239" s="7"/>
      <c r="CG239" s="303"/>
      <c r="CH239" s="7"/>
      <c r="CI239" s="303"/>
      <c r="CJ239" s="7"/>
      <c r="CK239" s="7"/>
      <c r="CL239" s="7"/>
      <c r="CM239" s="7"/>
      <c r="CN239" s="7"/>
      <c r="CO239" s="303"/>
      <c r="CP239" s="303"/>
      <c r="CQ239" s="7"/>
      <c r="CR239" s="7"/>
      <c r="CS239" s="303"/>
      <c r="CT239" s="303"/>
      <c r="CU239" s="303"/>
      <c r="CV239" s="7"/>
      <c r="CW239" s="303"/>
      <c r="CX239" s="7"/>
      <c r="CY239" s="7"/>
      <c r="CZ239" s="7"/>
      <c r="DA239" s="7"/>
      <c r="DB239" s="115"/>
      <c r="DC239" s="7"/>
      <c r="DD239" s="303"/>
      <c r="DE239" s="303"/>
      <c r="DF239" s="16"/>
      <c r="DG239" s="303"/>
      <c r="DH239" s="303"/>
      <c r="DI239" s="7"/>
      <c r="DJ239" s="303"/>
      <c r="DK239" s="303"/>
      <c r="DL239" s="7"/>
      <c r="DM239" s="303"/>
      <c r="DN239" s="303"/>
      <c r="DO239" s="7"/>
      <c r="DP239" s="303"/>
      <c r="DQ239" s="303"/>
      <c r="DR239" s="7"/>
      <c r="DS239" s="303"/>
      <c r="DT239" s="303"/>
      <c r="DU239" s="7"/>
      <c r="DV239" s="303"/>
      <c r="DW239" s="303"/>
      <c r="DX239" s="7"/>
      <c r="DY239" s="303"/>
      <c r="DZ239" s="303"/>
      <c r="EA239" s="303"/>
      <c r="EB239" s="7"/>
      <c r="EC239" s="7"/>
      <c r="ED239" s="7"/>
      <c r="EE239" s="84"/>
      <c r="EF239" s="7"/>
      <c r="EG239" s="7"/>
      <c r="EH239" s="7"/>
      <c r="EI239" s="7"/>
      <c r="EJ239" s="7"/>
      <c r="EK239" s="7"/>
      <c r="EL239" s="7"/>
      <c r="EM239" s="173"/>
      <c r="EN239" s="7"/>
      <c r="EO239" s="7"/>
      <c r="EP239" s="7"/>
      <c r="EQ239" s="7"/>
      <c r="ER239" s="303"/>
      <c r="ES239" s="115"/>
      <c r="ET239" s="320"/>
      <c r="EU239" s="320"/>
      <c r="EV239" s="320"/>
      <c r="EW239" s="320"/>
      <c r="EX239" s="320"/>
      <c r="EY239" s="320"/>
      <c r="FA239" s="317"/>
      <c r="FB239" s="464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333"/>
      <c r="GB239" s="16"/>
      <c r="GC239" s="7"/>
      <c r="GD239" s="16"/>
      <c r="GE239" s="7"/>
      <c r="GF239" s="7"/>
      <c r="GG239" s="16"/>
      <c r="GH239" s="7"/>
      <c r="GI239" s="7"/>
      <c r="GJ239" s="16"/>
      <c r="GK239" s="7"/>
      <c r="GL239" s="7"/>
      <c r="GM239" s="7"/>
      <c r="GN239" s="34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16"/>
      <c r="HG239" s="16"/>
      <c r="HH239" s="7"/>
      <c r="HI239" s="7"/>
      <c r="HJ239" s="7"/>
      <c r="HK239" s="7"/>
      <c r="HL239" s="7"/>
      <c r="HM239" s="7"/>
      <c r="HN239" s="7"/>
      <c r="HO239" s="7"/>
      <c r="HP239" s="7"/>
      <c r="HQ239" s="7"/>
      <c r="HR239" s="7"/>
      <c r="HS239" s="7"/>
      <c r="HT239" s="30"/>
      <c r="HU239" s="30"/>
      <c r="HV239" s="30"/>
      <c r="HW239" s="30"/>
      <c r="HX239" s="30"/>
      <c r="HY239" s="30"/>
      <c r="HZ239" s="30"/>
      <c r="IA239" s="30"/>
      <c r="IB239" s="30"/>
      <c r="IC239" s="30"/>
      <c r="ID239" s="30"/>
      <c r="IE239" s="30"/>
      <c r="IF239" s="30"/>
      <c r="IG239" s="7"/>
      <c r="IH239" s="7"/>
      <c r="IT239" s="7"/>
      <c r="IU239" s="7"/>
      <c r="IV239" s="30"/>
    </row>
    <row r="240" spans="1:256" s="19" customFormat="1">
      <c r="A240" s="611"/>
      <c r="B240" s="7"/>
      <c r="C240" s="7"/>
      <c r="D240" s="7"/>
      <c r="E240" s="7"/>
      <c r="F240" s="7"/>
      <c r="G240" s="7"/>
      <c r="H240" s="7"/>
      <c r="I240" s="7"/>
      <c r="J240" s="7"/>
      <c r="K240" s="155"/>
      <c r="L240" s="96"/>
      <c r="M240" s="96"/>
      <c r="N240" s="96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413"/>
      <c r="AK240" s="84"/>
      <c r="AL240" s="493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69"/>
      <c r="AX240" s="15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84"/>
      <c r="BK240" s="84"/>
      <c r="BL240" s="84"/>
      <c r="BM240" s="84"/>
      <c r="BN240" s="84"/>
      <c r="BO240" s="84"/>
      <c r="BP240" s="84"/>
      <c r="BQ240" s="84"/>
      <c r="BR240" s="531"/>
      <c r="BS240" s="84"/>
      <c r="BT240" s="84"/>
      <c r="BU240" s="84"/>
      <c r="BV240" s="84"/>
      <c r="BW240" s="84"/>
      <c r="BX240" s="84"/>
      <c r="BY240" s="84"/>
      <c r="BZ240" s="84"/>
      <c r="CA240" s="84"/>
      <c r="CB240" s="7"/>
      <c r="CC240" s="303"/>
      <c r="CD240" s="303"/>
      <c r="CE240" s="16"/>
      <c r="CF240" s="7"/>
      <c r="CG240" s="303"/>
      <c r="CH240" s="7"/>
      <c r="CI240" s="303"/>
      <c r="CJ240" s="7"/>
      <c r="CK240" s="7"/>
      <c r="CL240" s="7"/>
      <c r="CM240" s="7"/>
      <c r="CN240" s="7"/>
      <c r="CO240" s="303"/>
      <c r="CP240" s="303"/>
      <c r="CQ240" s="7"/>
      <c r="CR240" s="7"/>
      <c r="CS240" s="303"/>
      <c r="CT240" s="303"/>
      <c r="CU240" s="303"/>
      <c r="CV240" s="7"/>
      <c r="CW240" s="303"/>
      <c r="CX240" s="7"/>
      <c r="CY240" s="7"/>
      <c r="CZ240" s="7"/>
      <c r="DA240" s="7"/>
      <c r="DB240" s="115"/>
      <c r="DC240" s="7"/>
      <c r="DD240" s="303"/>
      <c r="DE240" s="303"/>
      <c r="DF240" s="16"/>
      <c r="DG240" s="303"/>
      <c r="DH240" s="303"/>
      <c r="DI240" s="7"/>
      <c r="DJ240" s="303"/>
      <c r="DK240" s="303"/>
      <c r="DL240" s="7"/>
      <c r="DM240" s="303"/>
      <c r="DN240" s="303"/>
      <c r="DO240" s="7"/>
      <c r="DP240" s="303"/>
      <c r="DQ240" s="303"/>
      <c r="DR240" s="7"/>
      <c r="DS240" s="303"/>
      <c r="DT240" s="303"/>
      <c r="DU240" s="7"/>
      <c r="DV240" s="303"/>
      <c r="DW240" s="303"/>
      <c r="DX240" s="7"/>
      <c r="DY240" s="303"/>
      <c r="DZ240" s="303"/>
      <c r="EA240" s="303"/>
      <c r="EB240" s="7"/>
      <c r="EC240" s="7"/>
      <c r="ED240" s="7"/>
      <c r="EE240" s="84"/>
      <c r="EF240" s="7"/>
      <c r="EG240" s="7"/>
      <c r="EH240" s="7"/>
      <c r="EI240" s="7"/>
      <c r="EJ240" s="7"/>
      <c r="EK240" s="7"/>
      <c r="EL240" s="7"/>
      <c r="EM240" s="173"/>
      <c r="EN240" s="7"/>
      <c r="EO240" s="7"/>
      <c r="EP240" s="7"/>
      <c r="EQ240" s="7"/>
      <c r="ER240" s="303"/>
      <c r="ES240" s="115"/>
      <c r="ET240" s="320"/>
      <c r="EU240" s="320"/>
      <c r="EV240" s="320"/>
      <c r="EW240" s="320"/>
      <c r="EX240" s="320"/>
      <c r="EY240" s="320"/>
      <c r="FA240" s="317"/>
      <c r="FB240" s="464"/>
      <c r="FE240" s="7"/>
      <c r="FF240" s="7"/>
      <c r="FG240" s="7"/>
      <c r="FH240" s="7"/>
      <c r="FI240" s="7"/>
      <c r="FJ240" s="7"/>
      <c r="FK240" s="7"/>
      <c r="FL240" s="7"/>
      <c r="FM240" s="7"/>
      <c r="FN240" s="7"/>
      <c r="FO240" s="7"/>
      <c r="FP240" s="7"/>
      <c r="FQ240" s="7"/>
      <c r="FR240" s="7"/>
      <c r="FS240" s="7"/>
      <c r="FT240" s="7"/>
      <c r="FU240" s="7"/>
      <c r="FV240" s="7"/>
      <c r="FW240" s="7"/>
      <c r="FX240" s="7"/>
      <c r="FY240" s="7"/>
      <c r="FZ240" s="7"/>
      <c r="GA240" s="333"/>
      <c r="GB240" s="16"/>
      <c r="GC240" s="7"/>
      <c r="GD240" s="16"/>
      <c r="GE240" s="7"/>
      <c r="GF240" s="7"/>
      <c r="GG240" s="16"/>
      <c r="GH240" s="7"/>
      <c r="GI240" s="7"/>
      <c r="GJ240" s="16"/>
      <c r="GK240" s="7"/>
      <c r="GL240" s="7"/>
      <c r="GM240" s="7"/>
      <c r="GN240" s="347"/>
      <c r="GO240" s="7"/>
      <c r="GP240" s="7"/>
      <c r="GQ240" s="7"/>
      <c r="GR240" s="7"/>
      <c r="GS240" s="7"/>
      <c r="GT240" s="7"/>
      <c r="GU240" s="7"/>
      <c r="GV240" s="7"/>
      <c r="GW240" s="7"/>
      <c r="GX240" s="7"/>
      <c r="GY240" s="7"/>
      <c r="GZ240" s="7"/>
      <c r="HA240" s="7"/>
      <c r="HB240" s="7"/>
      <c r="HC240" s="7"/>
      <c r="HD240" s="7"/>
      <c r="HE240" s="7"/>
      <c r="HF240" s="16"/>
      <c r="HG240" s="16"/>
      <c r="HH240" s="7"/>
      <c r="HI240" s="7"/>
      <c r="HJ240" s="7"/>
      <c r="HK240" s="7"/>
      <c r="HL240" s="7"/>
      <c r="HM240" s="7"/>
      <c r="HN240" s="7"/>
      <c r="HO240" s="7"/>
      <c r="HP240" s="7"/>
      <c r="HQ240" s="7"/>
      <c r="HR240" s="7"/>
      <c r="HS240" s="7"/>
      <c r="HT240" s="30"/>
      <c r="HU240" s="30"/>
      <c r="HV240" s="30"/>
      <c r="HW240" s="30"/>
      <c r="HX240" s="30"/>
      <c r="HY240" s="30"/>
      <c r="HZ240" s="30"/>
      <c r="IA240" s="30"/>
      <c r="IB240" s="30"/>
      <c r="IC240" s="30"/>
      <c r="ID240" s="30"/>
      <c r="IE240" s="30"/>
      <c r="IF240" s="30"/>
      <c r="IG240" s="7"/>
      <c r="IH240" s="7"/>
      <c r="IT240" s="7"/>
      <c r="IU240" s="7"/>
      <c r="IV240" s="30"/>
    </row>
    <row r="241" spans="1:256" s="19" customFormat="1">
      <c r="A241" s="611"/>
      <c r="B241" s="7"/>
      <c r="C241" s="7"/>
      <c r="D241" s="7"/>
      <c r="E241" s="7"/>
      <c r="F241" s="7"/>
      <c r="G241" s="7"/>
      <c r="H241" s="7"/>
      <c r="I241" s="7"/>
      <c r="J241" s="7"/>
      <c r="K241" s="155"/>
      <c r="L241" s="96"/>
      <c r="M241" s="96"/>
      <c r="N241" s="96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413"/>
      <c r="AK241" s="84"/>
      <c r="AL241" s="493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69"/>
      <c r="AX241" s="15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84"/>
      <c r="BK241" s="84"/>
      <c r="BL241" s="84"/>
      <c r="BM241" s="84"/>
      <c r="BN241" s="84"/>
      <c r="BO241" s="84"/>
      <c r="BP241" s="84"/>
      <c r="BQ241" s="84"/>
      <c r="BR241" s="531"/>
      <c r="BS241" s="84"/>
      <c r="BT241" s="84"/>
      <c r="BU241" s="84"/>
      <c r="BV241" s="84"/>
      <c r="BW241" s="84"/>
      <c r="BX241" s="84"/>
      <c r="BY241" s="84"/>
      <c r="BZ241" s="84"/>
      <c r="CA241" s="84"/>
      <c r="CB241" s="7"/>
      <c r="CC241" s="303"/>
      <c r="CD241" s="303"/>
      <c r="CE241" s="16"/>
      <c r="CF241" s="7"/>
      <c r="CG241" s="303"/>
      <c r="CH241" s="7"/>
      <c r="CI241" s="303"/>
      <c r="CJ241" s="7"/>
      <c r="CK241" s="7"/>
      <c r="CL241" s="7"/>
      <c r="CM241" s="7"/>
      <c r="CN241" s="7"/>
      <c r="CO241" s="303"/>
      <c r="CP241" s="303"/>
      <c r="CQ241" s="7"/>
      <c r="CR241" s="7"/>
      <c r="CS241" s="303"/>
      <c r="CT241" s="303"/>
      <c r="CU241" s="303"/>
      <c r="CV241" s="7"/>
      <c r="CW241" s="303"/>
      <c r="CX241" s="7"/>
      <c r="CY241" s="7"/>
      <c r="CZ241" s="7"/>
      <c r="DA241" s="7"/>
      <c r="DB241" s="115"/>
      <c r="DC241" s="7"/>
      <c r="DD241" s="303"/>
      <c r="DE241" s="303"/>
      <c r="DF241" s="16"/>
      <c r="DG241" s="303"/>
      <c r="DH241" s="303"/>
      <c r="DI241" s="7"/>
      <c r="DJ241" s="303"/>
      <c r="DK241" s="303"/>
      <c r="DL241" s="7"/>
      <c r="DM241" s="303"/>
      <c r="DN241" s="303"/>
      <c r="DO241" s="7"/>
      <c r="DP241" s="303"/>
      <c r="DQ241" s="303"/>
      <c r="DR241" s="7"/>
      <c r="DS241" s="303"/>
      <c r="DT241" s="303"/>
      <c r="DU241" s="7"/>
      <c r="DV241" s="303"/>
      <c r="DW241" s="303"/>
      <c r="DX241" s="7"/>
      <c r="DY241" s="303"/>
      <c r="DZ241" s="303"/>
      <c r="EA241" s="303"/>
      <c r="EB241" s="7"/>
      <c r="EC241" s="7"/>
      <c r="ED241" s="7"/>
      <c r="EE241" s="84"/>
      <c r="EF241" s="7"/>
      <c r="EG241" s="7"/>
      <c r="EH241" s="7"/>
      <c r="EI241" s="7"/>
      <c r="EJ241" s="7"/>
      <c r="EK241" s="7"/>
      <c r="EL241" s="7"/>
      <c r="EM241" s="173"/>
      <c r="EN241" s="7"/>
      <c r="EO241" s="7"/>
      <c r="EP241" s="7"/>
      <c r="EQ241" s="7"/>
      <c r="ER241" s="303"/>
      <c r="ES241" s="115"/>
      <c r="ET241" s="320"/>
      <c r="EU241" s="320"/>
      <c r="EV241" s="320"/>
      <c r="EW241" s="320"/>
      <c r="EX241" s="320"/>
      <c r="EY241" s="320"/>
      <c r="FA241" s="317"/>
      <c r="FB241" s="464"/>
      <c r="FE241" s="7"/>
      <c r="FF241" s="7"/>
      <c r="FG241" s="7"/>
      <c r="FH241" s="7"/>
      <c r="FI241" s="7"/>
      <c r="FJ241" s="7"/>
      <c r="FK241" s="7"/>
      <c r="FL241" s="7"/>
      <c r="FM241" s="7"/>
      <c r="FN241" s="7"/>
      <c r="FO241" s="7"/>
      <c r="FP241" s="7"/>
      <c r="FQ241" s="7"/>
      <c r="FR241" s="7"/>
      <c r="FS241" s="7"/>
      <c r="FT241" s="7"/>
      <c r="FU241" s="7"/>
      <c r="FV241" s="7"/>
      <c r="FW241" s="7"/>
      <c r="FX241" s="7"/>
      <c r="FY241" s="7"/>
      <c r="FZ241" s="7"/>
      <c r="GA241" s="333"/>
      <c r="GB241" s="16"/>
      <c r="GC241" s="7"/>
      <c r="GD241" s="16"/>
      <c r="GE241" s="7"/>
      <c r="GF241" s="7"/>
      <c r="GG241" s="16"/>
      <c r="GH241" s="7"/>
      <c r="GI241" s="7"/>
      <c r="GJ241" s="16"/>
      <c r="GK241" s="7"/>
      <c r="GL241" s="7"/>
      <c r="GM241" s="7"/>
      <c r="GN241" s="347"/>
      <c r="GO241" s="7"/>
      <c r="GP241" s="7"/>
      <c r="GQ241" s="7"/>
      <c r="GR241" s="7"/>
      <c r="GS241" s="7"/>
      <c r="GT241" s="7"/>
      <c r="GU241" s="7"/>
      <c r="GV241" s="7"/>
      <c r="GW241" s="7"/>
      <c r="GX241" s="7"/>
      <c r="GY241" s="7"/>
      <c r="GZ241" s="7"/>
      <c r="HA241" s="7"/>
      <c r="HB241" s="7"/>
      <c r="HC241" s="7"/>
      <c r="HD241" s="7"/>
      <c r="HE241" s="7"/>
      <c r="HF241" s="16"/>
      <c r="HG241" s="16"/>
      <c r="HH241" s="7"/>
      <c r="HI241" s="7"/>
      <c r="HJ241" s="7"/>
      <c r="HK241" s="7"/>
      <c r="HL241" s="7"/>
      <c r="HM241" s="7"/>
      <c r="HN241" s="7"/>
      <c r="HO241" s="7"/>
      <c r="HP241" s="7"/>
      <c r="HQ241" s="7"/>
      <c r="HR241" s="7"/>
      <c r="HS241" s="7"/>
      <c r="HT241" s="30"/>
      <c r="HU241" s="30"/>
      <c r="HV241" s="30"/>
      <c r="HW241" s="30"/>
      <c r="HX241" s="30"/>
      <c r="HY241" s="30"/>
      <c r="HZ241" s="30"/>
      <c r="IA241" s="30"/>
      <c r="IB241" s="30"/>
      <c r="IC241" s="30"/>
      <c r="ID241" s="30"/>
      <c r="IE241" s="30"/>
      <c r="IF241" s="30"/>
      <c r="IG241" s="7"/>
      <c r="IH241" s="7"/>
      <c r="IT241" s="7"/>
      <c r="IU241" s="7"/>
      <c r="IV241" s="30"/>
    </row>
    <row r="242" spans="1:256" s="19" customFormat="1">
      <c r="A242" s="611"/>
      <c r="B242" s="7"/>
      <c r="C242" s="7"/>
      <c r="D242" s="7"/>
      <c r="E242" s="7"/>
      <c r="F242" s="7"/>
      <c r="G242" s="7"/>
      <c r="H242" s="7"/>
      <c r="I242" s="7"/>
      <c r="J242" s="7"/>
      <c r="K242" s="155"/>
      <c r="L242" s="96"/>
      <c r="M242" s="96"/>
      <c r="N242" s="96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413"/>
      <c r="AK242" s="84"/>
      <c r="AL242" s="493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69"/>
      <c r="AX242" s="15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84"/>
      <c r="BK242" s="84"/>
      <c r="BL242" s="84"/>
      <c r="BM242" s="84"/>
      <c r="BN242" s="84"/>
      <c r="BO242" s="84"/>
      <c r="BP242" s="84"/>
      <c r="BQ242" s="84"/>
      <c r="BR242" s="531"/>
      <c r="BS242" s="84"/>
      <c r="BT242" s="84"/>
      <c r="BU242" s="84"/>
      <c r="BV242" s="84"/>
      <c r="BW242" s="84"/>
      <c r="BX242" s="84"/>
      <c r="BY242" s="84"/>
      <c r="BZ242" s="84"/>
      <c r="CA242" s="84"/>
      <c r="CB242" s="7"/>
      <c r="CC242" s="303"/>
      <c r="CD242" s="303"/>
      <c r="CE242" s="16"/>
      <c r="CF242" s="7"/>
      <c r="CG242" s="303"/>
      <c r="CH242" s="7"/>
      <c r="CI242" s="303"/>
      <c r="CJ242" s="7"/>
      <c r="CK242" s="7"/>
      <c r="CL242" s="7"/>
      <c r="CM242" s="7"/>
      <c r="CN242" s="7"/>
      <c r="CO242" s="303"/>
      <c r="CP242" s="303"/>
      <c r="CQ242" s="7"/>
      <c r="CR242" s="7"/>
      <c r="CS242" s="303"/>
      <c r="CT242" s="303"/>
      <c r="CU242" s="303"/>
      <c r="CV242" s="7"/>
      <c r="CW242" s="303"/>
      <c r="CX242" s="7"/>
      <c r="CY242" s="7"/>
      <c r="CZ242" s="7"/>
      <c r="DA242" s="7"/>
      <c r="DB242" s="115"/>
      <c r="DC242" s="7"/>
      <c r="DD242" s="303"/>
      <c r="DE242" s="303"/>
      <c r="DF242" s="16"/>
      <c r="DG242" s="303"/>
      <c r="DH242" s="303"/>
      <c r="DI242" s="7"/>
      <c r="DJ242" s="303"/>
      <c r="DK242" s="303"/>
      <c r="DL242" s="7"/>
      <c r="DM242" s="303"/>
      <c r="DN242" s="303"/>
      <c r="DO242" s="7"/>
      <c r="DP242" s="303"/>
      <c r="DQ242" s="303"/>
      <c r="DR242" s="7"/>
      <c r="DS242" s="303"/>
      <c r="DT242" s="303"/>
      <c r="DU242" s="7"/>
      <c r="DV242" s="303"/>
      <c r="DW242" s="303"/>
      <c r="DX242" s="7"/>
      <c r="DY242" s="303"/>
      <c r="DZ242" s="303"/>
      <c r="EA242" s="303"/>
      <c r="EB242" s="7"/>
      <c r="EC242" s="7"/>
      <c r="ED242" s="7"/>
      <c r="EE242" s="84"/>
      <c r="EF242" s="7"/>
      <c r="EG242" s="7"/>
      <c r="EH242" s="7"/>
      <c r="EI242" s="7"/>
      <c r="EJ242" s="7"/>
      <c r="EK242" s="7"/>
      <c r="EL242" s="7"/>
      <c r="EM242" s="173"/>
      <c r="EN242" s="7"/>
      <c r="EO242" s="7"/>
      <c r="EP242" s="7"/>
      <c r="EQ242" s="7"/>
      <c r="ER242" s="303"/>
      <c r="ES242" s="115"/>
      <c r="ET242" s="320"/>
      <c r="EU242" s="320"/>
      <c r="EV242" s="320"/>
      <c r="EW242" s="320"/>
      <c r="EX242" s="320"/>
      <c r="EY242" s="320"/>
      <c r="FA242" s="317"/>
      <c r="FB242" s="464"/>
      <c r="FE242" s="7"/>
      <c r="FF242" s="7"/>
      <c r="FG242" s="7"/>
      <c r="FH242" s="7"/>
      <c r="FI242" s="7"/>
      <c r="FJ242" s="7"/>
      <c r="FK242" s="7"/>
      <c r="FL242" s="7"/>
      <c r="FM242" s="7"/>
      <c r="FN242" s="7"/>
      <c r="FO242" s="7"/>
      <c r="FP242" s="7"/>
      <c r="FQ242" s="7"/>
      <c r="FR242" s="7"/>
      <c r="FS242" s="7"/>
      <c r="FT242" s="7"/>
      <c r="FU242" s="7"/>
      <c r="FV242" s="7"/>
      <c r="FW242" s="7"/>
      <c r="FX242" s="7"/>
      <c r="FY242" s="7"/>
      <c r="FZ242" s="7"/>
      <c r="GA242" s="333"/>
      <c r="GB242" s="16"/>
      <c r="GC242" s="7"/>
      <c r="GD242" s="16"/>
      <c r="GE242" s="7"/>
      <c r="GF242" s="7"/>
      <c r="GG242" s="16"/>
      <c r="GH242" s="7"/>
      <c r="GI242" s="7"/>
      <c r="GJ242" s="16"/>
      <c r="GK242" s="7"/>
      <c r="GL242" s="7"/>
      <c r="GM242" s="7"/>
      <c r="GN242" s="347"/>
      <c r="GO242" s="7"/>
      <c r="GP242" s="7"/>
      <c r="GQ242" s="7"/>
      <c r="GR242" s="7"/>
      <c r="GS242" s="7"/>
      <c r="GT242" s="7"/>
      <c r="GU242" s="7"/>
      <c r="GV242" s="7"/>
      <c r="GW242" s="7"/>
      <c r="GX242" s="7"/>
      <c r="GY242" s="7"/>
      <c r="GZ242" s="7"/>
      <c r="HA242" s="7"/>
      <c r="HB242" s="7"/>
      <c r="HC242" s="7"/>
      <c r="HD242" s="7"/>
      <c r="HE242" s="7"/>
      <c r="HF242" s="16"/>
      <c r="HG242" s="16"/>
      <c r="HH242" s="7"/>
      <c r="HI242" s="7"/>
      <c r="HJ242" s="7"/>
      <c r="HK242" s="7"/>
      <c r="HL242" s="7"/>
      <c r="HM242" s="7"/>
      <c r="HN242" s="7"/>
      <c r="HO242" s="7"/>
      <c r="HP242" s="7"/>
      <c r="HQ242" s="7"/>
      <c r="HR242" s="7"/>
      <c r="HS242" s="7"/>
      <c r="HT242" s="30"/>
      <c r="HU242" s="30"/>
      <c r="HV242" s="30"/>
      <c r="HW242" s="30"/>
      <c r="HX242" s="30"/>
      <c r="HY242" s="30"/>
      <c r="HZ242" s="30"/>
      <c r="IA242" s="30"/>
      <c r="IB242" s="30"/>
      <c r="IC242" s="30"/>
      <c r="ID242" s="30"/>
      <c r="IE242" s="30"/>
      <c r="IF242" s="30"/>
      <c r="IG242" s="7"/>
      <c r="IH242" s="7"/>
      <c r="IT242" s="7"/>
      <c r="IU242" s="7"/>
      <c r="IV242" s="30"/>
    </row>
    <row r="243" spans="1:256" s="19" customFormat="1">
      <c r="A243" s="611"/>
      <c r="B243" s="7"/>
      <c r="C243" s="7"/>
      <c r="D243" s="7"/>
      <c r="E243" s="7"/>
      <c r="F243" s="7"/>
      <c r="G243" s="7"/>
      <c r="H243" s="7"/>
      <c r="I243" s="7"/>
      <c r="J243" s="7"/>
      <c r="K243" s="155"/>
      <c r="L243" s="96"/>
      <c r="M243" s="96"/>
      <c r="N243" s="96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413"/>
      <c r="AK243" s="84"/>
      <c r="AL243" s="493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69"/>
      <c r="AX243" s="15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84"/>
      <c r="BK243" s="84"/>
      <c r="BL243" s="84"/>
      <c r="BM243" s="84"/>
      <c r="BN243" s="84"/>
      <c r="BO243" s="84"/>
      <c r="BP243" s="84"/>
      <c r="BQ243" s="84"/>
      <c r="BR243" s="531"/>
      <c r="BS243" s="84"/>
      <c r="BT243" s="84"/>
      <c r="BU243" s="84"/>
      <c r="BV243" s="84"/>
      <c r="BW243" s="84"/>
      <c r="BX243" s="84"/>
      <c r="BY243" s="84"/>
      <c r="BZ243" s="84"/>
      <c r="CA243" s="84"/>
      <c r="CB243" s="7"/>
      <c r="CC243" s="303"/>
      <c r="CD243" s="303"/>
      <c r="CE243" s="16"/>
      <c r="CF243" s="7"/>
      <c r="CG243" s="303"/>
      <c r="CH243" s="7"/>
      <c r="CI243" s="303"/>
      <c r="CJ243" s="7"/>
      <c r="CK243" s="7"/>
      <c r="CL243" s="7"/>
      <c r="CM243" s="7"/>
      <c r="CN243" s="7"/>
      <c r="CO243" s="303"/>
      <c r="CP243" s="303"/>
      <c r="CQ243" s="7"/>
      <c r="CR243" s="7"/>
      <c r="CS243" s="303"/>
      <c r="CT243" s="303"/>
      <c r="CU243" s="303"/>
      <c r="CV243" s="7"/>
      <c r="CW243" s="303"/>
      <c r="CX243" s="7"/>
      <c r="CY243" s="7"/>
      <c r="CZ243" s="7"/>
      <c r="DA243" s="7"/>
      <c r="DB243" s="115"/>
      <c r="DC243" s="7"/>
      <c r="DD243" s="303"/>
      <c r="DE243" s="303"/>
      <c r="DF243" s="16"/>
      <c r="DG243" s="303"/>
      <c r="DH243" s="303"/>
      <c r="DI243" s="7"/>
      <c r="DJ243" s="303"/>
      <c r="DK243" s="303"/>
      <c r="DL243" s="7"/>
      <c r="DM243" s="303"/>
      <c r="DN243" s="303"/>
      <c r="DO243" s="7"/>
      <c r="DP243" s="303"/>
      <c r="DQ243" s="303"/>
      <c r="DR243" s="7"/>
      <c r="DS243" s="303"/>
      <c r="DT243" s="303"/>
      <c r="DU243" s="7"/>
      <c r="DV243" s="303"/>
      <c r="DW243" s="303"/>
      <c r="DX243" s="7"/>
      <c r="DY243" s="303"/>
      <c r="DZ243" s="303"/>
      <c r="EA243" s="303"/>
      <c r="EB243" s="7"/>
      <c r="EC243" s="7"/>
      <c r="ED243" s="7"/>
      <c r="EE243" s="84"/>
      <c r="EF243" s="7"/>
      <c r="EG243" s="7"/>
      <c r="EH243" s="7"/>
      <c r="EI243" s="7"/>
      <c r="EJ243" s="7"/>
      <c r="EK243" s="7"/>
      <c r="EL243" s="7"/>
      <c r="EM243" s="173"/>
      <c r="EN243" s="7"/>
      <c r="EO243" s="7"/>
      <c r="EP243" s="7"/>
      <c r="EQ243" s="7"/>
      <c r="ER243" s="303"/>
      <c r="ES243" s="115"/>
      <c r="ET243" s="320"/>
      <c r="EU243" s="320"/>
      <c r="EV243" s="320"/>
      <c r="EW243" s="320"/>
      <c r="EX243" s="320"/>
      <c r="EY243" s="320"/>
      <c r="FA243" s="317"/>
      <c r="FB243" s="464"/>
      <c r="FE243" s="7"/>
      <c r="FF243" s="7"/>
      <c r="FG243" s="7"/>
      <c r="FH243" s="7"/>
      <c r="FI243" s="7"/>
      <c r="FJ243" s="7"/>
      <c r="FK243" s="7"/>
      <c r="FL243" s="7"/>
      <c r="FM243" s="7"/>
      <c r="FN243" s="7"/>
      <c r="FO243" s="7"/>
      <c r="FP243" s="7"/>
      <c r="FQ243" s="7"/>
      <c r="FR243" s="7"/>
      <c r="FS243" s="7"/>
      <c r="FT243" s="7"/>
      <c r="FU243" s="7"/>
      <c r="FV243" s="7"/>
      <c r="FW243" s="7"/>
      <c r="FX243" s="7"/>
      <c r="FY243" s="7"/>
      <c r="FZ243" s="7"/>
      <c r="GA243" s="333"/>
      <c r="GB243" s="16"/>
      <c r="GC243" s="7"/>
      <c r="GD243" s="16"/>
      <c r="GE243" s="7"/>
      <c r="GF243" s="7"/>
      <c r="GG243" s="16"/>
      <c r="GH243" s="7"/>
      <c r="GI243" s="7"/>
      <c r="GJ243" s="16"/>
      <c r="GK243" s="7"/>
      <c r="GL243" s="7"/>
      <c r="GM243" s="7"/>
      <c r="GN243" s="347"/>
      <c r="GO243" s="7"/>
      <c r="GP243" s="7"/>
      <c r="GQ243" s="7"/>
      <c r="GR243" s="7"/>
      <c r="GS243" s="7"/>
      <c r="GT243" s="7"/>
      <c r="GU243" s="7"/>
      <c r="GV243" s="7"/>
      <c r="GW243" s="7"/>
      <c r="GX243" s="7"/>
      <c r="GY243" s="7"/>
      <c r="GZ243" s="7"/>
      <c r="HA243" s="7"/>
      <c r="HB243" s="7"/>
      <c r="HC243" s="7"/>
      <c r="HD243" s="7"/>
      <c r="HE243" s="7"/>
      <c r="HF243" s="16"/>
      <c r="HG243" s="16"/>
      <c r="HH243" s="7"/>
      <c r="HI243" s="7"/>
      <c r="HJ243" s="7"/>
      <c r="HK243" s="7"/>
      <c r="HL243" s="7"/>
      <c r="HM243" s="7"/>
      <c r="HN243" s="7"/>
      <c r="HO243" s="7"/>
      <c r="HP243" s="7"/>
      <c r="HQ243" s="7"/>
      <c r="HR243" s="7"/>
      <c r="HS243" s="7"/>
      <c r="HT243" s="30"/>
      <c r="HU243" s="30"/>
      <c r="HV243" s="30"/>
      <c r="HW243" s="30"/>
      <c r="HX243" s="30"/>
      <c r="HY243" s="30"/>
      <c r="HZ243" s="30"/>
      <c r="IA243" s="30"/>
      <c r="IB243" s="30"/>
      <c r="IC243" s="30"/>
      <c r="ID243" s="30"/>
      <c r="IE243" s="30"/>
      <c r="IF243" s="30"/>
      <c r="IG243" s="7"/>
      <c r="IH243" s="7"/>
      <c r="IT243" s="7"/>
      <c r="IU243" s="7"/>
      <c r="IV243" s="30"/>
    </row>
    <row r="244" spans="1:256" s="19" customFormat="1">
      <c r="A244" s="611"/>
      <c r="B244" s="7"/>
      <c r="C244" s="7"/>
      <c r="D244" s="7"/>
      <c r="E244" s="7"/>
      <c r="F244" s="7"/>
      <c r="G244" s="7"/>
      <c r="H244" s="7"/>
      <c r="I244" s="7"/>
      <c r="J244" s="7"/>
      <c r="K244" s="155"/>
      <c r="L244" s="96"/>
      <c r="M244" s="96"/>
      <c r="N244" s="96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413"/>
      <c r="AK244" s="84"/>
      <c r="AL244" s="493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69"/>
      <c r="AX244" s="15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84"/>
      <c r="BK244" s="84"/>
      <c r="BL244" s="84"/>
      <c r="BM244" s="84"/>
      <c r="BN244" s="84"/>
      <c r="BO244" s="84"/>
      <c r="BP244" s="84"/>
      <c r="BQ244" s="84"/>
      <c r="BR244" s="531"/>
      <c r="BS244" s="84"/>
      <c r="BT244" s="84"/>
      <c r="BU244" s="84"/>
      <c r="BV244" s="84"/>
      <c r="BW244" s="84"/>
      <c r="BX244" s="84"/>
      <c r="BY244" s="84"/>
      <c r="BZ244" s="84"/>
      <c r="CA244" s="84"/>
      <c r="CB244" s="7"/>
      <c r="CC244" s="303"/>
      <c r="CD244" s="303"/>
      <c r="CE244" s="16"/>
      <c r="CF244" s="7"/>
      <c r="CG244" s="303"/>
      <c r="CH244" s="7"/>
      <c r="CI244" s="303"/>
      <c r="CJ244" s="7"/>
      <c r="CK244" s="7"/>
      <c r="CL244" s="7"/>
      <c r="CM244" s="7"/>
      <c r="CN244" s="7"/>
      <c r="CO244" s="303"/>
      <c r="CP244" s="303"/>
      <c r="CQ244" s="7"/>
      <c r="CR244" s="7"/>
      <c r="CS244" s="303"/>
      <c r="CT244" s="303"/>
      <c r="CU244" s="303"/>
      <c r="CV244" s="7"/>
      <c r="CW244" s="303"/>
      <c r="CX244" s="7"/>
      <c r="CY244" s="7"/>
      <c r="CZ244" s="7"/>
      <c r="DA244" s="7"/>
      <c r="DB244" s="115"/>
      <c r="DC244" s="7"/>
      <c r="DD244" s="303"/>
      <c r="DE244" s="303"/>
      <c r="DF244" s="16"/>
      <c r="DG244" s="303"/>
      <c r="DH244" s="303"/>
      <c r="DI244" s="7"/>
      <c r="DJ244" s="303"/>
      <c r="DK244" s="303"/>
      <c r="DL244" s="7"/>
      <c r="DM244" s="303"/>
      <c r="DN244" s="303"/>
      <c r="DO244" s="7"/>
      <c r="DP244" s="303"/>
      <c r="DQ244" s="303"/>
      <c r="DR244" s="7"/>
      <c r="DS244" s="303"/>
      <c r="DT244" s="303"/>
      <c r="DU244" s="7"/>
      <c r="DV244" s="303"/>
      <c r="DW244" s="303"/>
      <c r="DX244" s="7"/>
      <c r="DY244" s="303"/>
      <c r="DZ244" s="303"/>
      <c r="EA244" s="303"/>
      <c r="EB244" s="7"/>
      <c r="EC244" s="7"/>
      <c r="ED244" s="7"/>
      <c r="EE244" s="84"/>
      <c r="EF244" s="7"/>
      <c r="EG244" s="7"/>
      <c r="EH244" s="7"/>
      <c r="EI244" s="7"/>
      <c r="EJ244" s="7"/>
      <c r="EK244" s="7"/>
      <c r="EL244" s="7"/>
      <c r="EM244" s="173"/>
      <c r="EN244" s="7"/>
      <c r="EO244" s="7"/>
      <c r="EP244" s="7"/>
      <c r="EQ244" s="7"/>
      <c r="ER244" s="303"/>
      <c r="ES244" s="115"/>
      <c r="ET244" s="320"/>
      <c r="EU244" s="320"/>
      <c r="EV244" s="320"/>
      <c r="EW244" s="320"/>
      <c r="EX244" s="320"/>
      <c r="EY244" s="320"/>
      <c r="FA244" s="317"/>
      <c r="FB244" s="464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  <c r="GA244" s="333"/>
      <c r="GB244" s="16"/>
      <c r="GC244" s="7"/>
      <c r="GD244" s="16"/>
      <c r="GE244" s="7"/>
      <c r="GF244" s="7"/>
      <c r="GG244" s="16"/>
      <c r="GH244" s="7"/>
      <c r="GI244" s="7"/>
      <c r="GJ244" s="16"/>
      <c r="GK244" s="7"/>
      <c r="GL244" s="7"/>
      <c r="GM244" s="7"/>
      <c r="GN244" s="347"/>
      <c r="GO244" s="7"/>
      <c r="GP244" s="7"/>
      <c r="GQ244" s="7"/>
      <c r="GR244" s="7"/>
      <c r="GS244" s="7"/>
      <c r="GT244" s="7"/>
      <c r="GU244" s="7"/>
      <c r="GV244" s="7"/>
      <c r="GW244" s="7"/>
      <c r="GX244" s="7"/>
      <c r="GY244" s="7"/>
      <c r="GZ244" s="7"/>
      <c r="HA244" s="7"/>
      <c r="HB244" s="7"/>
      <c r="HC244" s="7"/>
      <c r="HD244" s="7"/>
      <c r="HE244" s="7"/>
      <c r="HF244" s="16"/>
      <c r="HG244" s="16"/>
      <c r="HH244" s="7"/>
      <c r="HI244" s="7"/>
      <c r="HJ244" s="7"/>
      <c r="HK244" s="7"/>
      <c r="HL244" s="7"/>
      <c r="HM244" s="7"/>
      <c r="HN244" s="7"/>
      <c r="HO244" s="7"/>
      <c r="HP244" s="7"/>
      <c r="HQ244" s="7"/>
      <c r="HR244" s="7"/>
      <c r="HS244" s="7"/>
      <c r="HT244" s="30"/>
      <c r="HU244" s="30"/>
      <c r="HV244" s="30"/>
      <c r="HW244" s="30"/>
      <c r="HX244" s="30"/>
      <c r="HY244" s="30"/>
      <c r="HZ244" s="30"/>
      <c r="IA244" s="30"/>
      <c r="IB244" s="30"/>
      <c r="IC244" s="30"/>
      <c r="ID244" s="30"/>
      <c r="IE244" s="30"/>
      <c r="IF244" s="30"/>
      <c r="IG244" s="7"/>
      <c r="IH244" s="7"/>
      <c r="IT244" s="7"/>
      <c r="IU244" s="7"/>
      <c r="IV244" s="30"/>
    </row>
    <row r="245" spans="1:256" s="19" customFormat="1">
      <c r="A245" s="611"/>
      <c r="B245" s="7"/>
      <c r="C245" s="7"/>
      <c r="D245" s="7"/>
      <c r="E245" s="7"/>
      <c r="F245" s="7"/>
      <c r="G245" s="7"/>
      <c r="H245" s="7"/>
      <c r="I245" s="7"/>
      <c r="J245" s="7"/>
      <c r="K245" s="155"/>
      <c r="L245" s="96"/>
      <c r="M245" s="96"/>
      <c r="N245" s="96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413"/>
      <c r="AK245" s="84"/>
      <c r="AL245" s="493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69"/>
      <c r="AX245" s="15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84"/>
      <c r="BK245" s="84"/>
      <c r="BL245" s="84"/>
      <c r="BM245" s="84"/>
      <c r="BN245" s="84"/>
      <c r="BO245" s="84"/>
      <c r="BP245" s="84"/>
      <c r="BQ245" s="84"/>
      <c r="BR245" s="531"/>
      <c r="BS245" s="84"/>
      <c r="BT245" s="84"/>
      <c r="BU245" s="84"/>
      <c r="BV245" s="84"/>
      <c r="BW245" s="84"/>
      <c r="BX245" s="84"/>
      <c r="BY245" s="84"/>
      <c r="BZ245" s="84"/>
      <c r="CA245" s="84"/>
      <c r="CB245" s="7"/>
      <c r="CC245" s="303"/>
      <c r="CD245" s="303"/>
      <c r="CE245" s="16"/>
      <c r="CF245" s="7"/>
      <c r="CG245" s="303"/>
      <c r="CH245" s="7"/>
      <c r="CI245" s="303"/>
      <c r="CJ245" s="7"/>
      <c r="CK245" s="7"/>
      <c r="CL245" s="7"/>
      <c r="CM245" s="7"/>
      <c r="CN245" s="7"/>
      <c r="CO245" s="303"/>
      <c r="CP245" s="303"/>
      <c r="CQ245" s="7"/>
      <c r="CR245" s="7"/>
      <c r="CS245" s="303"/>
      <c r="CT245" s="303"/>
      <c r="CU245" s="303"/>
      <c r="CV245" s="7"/>
      <c r="CW245" s="303"/>
      <c r="CX245" s="7"/>
      <c r="CY245" s="7"/>
      <c r="CZ245" s="7"/>
      <c r="DA245" s="7"/>
      <c r="DB245" s="115"/>
      <c r="DC245" s="7"/>
      <c r="DD245" s="303"/>
      <c r="DE245" s="303"/>
      <c r="DF245" s="16"/>
      <c r="DG245" s="303"/>
      <c r="DH245" s="303"/>
      <c r="DI245" s="7"/>
      <c r="DJ245" s="303"/>
      <c r="DK245" s="303"/>
      <c r="DL245" s="7"/>
      <c r="DM245" s="303"/>
      <c r="DN245" s="303"/>
      <c r="DO245" s="7"/>
      <c r="DP245" s="303"/>
      <c r="DQ245" s="303"/>
      <c r="DR245" s="7"/>
      <c r="DS245" s="303"/>
      <c r="DT245" s="303"/>
      <c r="DU245" s="7"/>
      <c r="DV245" s="303"/>
      <c r="DW245" s="303"/>
      <c r="DX245" s="7"/>
      <c r="DY245" s="303"/>
      <c r="DZ245" s="303"/>
      <c r="EA245" s="303"/>
      <c r="EB245" s="7"/>
      <c r="EC245" s="7"/>
      <c r="ED245" s="7"/>
      <c r="EE245" s="84"/>
      <c r="EF245" s="7"/>
      <c r="EG245" s="7"/>
      <c r="EH245" s="7"/>
      <c r="EI245" s="7"/>
      <c r="EJ245" s="7"/>
      <c r="EK245" s="7"/>
      <c r="EL245" s="7"/>
      <c r="EM245" s="173"/>
      <c r="EN245" s="7"/>
      <c r="EO245" s="7"/>
      <c r="EP245" s="7"/>
      <c r="EQ245" s="7"/>
      <c r="ER245" s="303"/>
      <c r="ES245" s="115"/>
      <c r="ET245" s="320"/>
      <c r="EU245" s="320"/>
      <c r="EV245" s="320"/>
      <c r="EW245" s="320"/>
      <c r="EX245" s="320"/>
      <c r="EY245" s="320"/>
      <c r="FA245" s="317"/>
      <c r="FB245" s="464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  <c r="GA245" s="333"/>
      <c r="GB245" s="16"/>
      <c r="GC245" s="7"/>
      <c r="GD245" s="16"/>
      <c r="GE245" s="7"/>
      <c r="GF245" s="7"/>
      <c r="GG245" s="16"/>
      <c r="GH245" s="7"/>
      <c r="GI245" s="7"/>
      <c r="GJ245" s="16"/>
      <c r="GK245" s="7"/>
      <c r="GL245" s="7"/>
      <c r="GM245" s="7"/>
      <c r="GN245" s="347"/>
      <c r="GO245" s="7"/>
      <c r="GP245" s="7"/>
      <c r="GQ245" s="7"/>
      <c r="GR245" s="7"/>
      <c r="GS245" s="7"/>
      <c r="GT245" s="7"/>
      <c r="GU245" s="7"/>
      <c r="GV245" s="7"/>
      <c r="GW245" s="7"/>
      <c r="GX245" s="7"/>
      <c r="GY245" s="7"/>
      <c r="GZ245" s="7"/>
      <c r="HA245" s="7"/>
      <c r="HB245" s="7"/>
      <c r="HC245" s="7"/>
      <c r="HD245" s="7"/>
      <c r="HE245" s="7"/>
      <c r="HF245" s="16"/>
      <c r="HG245" s="16"/>
      <c r="HH245" s="7"/>
      <c r="HI245" s="7"/>
      <c r="HJ245" s="7"/>
      <c r="HK245" s="7"/>
      <c r="HL245" s="7"/>
      <c r="HM245" s="7"/>
      <c r="HN245" s="7"/>
      <c r="HO245" s="7"/>
      <c r="HP245" s="7"/>
      <c r="HQ245" s="7"/>
      <c r="HR245" s="7"/>
      <c r="HS245" s="7"/>
      <c r="HT245" s="30"/>
      <c r="HU245" s="30"/>
      <c r="HV245" s="30"/>
      <c r="HW245" s="30"/>
      <c r="HX245" s="30"/>
      <c r="HY245" s="30"/>
      <c r="HZ245" s="30"/>
      <c r="IA245" s="30"/>
      <c r="IB245" s="30"/>
      <c r="IC245" s="30"/>
      <c r="ID245" s="30"/>
      <c r="IE245" s="30"/>
      <c r="IF245" s="30"/>
      <c r="IG245" s="7"/>
      <c r="IH245" s="7"/>
      <c r="IT245" s="7"/>
      <c r="IU245" s="7"/>
      <c r="IV245" s="30"/>
    </row>
    <row r="246" spans="1:256" s="19" customFormat="1">
      <c r="A246" s="611"/>
      <c r="B246" s="7"/>
      <c r="C246" s="7"/>
      <c r="D246" s="7"/>
      <c r="E246" s="7"/>
      <c r="F246" s="7"/>
      <c r="G246" s="7"/>
      <c r="H246" s="7"/>
      <c r="I246" s="7"/>
      <c r="J246" s="7"/>
      <c r="K246" s="155"/>
      <c r="L246" s="96"/>
      <c r="M246" s="96"/>
      <c r="N246" s="96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413"/>
      <c r="AK246" s="84"/>
      <c r="AL246" s="493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69"/>
      <c r="AX246" s="15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84"/>
      <c r="BK246" s="84"/>
      <c r="BL246" s="84"/>
      <c r="BM246" s="84"/>
      <c r="BN246" s="84"/>
      <c r="BO246" s="84"/>
      <c r="BP246" s="84"/>
      <c r="BQ246" s="84"/>
      <c r="BR246" s="531"/>
      <c r="BS246" s="84"/>
      <c r="BT246" s="84"/>
      <c r="BU246" s="84"/>
      <c r="BV246" s="84"/>
      <c r="BW246" s="84"/>
      <c r="BX246" s="84"/>
      <c r="BY246" s="84"/>
      <c r="BZ246" s="84"/>
      <c r="CA246" s="84"/>
      <c r="CB246" s="7"/>
      <c r="CC246" s="303"/>
      <c r="CD246" s="303"/>
      <c r="CE246" s="16"/>
      <c r="CF246" s="7"/>
      <c r="CG246" s="303"/>
      <c r="CH246" s="7"/>
      <c r="CI246" s="303"/>
      <c r="CJ246" s="7"/>
      <c r="CK246" s="7"/>
      <c r="CL246" s="7"/>
      <c r="CM246" s="7"/>
      <c r="CN246" s="7"/>
      <c r="CO246" s="303"/>
      <c r="CP246" s="303"/>
      <c r="CQ246" s="7"/>
      <c r="CR246" s="7"/>
      <c r="CS246" s="303"/>
      <c r="CT246" s="303"/>
      <c r="CU246" s="303"/>
      <c r="CV246" s="7"/>
      <c r="CW246" s="303"/>
      <c r="CX246" s="7"/>
      <c r="CY246" s="7"/>
      <c r="CZ246" s="7"/>
      <c r="DA246" s="7"/>
      <c r="DB246" s="115"/>
      <c r="DC246" s="7"/>
      <c r="DD246" s="303"/>
      <c r="DE246" s="303"/>
      <c r="DF246" s="16"/>
      <c r="DG246" s="303"/>
      <c r="DH246" s="303"/>
      <c r="DI246" s="7"/>
      <c r="DJ246" s="303"/>
      <c r="DK246" s="303"/>
      <c r="DL246" s="7"/>
      <c r="DM246" s="303"/>
      <c r="DN246" s="303"/>
      <c r="DO246" s="7"/>
      <c r="DP246" s="303"/>
      <c r="DQ246" s="303"/>
      <c r="DR246" s="7"/>
      <c r="DS246" s="303"/>
      <c r="DT246" s="303"/>
      <c r="DU246" s="7"/>
      <c r="DV246" s="303"/>
      <c r="DW246" s="303"/>
      <c r="DX246" s="7"/>
      <c r="DY246" s="303"/>
      <c r="DZ246" s="303"/>
      <c r="EA246" s="303"/>
      <c r="EB246" s="7"/>
      <c r="EC246" s="7"/>
      <c r="ED246" s="7"/>
      <c r="EE246" s="84"/>
      <c r="EF246" s="7"/>
      <c r="EG246" s="7"/>
      <c r="EH246" s="7"/>
      <c r="EI246" s="7"/>
      <c r="EJ246" s="7"/>
      <c r="EK246" s="7"/>
      <c r="EL246" s="7"/>
      <c r="EM246" s="173"/>
      <c r="EN246" s="7"/>
      <c r="EO246" s="7"/>
      <c r="EP246" s="7"/>
      <c r="EQ246" s="7"/>
      <c r="ER246" s="303"/>
      <c r="ES246" s="115"/>
      <c r="ET246" s="320"/>
      <c r="EU246" s="320"/>
      <c r="EV246" s="320"/>
      <c r="EW246" s="320"/>
      <c r="EX246" s="320"/>
      <c r="EY246" s="320"/>
      <c r="FA246" s="317"/>
      <c r="FB246" s="464"/>
      <c r="FE246" s="7"/>
      <c r="FF246" s="7"/>
      <c r="FG246" s="7"/>
      <c r="FH246" s="7"/>
      <c r="FI246" s="7"/>
      <c r="FJ246" s="7"/>
      <c r="FK246" s="7"/>
      <c r="FL246" s="7"/>
      <c r="FM246" s="7"/>
      <c r="FN246" s="7"/>
      <c r="FO246" s="7"/>
      <c r="FP246" s="7"/>
      <c r="FQ246" s="7"/>
      <c r="FR246" s="7"/>
      <c r="FS246" s="7"/>
      <c r="FT246" s="7"/>
      <c r="FU246" s="7"/>
      <c r="FV246" s="7"/>
      <c r="FW246" s="7"/>
      <c r="FX246" s="7"/>
      <c r="FY246" s="7"/>
      <c r="FZ246" s="7"/>
      <c r="GA246" s="333"/>
      <c r="GB246" s="16"/>
      <c r="GC246" s="7"/>
      <c r="GD246" s="16"/>
      <c r="GE246" s="7"/>
      <c r="GF246" s="7"/>
      <c r="GG246" s="16"/>
      <c r="GH246" s="7"/>
      <c r="GI246" s="7"/>
      <c r="GJ246" s="16"/>
      <c r="GK246" s="7"/>
      <c r="GL246" s="7"/>
      <c r="GM246" s="7"/>
      <c r="GN246" s="347"/>
      <c r="GO246" s="7"/>
      <c r="GP246" s="7"/>
      <c r="GQ246" s="7"/>
      <c r="GR246" s="7"/>
      <c r="GS246" s="7"/>
      <c r="GT246" s="7"/>
      <c r="GU246" s="7"/>
      <c r="GV246" s="7"/>
      <c r="GW246" s="7"/>
      <c r="GX246" s="7"/>
      <c r="GY246" s="7"/>
      <c r="GZ246" s="7"/>
      <c r="HA246" s="7"/>
      <c r="HB246" s="7"/>
      <c r="HC246" s="7"/>
      <c r="HD246" s="7"/>
      <c r="HE246" s="7"/>
      <c r="HF246" s="16"/>
      <c r="HG246" s="16"/>
      <c r="HH246" s="7"/>
      <c r="HI246" s="7"/>
      <c r="HJ246" s="7"/>
      <c r="HK246" s="7"/>
      <c r="HL246" s="7"/>
      <c r="HM246" s="7"/>
      <c r="HN246" s="7"/>
      <c r="HO246" s="7"/>
      <c r="HP246" s="7"/>
      <c r="HQ246" s="7"/>
      <c r="HR246" s="7"/>
      <c r="HS246" s="7"/>
      <c r="HT246" s="30"/>
      <c r="HU246" s="30"/>
      <c r="HV246" s="30"/>
      <c r="HW246" s="30"/>
      <c r="HX246" s="30"/>
      <c r="HY246" s="30"/>
      <c r="HZ246" s="30"/>
      <c r="IA246" s="30"/>
      <c r="IB246" s="30"/>
      <c r="IC246" s="30"/>
      <c r="ID246" s="30"/>
      <c r="IE246" s="30"/>
      <c r="IF246" s="30"/>
      <c r="IG246" s="7"/>
      <c r="IH246" s="7"/>
      <c r="IT246" s="7"/>
      <c r="IU246" s="7"/>
      <c r="IV246" s="30"/>
    </row>
    <row r="247" spans="1:256" s="19" customFormat="1">
      <c r="A247" s="611"/>
      <c r="B247" s="7"/>
      <c r="C247" s="7"/>
      <c r="D247" s="7"/>
      <c r="E247" s="7"/>
      <c r="F247" s="7"/>
      <c r="G247" s="7"/>
      <c r="H247" s="7"/>
      <c r="I247" s="7"/>
      <c r="J247" s="7"/>
      <c r="K247" s="155"/>
      <c r="L247" s="96"/>
      <c r="M247" s="96"/>
      <c r="N247" s="96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413"/>
      <c r="AK247" s="84"/>
      <c r="AL247" s="493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69"/>
      <c r="AX247" s="15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84"/>
      <c r="BK247" s="84"/>
      <c r="BL247" s="84"/>
      <c r="BM247" s="84"/>
      <c r="BN247" s="84"/>
      <c r="BO247" s="84"/>
      <c r="BP247" s="84"/>
      <c r="BQ247" s="84"/>
      <c r="BR247" s="531"/>
      <c r="BS247" s="84"/>
      <c r="BT247" s="84"/>
      <c r="BU247" s="84"/>
      <c r="BV247" s="84"/>
      <c r="BW247" s="84"/>
      <c r="BX247" s="84"/>
      <c r="BY247" s="84"/>
      <c r="BZ247" s="84"/>
      <c r="CA247" s="84"/>
      <c r="CB247" s="7"/>
      <c r="CC247" s="303"/>
      <c r="CD247" s="303"/>
      <c r="CE247" s="16"/>
      <c r="CF247" s="7"/>
      <c r="CG247" s="303"/>
      <c r="CH247" s="7"/>
      <c r="CI247" s="303"/>
      <c r="CJ247" s="7"/>
      <c r="CK247" s="7"/>
      <c r="CL247" s="7"/>
      <c r="CM247" s="7"/>
      <c r="CN247" s="7"/>
      <c r="CO247" s="303"/>
      <c r="CP247" s="303"/>
      <c r="CQ247" s="7"/>
      <c r="CR247" s="7"/>
      <c r="CS247" s="303"/>
      <c r="CT247" s="303"/>
      <c r="CU247" s="303"/>
      <c r="CV247" s="7"/>
      <c r="CW247" s="303"/>
      <c r="CX247" s="7"/>
      <c r="CY247" s="7"/>
      <c r="CZ247" s="7"/>
      <c r="DA247" s="7"/>
      <c r="DB247" s="115"/>
      <c r="DC247" s="7"/>
      <c r="DD247" s="303"/>
      <c r="DE247" s="303"/>
      <c r="DF247" s="16"/>
      <c r="DG247" s="303"/>
      <c r="DH247" s="303"/>
      <c r="DI247" s="7"/>
      <c r="DJ247" s="303"/>
      <c r="DK247" s="303"/>
      <c r="DL247" s="7"/>
      <c r="DM247" s="303"/>
      <c r="DN247" s="303"/>
      <c r="DO247" s="7"/>
      <c r="DP247" s="303"/>
      <c r="DQ247" s="303"/>
      <c r="DR247" s="7"/>
      <c r="DS247" s="303"/>
      <c r="DT247" s="303"/>
      <c r="DU247" s="7"/>
      <c r="DV247" s="303"/>
      <c r="DW247" s="303"/>
      <c r="DX247" s="7"/>
      <c r="DY247" s="303"/>
      <c r="DZ247" s="303"/>
      <c r="EA247" s="303"/>
      <c r="EB247" s="7"/>
      <c r="EC247" s="7"/>
      <c r="ED247" s="7"/>
      <c r="EE247" s="84"/>
      <c r="EF247" s="7"/>
      <c r="EG247" s="7"/>
      <c r="EH247" s="7"/>
      <c r="EI247" s="7"/>
      <c r="EJ247" s="7"/>
      <c r="EK247" s="7"/>
      <c r="EL247" s="7"/>
      <c r="EM247" s="173"/>
      <c r="EN247" s="7"/>
      <c r="EO247" s="7"/>
      <c r="EP247" s="7"/>
      <c r="EQ247" s="7"/>
      <c r="ER247" s="303"/>
      <c r="ES247" s="115"/>
      <c r="ET247" s="320"/>
      <c r="EU247" s="320"/>
      <c r="EV247" s="320"/>
      <c r="EW247" s="320"/>
      <c r="EX247" s="320"/>
      <c r="EY247" s="320"/>
      <c r="FA247" s="317"/>
      <c r="FB247" s="464"/>
      <c r="FE247" s="7"/>
      <c r="FF247" s="7"/>
      <c r="FG247" s="7"/>
      <c r="FH247" s="7"/>
      <c r="FI247" s="7"/>
      <c r="FJ247" s="7"/>
      <c r="FK247" s="7"/>
      <c r="FL247" s="7"/>
      <c r="FM247" s="7"/>
      <c r="FN247" s="7"/>
      <c r="FO247" s="7"/>
      <c r="FP247" s="7"/>
      <c r="FQ247" s="7"/>
      <c r="FR247" s="7"/>
      <c r="FS247" s="7"/>
      <c r="FT247" s="7"/>
      <c r="FU247" s="7"/>
      <c r="FV247" s="7"/>
      <c r="FW247" s="7"/>
      <c r="FX247" s="7"/>
      <c r="FY247" s="7"/>
      <c r="FZ247" s="7"/>
      <c r="GA247" s="333"/>
      <c r="GB247" s="16"/>
      <c r="GC247" s="7"/>
      <c r="GD247" s="16"/>
      <c r="GE247" s="7"/>
      <c r="GF247" s="7"/>
      <c r="GG247" s="16"/>
      <c r="GH247" s="7"/>
      <c r="GI247" s="7"/>
      <c r="GJ247" s="16"/>
      <c r="GK247" s="7"/>
      <c r="GL247" s="7"/>
      <c r="GM247" s="7"/>
      <c r="GN247" s="347"/>
      <c r="GO247" s="7"/>
      <c r="GP247" s="7"/>
      <c r="GQ247" s="7"/>
      <c r="GR247" s="7"/>
      <c r="GS247" s="7"/>
      <c r="GT247" s="7"/>
      <c r="GU247" s="7"/>
      <c r="GV247" s="7"/>
      <c r="GW247" s="7"/>
      <c r="GX247" s="7"/>
      <c r="GY247" s="7"/>
      <c r="GZ247" s="7"/>
      <c r="HA247" s="7"/>
      <c r="HB247" s="7"/>
      <c r="HC247" s="7"/>
      <c r="HD247" s="7"/>
      <c r="HE247" s="7"/>
      <c r="HF247" s="16"/>
      <c r="HG247" s="16"/>
      <c r="HH247" s="7"/>
      <c r="HI247" s="7"/>
      <c r="HJ247" s="7"/>
      <c r="HK247" s="7"/>
      <c r="HL247" s="7"/>
      <c r="HM247" s="7"/>
      <c r="HN247" s="7"/>
      <c r="HO247" s="7"/>
      <c r="HP247" s="7"/>
      <c r="HQ247" s="7"/>
      <c r="HR247" s="7"/>
      <c r="HS247" s="7"/>
      <c r="HT247" s="30"/>
      <c r="HU247" s="30"/>
      <c r="HV247" s="30"/>
      <c r="HW247" s="30"/>
      <c r="HX247" s="30"/>
      <c r="HY247" s="30"/>
      <c r="HZ247" s="30"/>
      <c r="IA247" s="30"/>
      <c r="IB247" s="30"/>
      <c r="IC247" s="30"/>
      <c r="ID247" s="30"/>
      <c r="IE247" s="30"/>
      <c r="IF247" s="30"/>
      <c r="IG247" s="7"/>
      <c r="IH247" s="7"/>
      <c r="IT247" s="7"/>
      <c r="IU247" s="7"/>
      <c r="IV247" s="30"/>
    </row>
    <row r="248" spans="1:256" s="19" customFormat="1">
      <c r="A248" s="611"/>
      <c r="B248" s="7"/>
      <c r="C248" s="7"/>
      <c r="D248" s="7"/>
      <c r="E248" s="7"/>
      <c r="F248" s="7"/>
      <c r="G248" s="7"/>
      <c r="H248" s="7"/>
      <c r="I248" s="7"/>
      <c r="J248" s="7"/>
      <c r="K248" s="155"/>
      <c r="L248" s="96"/>
      <c r="M248" s="96"/>
      <c r="N248" s="96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413"/>
      <c r="AK248" s="84"/>
      <c r="AL248" s="493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69"/>
      <c r="AX248" s="15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84"/>
      <c r="BK248" s="84"/>
      <c r="BL248" s="84"/>
      <c r="BM248" s="84"/>
      <c r="BN248" s="84"/>
      <c r="BO248" s="84"/>
      <c r="BP248" s="84"/>
      <c r="BQ248" s="84"/>
      <c r="BR248" s="531"/>
      <c r="BS248" s="84"/>
      <c r="BT248" s="84"/>
      <c r="BU248" s="84"/>
      <c r="BV248" s="84"/>
      <c r="BW248" s="84"/>
      <c r="BX248" s="84"/>
      <c r="BY248" s="84"/>
      <c r="BZ248" s="84"/>
      <c r="CA248" s="84"/>
      <c r="CB248" s="7"/>
      <c r="CC248" s="303"/>
      <c r="CD248" s="303"/>
      <c r="CE248" s="16"/>
      <c r="CF248" s="7"/>
      <c r="CG248" s="303"/>
      <c r="CH248" s="7"/>
      <c r="CI248" s="303"/>
      <c r="CJ248" s="7"/>
      <c r="CK248" s="7"/>
      <c r="CL248" s="7"/>
      <c r="CM248" s="7"/>
      <c r="CN248" s="7"/>
      <c r="CO248" s="303"/>
      <c r="CP248" s="303"/>
      <c r="CQ248" s="7"/>
      <c r="CR248" s="7"/>
      <c r="CS248" s="303"/>
      <c r="CT248" s="303"/>
      <c r="CU248" s="303"/>
      <c r="CV248" s="7"/>
      <c r="CW248" s="303"/>
      <c r="CX248" s="7"/>
      <c r="CY248" s="7"/>
      <c r="CZ248" s="7"/>
      <c r="DA248" s="7"/>
      <c r="DB248" s="115"/>
      <c r="DC248" s="7"/>
      <c r="DD248" s="303"/>
      <c r="DE248" s="303"/>
      <c r="DF248" s="16"/>
      <c r="DG248" s="303"/>
      <c r="DH248" s="303"/>
      <c r="DI248" s="7"/>
      <c r="DJ248" s="303"/>
      <c r="DK248" s="303"/>
      <c r="DL248" s="7"/>
      <c r="DM248" s="303"/>
      <c r="DN248" s="303"/>
      <c r="DO248" s="7"/>
      <c r="DP248" s="303"/>
      <c r="DQ248" s="303"/>
      <c r="DR248" s="7"/>
      <c r="DS248" s="303"/>
      <c r="DT248" s="303"/>
      <c r="DU248" s="7"/>
      <c r="DV248" s="303"/>
      <c r="DW248" s="303"/>
      <c r="DX248" s="7"/>
      <c r="DY248" s="303"/>
      <c r="DZ248" s="303"/>
      <c r="EA248" s="303"/>
      <c r="EB248" s="7"/>
      <c r="EC248" s="7"/>
      <c r="ED248" s="7"/>
      <c r="EE248" s="84"/>
      <c r="EF248" s="7"/>
      <c r="EG248" s="7"/>
      <c r="EH248" s="7"/>
      <c r="EI248" s="7"/>
      <c r="EJ248" s="7"/>
      <c r="EK248" s="7"/>
      <c r="EL248" s="7"/>
      <c r="EM248" s="173"/>
      <c r="EN248" s="7"/>
      <c r="EO248" s="7"/>
      <c r="EP248" s="7"/>
      <c r="EQ248" s="7"/>
      <c r="ER248" s="303"/>
      <c r="ES248" s="115"/>
      <c r="ET248" s="320"/>
      <c r="EU248" s="320"/>
      <c r="EV248" s="320"/>
      <c r="EW248" s="320"/>
      <c r="EX248" s="320"/>
      <c r="EY248" s="320"/>
      <c r="FA248" s="317"/>
      <c r="FB248" s="464"/>
      <c r="FE248" s="7"/>
      <c r="FF248" s="7"/>
      <c r="FG248" s="7"/>
      <c r="FH248" s="7"/>
      <c r="FI248" s="7"/>
      <c r="FJ248" s="7"/>
      <c r="FK248" s="7"/>
      <c r="FL248" s="7"/>
      <c r="FM248" s="7"/>
      <c r="FN248" s="7"/>
      <c r="FO248" s="7"/>
      <c r="FP248" s="7"/>
      <c r="FQ248" s="7"/>
      <c r="FR248" s="7"/>
      <c r="FS248" s="7"/>
      <c r="FT248" s="7"/>
      <c r="FU248" s="7"/>
      <c r="FV248" s="7"/>
      <c r="FW248" s="7"/>
      <c r="FX248" s="7"/>
      <c r="FY248" s="7"/>
      <c r="FZ248" s="7"/>
      <c r="GA248" s="333"/>
      <c r="GB248" s="16"/>
      <c r="GC248" s="7"/>
      <c r="GD248" s="16"/>
      <c r="GE248" s="7"/>
      <c r="GF248" s="7"/>
      <c r="GG248" s="16"/>
      <c r="GH248" s="7"/>
      <c r="GI248" s="7"/>
      <c r="GJ248" s="16"/>
      <c r="GK248" s="7"/>
      <c r="GL248" s="7"/>
      <c r="GM248" s="7"/>
      <c r="GN248" s="347"/>
      <c r="GO248" s="7"/>
      <c r="GP248" s="7"/>
      <c r="GQ248" s="7"/>
      <c r="GR248" s="7"/>
      <c r="GS248" s="7"/>
      <c r="GT248" s="7"/>
      <c r="GU248" s="7"/>
      <c r="GV248" s="7"/>
      <c r="GW248" s="7"/>
      <c r="GX248" s="7"/>
      <c r="GY248" s="7"/>
      <c r="GZ248" s="7"/>
      <c r="HA248" s="7"/>
      <c r="HB248" s="7"/>
      <c r="HC248" s="7"/>
      <c r="HD248" s="7"/>
      <c r="HE248" s="7"/>
      <c r="HF248" s="16"/>
      <c r="HG248" s="16"/>
      <c r="HH248" s="7"/>
      <c r="HI248" s="7"/>
      <c r="HJ248" s="7"/>
      <c r="HK248" s="7"/>
      <c r="HL248" s="7"/>
      <c r="HM248" s="7"/>
      <c r="HN248" s="7"/>
      <c r="HO248" s="7"/>
      <c r="HP248" s="7"/>
      <c r="HQ248" s="7"/>
      <c r="HR248" s="7"/>
      <c r="HS248" s="7"/>
      <c r="HT248" s="30"/>
      <c r="HU248" s="30"/>
      <c r="HV248" s="30"/>
      <c r="HW248" s="30"/>
      <c r="HX248" s="30"/>
      <c r="HY248" s="30"/>
      <c r="HZ248" s="30"/>
      <c r="IA248" s="30"/>
      <c r="IB248" s="30"/>
      <c r="IC248" s="30"/>
      <c r="ID248" s="30"/>
      <c r="IE248" s="30"/>
      <c r="IF248" s="30"/>
      <c r="IG248" s="7"/>
      <c r="IH248" s="7"/>
      <c r="IT248" s="7"/>
      <c r="IU248" s="7"/>
      <c r="IV248" s="30"/>
    </row>
    <row r="249" spans="1:256" s="19" customFormat="1">
      <c r="A249" s="611"/>
      <c r="B249" s="7"/>
      <c r="C249" s="7"/>
      <c r="D249" s="7"/>
      <c r="E249" s="7"/>
      <c r="F249" s="7"/>
      <c r="G249" s="7"/>
      <c r="H249" s="7"/>
      <c r="I249" s="7"/>
      <c r="J249" s="7"/>
      <c r="K249" s="155"/>
      <c r="L249" s="96"/>
      <c r="M249" s="96"/>
      <c r="N249" s="96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413"/>
      <c r="AK249" s="84"/>
      <c r="AL249" s="493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69"/>
      <c r="AX249" s="15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84"/>
      <c r="BK249" s="84"/>
      <c r="BL249" s="84"/>
      <c r="BM249" s="84"/>
      <c r="BN249" s="84"/>
      <c r="BO249" s="84"/>
      <c r="BP249" s="84"/>
      <c r="BQ249" s="84"/>
      <c r="BR249" s="531"/>
      <c r="BS249" s="84"/>
      <c r="BT249" s="84"/>
      <c r="BU249" s="84"/>
      <c r="BV249" s="84"/>
      <c r="BW249" s="84"/>
      <c r="BX249" s="84"/>
      <c r="BY249" s="84"/>
      <c r="BZ249" s="84"/>
      <c r="CA249" s="84"/>
      <c r="CB249" s="7"/>
      <c r="CC249" s="303"/>
      <c r="CD249" s="303"/>
      <c r="CE249" s="16"/>
      <c r="CF249" s="7"/>
      <c r="CG249" s="303"/>
      <c r="CH249" s="7"/>
      <c r="CI249" s="303"/>
      <c r="CJ249" s="7"/>
      <c r="CK249" s="7"/>
      <c r="CL249" s="7"/>
      <c r="CM249" s="7"/>
      <c r="CN249" s="7"/>
      <c r="CO249" s="303"/>
      <c r="CP249" s="303"/>
      <c r="CQ249" s="7"/>
      <c r="CR249" s="7"/>
      <c r="CS249" s="303"/>
      <c r="CT249" s="303"/>
      <c r="CU249" s="303"/>
      <c r="CV249" s="7"/>
      <c r="CW249" s="303"/>
      <c r="CX249" s="7"/>
      <c r="CY249" s="7"/>
      <c r="CZ249" s="7"/>
      <c r="DA249" s="7"/>
      <c r="DB249" s="115"/>
      <c r="DC249" s="7"/>
      <c r="DD249" s="303"/>
      <c r="DE249" s="303"/>
      <c r="DF249" s="16"/>
      <c r="DG249" s="303"/>
      <c r="DH249" s="303"/>
      <c r="DI249" s="7"/>
      <c r="DJ249" s="303"/>
      <c r="DK249" s="303"/>
      <c r="DL249" s="7"/>
      <c r="DM249" s="303"/>
      <c r="DN249" s="303"/>
      <c r="DO249" s="7"/>
      <c r="DP249" s="303"/>
      <c r="DQ249" s="303"/>
      <c r="DR249" s="7"/>
      <c r="DS249" s="303"/>
      <c r="DT249" s="303"/>
      <c r="DU249" s="7"/>
      <c r="DV249" s="303"/>
      <c r="DW249" s="303"/>
      <c r="DX249" s="7"/>
      <c r="DY249" s="303"/>
      <c r="DZ249" s="303"/>
      <c r="EA249" s="303"/>
      <c r="EB249" s="7"/>
      <c r="EC249" s="7"/>
      <c r="ED249" s="7"/>
      <c r="EE249" s="84"/>
      <c r="EF249" s="7"/>
      <c r="EG249" s="7"/>
      <c r="EH249" s="7"/>
      <c r="EI249" s="7"/>
      <c r="EJ249" s="7"/>
      <c r="EK249" s="7"/>
      <c r="EL249" s="7"/>
      <c r="EM249" s="173"/>
      <c r="EN249" s="7"/>
      <c r="EO249" s="7"/>
      <c r="EP249" s="7"/>
      <c r="EQ249" s="7"/>
      <c r="ER249" s="303"/>
      <c r="ES249" s="115"/>
      <c r="ET249" s="320"/>
      <c r="EU249" s="320"/>
      <c r="EV249" s="320"/>
      <c r="EW249" s="320"/>
      <c r="EX249" s="320"/>
      <c r="EY249" s="320"/>
      <c r="FA249" s="317"/>
      <c r="FB249" s="464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  <c r="GA249" s="333"/>
      <c r="GB249" s="16"/>
      <c r="GC249" s="7"/>
      <c r="GD249" s="16"/>
      <c r="GE249" s="7"/>
      <c r="GF249" s="7"/>
      <c r="GG249" s="16"/>
      <c r="GH249" s="7"/>
      <c r="GI249" s="7"/>
      <c r="GJ249" s="16"/>
      <c r="GK249" s="7"/>
      <c r="GL249" s="7"/>
      <c r="GM249" s="7"/>
      <c r="GN249" s="347"/>
      <c r="GO249" s="7"/>
      <c r="GP249" s="7"/>
      <c r="GQ249" s="7"/>
      <c r="GR249" s="7"/>
      <c r="GS249" s="7"/>
      <c r="GT249" s="7"/>
      <c r="GU249" s="7"/>
      <c r="GV249" s="7"/>
      <c r="GW249" s="7"/>
      <c r="GX249" s="7"/>
      <c r="GY249" s="7"/>
      <c r="GZ249" s="7"/>
      <c r="HA249" s="7"/>
      <c r="HB249" s="7"/>
      <c r="HC249" s="7"/>
      <c r="HD249" s="7"/>
      <c r="HE249" s="7"/>
      <c r="HF249" s="16"/>
      <c r="HG249" s="16"/>
      <c r="HH249" s="7"/>
      <c r="HI249" s="7"/>
      <c r="HJ249" s="7"/>
      <c r="HK249" s="7"/>
      <c r="HL249" s="7"/>
      <c r="HM249" s="7"/>
      <c r="HN249" s="7"/>
      <c r="HO249" s="7"/>
      <c r="HP249" s="7"/>
      <c r="HQ249" s="7"/>
      <c r="HR249" s="7"/>
      <c r="HS249" s="7"/>
      <c r="HT249" s="30"/>
      <c r="HU249" s="30"/>
      <c r="HV249" s="30"/>
      <c r="HW249" s="30"/>
      <c r="HX249" s="30"/>
      <c r="HY249" s="30"/>
      <c r="HZ249" s="30"/>
      <c r="IA249" s="30"/>
      <c r="IB249" s="30"/>
      <c r="IC249" s="30"/>
      <c r="ID249" s="30"/>
      <c r="IE249" s="30"/>
      <c r="IF249" s="30"/>
      <c r="IG249" s="7"/>
      <c r="IH249" s="7"/>
      <c r="IT249" s="7"/>
      <c r="IU249" s="7"/>
      <c r="IV249" s="30"/>
    </row>
    <row r="250" spans="1:256" s="19" customFormat="1">
      <c r="A250" s="611"/>
      <c r="B250" s="7"/>
      <c r="C250" s="7"/>
      <c r="D250" s="7"/>
      <c r="E250" s="7"/>
      <c r="F250" s="7"/>
      <c r="G250" s="7"/>
      <c r="H250" s="7"/>
      <c r="I250" s="7"/>
      <c r="J250" s="7"/>
      <c r="K250" s="155"/>
      <c r="L250" s="96"/>
      <c r="M250" s="96"/>
      <c r="N250" s="96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413"/>
      <c r="AK250" s="84"/>
      <c r="AL250" s="493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69"/>
      <c r="AX250" s="15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84"/>
      <c r="BK250" s="84"/>
      <c r="BL250" s="84"/>
      <c r="BM250" s="84"/>
      <c r="BN250" s="84"/>
      <c r="BO250" s="84"/>
      <c r="BP250" s="84"/>
      <c r="BQ250" s="84"/>
      <c r="BR250" s="531"/>
      <c r="BS250" s="84"/>
      <c r="BT250" s="84"/>
      <c r="BU250" s="84"/>
      <c r="BV250" s="84"/>
      <c r="BW250" s="84"/>
      <c r="BX250" s="84"/>
      <c r="BY250" s="84"/>
      <c r="BZ250" s="84"/>
      <c r="CA250" s="84"/>
      <c r="CB250" s="7"/>
      <c r="CC250" s="303"/>
      <c r="CD250" s="303"/>
      <c r="CE250" s="16"/>
      <c r="CF250" s="7"/>
      <c r="CG250" s="303"/>
      <c r="CH250" s="7"/>
      <c r="CI250" s="303"/>
      <c r="CJ250" s="7"/>
      <c r="CK250" s="7"/>
      <c r="CL250" s="7"/>
      <c r="CM250" s="7"/>
      <c r="CN250" s="7"/>
      <c r="CO250" s="303"/>
      <c r="CP250" s="303"/>
      <c r="CQ250" s="7"/>
      <c r="CR250" s="7"/>
      <c r="CS250" s="303"/>
      <c r="CT250" s="303"/>
      <c r="CU250" s="303"/>
      <c r="CV250" s="7"/>
      <c r="CW250" s="303"/>
      <c r="CX250" s="7"/>
      <c r="CY250" s="7"/>
      <c r="CZ250" s="7"/>
      <c r="DA250" s="7"/>
      <c r="DB250" s="115"/>
      <c r="DC250" s="7"/>
      <c r="DD250" s="303"/>
      <c r="DE250" s="303"/>
      <c r="DF250" s="16"/>
      <c r="DG250" s="303"/>
      <c r="DH250" s="303"/>
      <c r="DI250" s="7"/>
      <c r="DJ250" s="303"/>
      <c r="DK250" s="303"/>
      <c r="DL250" s="7"/>
      <c r="DM250" s="303"/>
      <c r="DN250" s="303"/>
      <c r="DO250" s="7"/>
      <c r="DP250" s="303"/>
      <c r="DQ250" s="303"/>
      <c r="DR250" s="7"/>
      <c r="DS250" s="303"/>
      <c r="DT250" s="303"/>
      <c r="DU250" s="7"/>
      <c r="DV250" s="303"/>
      <c r="DW250" s="303"/>
      <c r="DX250" s="7"/>
      <c r="DY250" s="303"/>
      <c r="DZ250" s="303"/>
      <c r="EA250" s="303"/>
      <c r="EB250" s="7"/>
      <c r="EC250" s="7"/>
      <c r="ED250" s="7"/>
      <c r="EE250" s="84"/>
      <c r="EF250" s="7"/>
      <c r="EG250" s="7"/>
      <c r="EH250" s="7"/>
      <c r="EI250" s="7"/>
      <c r="EJ250" s="7"/>
      <c r="EK250" s="7"/>
      <c r="EL250" s="7"/>
      <c r="EM250" s="173"/>
      <c r="EN250" s="7"/>
      <c r="EO250" s="7"/>
      <c r="EP250" s="7"/>
      <c r="EQ250" s="7"/>
      <c r="ER250" s="303"/>
      <c r="ES250" s="115"/>
      <c r="ET250" s="320"/>
      <c r="EU250" s="320"/>
      <c r="EV250" s="320"/>
      <c r="EW250" s="320"/>
      <c r="EX250" s="320"/>
      <c r="EY250" s="320"/>
      <c r="FA250" s="317"/>
      <c r="FB250" s="464"/>
      <c r="FE250" s="7"/>
      <c r="FF250" s="7"/>
      <c r="FG250" s="7"/>
      <c r="FH250" s="7"/>
      <c r="FI250" s="7"/>
      <c r="FJ250" s="7"/>
      <c r="FK250" s="7"/>
      <c r="FL250" s="7"/>
      <c r="FM250" s="7"/>
      <c r="FN250" s="7"/>
      <c r="FO250" s="7"/>
      <c r="FP250" s="7"/>
      <c r="FQ250" s="7"/>
      <c r="FR250" s="7"/>
      <c r="FS250" s="7"/>
      <c r="FT250" s="7"/>
      <c r="FU250" s="7"/>
      <c r="FV250" s="7"/>
      <c r="FW250" s="7"/>
      <c r="FX250" s="7"/>
      <c r="FY250" s="7"/>
      <c r="FZ250" s="7"/>
      <c r="GA250" s="333"/>
      <c r="GB250" s="16"/>
      <c r="GC250" s="7"/>
      <c r="GD250" s="16"/>
      <c r="GE250" s="7"/>
      <c r="GF250" s="7"/>
      <c r="GG250" s="16"/>
      <c r="GH250" s="7"/>
      <c r="GI250" s="7"/>
      <c r="GJ250" s="16"/>
      <c r="GK250" s="7"/>
      <c r="GL250" s="7"/>
      <c r="GM250" s="7"/>
      <c r="GN250" s="347"/>
      <c r="GO250" s="7"/>
      <c r="GP250" s="7"/>
      <c r="GQ250" s="7"/>
      <c r="GR250" s="7"/>
      <c r="GS250" s="7"/>
      <c r="GT250" s="7"/>
      <c r="GU250" s="7"/>
      <c r="GV250" s="7"/>
      <c r="GW250" s="7"/>
      <c r="GX250" s="7"/>
      <c r="GY250" s="7"/>
      <c r="GZ250" s="7"/>
      <c r="HA250" s="7"/>
      <c r="HB250" s="7"/>
      <c r="HC250" s="7"/>
      <c r="HD250" s="7"/>
      <c r="HE250" s="7"/>
      <c r="HF250" s="16"/>
      <c r="HG250" s="16"/>
      <c r="HH250" s="7"/>
      <c r="HI250" s="7"/>
      <c r="HJ250" s="7"/>
      <c r="HK250" s="7"/>
      <c r="HL250" s="7"/>
      <c r="HM250" s="7"/>
      <c r="HN250" s="7"/>
      <c r="HO250" s="7"/>
      <c r="HP250" s="7"/>
      <c r="HQ250" s="7"/>
      <c r="HR250" s="7"/>
      <c r="HS250" s="7"/>
      <c r="HT250" s="30"/>
      <c r="HU250" s="30"/>
      <c r="HV250" s="30"/>
      <c r="HW250" s="30"/>
      <c r="HX250" s="30"/>
      <c r="HY250" s="30"/>
      <c r="HZ250" s="30"/>
      <c r="IA250" s="30"/>
      <c r="IB250" s="30"/>
      <c r="IC250" s="30"/>
      <c r="ID250" s="30"/>
      <c r="IE250" s="30"/>
      <c r="IF250" s="30"/>
      <c r="IG250" s="7"/>
      <c r="IH250" s="7"/>
      <c r="IT250" s="7"/>
      <c r="IU250" s="7"/>
      <c r="IV250" s="30"/>
    </row>
    <row r="251" spans="1:256" s="19" customFormat="1">
      <c r="A251" s="611"/>
      <c r="B251" s="7"/>
      <c r="C251" s="7"/>
      <c r="D251" s="7"/>
      <c r="E251" s="7"/>
      <c r="F251" s="7"/>
      <c r="G251" s="7"/>
      <c r="H251" s="7"/>
      <c r="I251" s="7"/>
      <c r="J251" s="7"/>
      <c r="K251" s="155"/>
      <c r="L251" s="96"/>
      <c r="M251" s="96"/>
      <c r="N251" s="96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413"/>
      <c r="AK251" s="84"/>
      <c r="AL251" s="493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69"/>
      <c r="AX251" s="15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84"/>
      <c r="BK251" s="84"/>
      <c r="BL251" s="84"/>
      <c r="BM251" s="84"/>
      <c r="BN251" s="84"/>
      <c r="BO251" s="84"/>
      <c r="BP251" s="84"/>
      <c r="BQ251" s="84"/>
      <c r="BR251" s="531"/>
      <c r="BS251" s="84"/>
      <c r="BT251" s="84"/>
      <c r="BU251" s="84"/>
      <c r="BV251" s="84"/>
      <c r="BW251" s="84"/>
      <c r="BX251" s="84"/>
      <c r="BY251" s="84"/>
      <c r="BZ251" s="84"/>
      <c r="CA251" s="84"/>
      <c r="CB251" s="7"/>
      <c r="CC251" s="303"/>
      <c r="CD251" s="303"/>
      <c r="CE251" s="16"/>
      <c r="CF251" s="7"/>
      <c r="CG251" s="303"/>
      <c r="CH251" s="7"/>
      <c r="CI251" s="303"/>
      <c r="CJ251" s="7"/>
      <c r="CK251" s="7"/>
      <c r="CL251" s="7"/>
      <c r="CM251" s="7"/>
      <c r="CN251" s="7"/>
      <c r="CO251" s="303"/>
      <c r="CP251" s="303"/>
      <c r="CQ251" s="7"/>
      <c r="CR251" s="7"/>
      <c r="CS251" s="303"/>
      <c r="CT251" s="303"/>
      <c r="CU251" s="303"/>
      <c r="CV251" s="7"/>
      <c r="CW251" s="303"/>
      <c r="CX251" s="7"/>
      <c r="CY251" s="7"/>
      <c r="CZ251" s="7"/>
      <c r="DA251" s="7"/>
      <c r="DB251" s="115"/>
      <c r="DC251" s="7"/>
      <c r="DD251" s="303"/>
      <c r="DE251" s="303"/>
      <c r="DF251" s="16"/>
      <c r="DG251" s="303"/>
      <c r="DH251" s="303"/>
      <c r="DI251" s="7"/>
      <c r="DJ251" s="303"/>
      <c r="DK251" s="303"/>
      <c r="DL251" s="7"/>
      <c r="DM251" s="303"/>
      <c r="DN251" s="303"/>
      <c r="DO251" s="7"/>
      <c r="DP251" s="303"/>
      <c r="DQ251" s="303"/>
      <c r="DR251" s="7"/>
      <c r="DS251" s="303"/>
      <c r="DT251" s="303"/>
      <c r="DU251" s="7"/>
      <c r="DV251" s="303"/>
      <c r="DW251" s="303"/>
      <c r="DX251" s="7"/>
      <c r="DY251" s="303"/>
      <c r="DZ251" s="303"/>
      <c r="EA251" s="303"/>
      <c r="EB251" s="7"/>
      <c r="EC251" s="7"/>
      <c r="ED251" s="7"/>
      <c r="EE251" s="84"/>
      <c r="EF251" s="7"/>
      <c r="EG251" s="7"/>
      <c r="EH251" s="7"/>
      <c r="EI251" s="7"/>
      <c r="EJ251" s="7"/>
      <c r="EK251" s="7"/>
      <c r="EL251" s="7"/>
      <c r="EM251" s="173"/>
      <c r="EN251" s="7"/>
      <c r="EO251" s="7"/>
      <c r="EP251" s="7"/>
      <c r="EQ251" s="7"/>
      <c r="ER251" s="303"/>
      <c r="ES251" s="115"/>
      <c r="ET251" s="320"/>
      <c r="EU251" s="320"/>
      <c r="EV251" s="320"/>
      <c r="EW251" s="320"/>
      <c r="EX251" s="320"/>
      <c r="EY251" s="320"/>
      <c r="FA251" s="317"/>
      <c r="FB251" s="464"/>
      <c r="FE251" s="7"/>
      <c r="FF251" s="7"/>
      <c r="FG251" s="7"/>
      <c r="FH251" s="7"/>
      <c r="FI251" s="7"/>
      <c r="FJ251" s="7"/>
      <c r="FK251" s="7"/>
      <c r="FL251" s="7"/>
      <c r="FM251" s="7"/>
      <c r="FN251" s="7"/>
      <c r="FO251" s="7"/>
      <c r="FP251" s="7"/>
      <c r="FQ251" s="7"/>
      <c r="FR251" s="7"/>
      <c r="FS251" s="7"/>
      <c r="FT251" s="7"/>
      <c r="FU251" s="7"/>
      <c r="FV251" s="7"/>
      <c r="FW251" s="7"/>
      <c r="FX251" s="7"/>
      <c r="FY251" s="7"/>
      <c r="FZ251" s="7"/>
      <c r="GA251" s="333"/>
      <c r="GB251" s="16"/>
      <c r="GC251" s="7"/>
      <c r="GD251" s="16"/>
      <c r="GE251" s="7"/>
      <c r="GF251" s="7"/>
      <c r="GG251" s="16"/>
      <c r="GH251" s="7"/>
      <c r="GI251" s="7"/>
      <c r="GJ251" s="16"/>
      <c r="GK251" s="7"/>
      <c r="GL251" s="7"/>
      <c r="GM251" s="7"/>
      <c r="GN251" s="347"/>
      <c r="GO251" s="7"/>
      <c r="GP251" s="7"/>
      <c r="GQ251" s="7"/>
      <c r="GR251" s="7"/>
      <c r="GS251" s="7"/>
      <c r="GT251" s="7"/>
      <c r="GU251" s="7"/>
      <c r="GV251" s="7"/>
      <c r="GW251" s="7"/>
      <c r="GX251" s="7"/>
      <c r="GY251" s="7"/>
      <c r="GZ251" s="7"/>
      <c r="HA251" s="7"/>
      <c r="HB251" s="7"/>
      <c r="HC251" s="7"/>
      <c r="HD251" s="7"/>
      <c r="HE251" s="7"/>
      <c r="HF251" s="16"/>
      <c r="HG251" s="16"/>
      <c r="HH251" s="7"/>
      <c r="HI251" s="7"/>
      <c r="HJ251" s="7"/>
      <c r="HK251" s="7"/>
      <c r="HL251" s="7"/>
      <c r="HM251" s="7"/>
      <c r="HN251" s="7"/>
      <c r="HO251" s="7"/>
      <c r="HP251" s="7"/>
      <c r="HQ251" s="7"/>
      <c r="HR251" s="7"/>
      <c r="HS251" s="7"/>
      <c r="HT251" s="30"/>
      <c r="HU251" s="30"/>
      <c r="HV251" s="30"/>
      <c r="HW251" s="30"/>
      <c r="HX251" s="30"/>
      <c r="HY251" s="30"/>
      <c r="HZ251" s="30"/>
      <c r="IA251" s="30"/>
      <c r="IB251" s="30"/>
      <c r="IC251" s="30"/>
      <c r="ID251" s="30"/>
      <c r="IE251" s="30"/>
      <c r="IF251" s="30"/>
      <c r="IG251" s="7"/>
      <c r="IH251" s="7"/>
      <c r="IT251" s="7"/>
      <c r="IU251" s="7"/>
      <c r="IV251" s="30"/>
    </row>
    <row r="252" spans="1:256" s="19" customFormat="1">
      <c r="A252" s="611"/>
      <c r="B252" s="7"/>
      <c r="C252" s="7"/>
      <c r="D252" s="7"/>
      <c r="E252" s="7"/>
      <c r="F252" s="7"/>
      <c r="G252" s="7"/>
      <c r="H252" s="7"/>
      <c r="I252" s="7"/>
      <c r="J252" s="7"/>
      <c r="K252" s="155"/>
      <c r="L252" s="96"/>
      <c r="M252" s="96"/>
      <c r="N252" s="96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413"/>
      <c r="AK252" s="84"/>
      <c r="AL252" s="493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69"/>
      <c r="AX252" s="15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84"/>
      <c r="BK252" s="84"/>
      <c r="BL252" s="84"/>
      <c r="BM252" s="84"/>
      <c r="BN252" s="84"/>
      <c r="BO252" s="84"/>
      <c r="BP252" s="84"/>
      <c r="BQ252" s="84"/>
      <c r="BR252" s="531"/>
      <c r="BS252" s="84"/>
      <c r="BT252" s="84"/>
      <c r="BU252" s="84"/>
      <c r="BV252" s="84"/>
      <c r="BW252" s="84"/>
      <c r="BX252" s="84"/>
      <c r="BY252" s="84"/>
      <c r="BZ252" s="84"/>
      <c r="CA252" s="84"/>
      <c r="CB252" s="7"/>
      <c r="CC252" s="303"/>
      <c r="CD252" s="303"/>
      <c r="CE252" s="16"/>
      <c r="CF252" s="7"/>
      <c r="CG252" s="303"/>
      <c r="CH252" s="7"/>
      <c r="CI252" s="303"/>
      <c r="CJ252" s="7"/>
      <c r="CK252" s="7"/>
      <c r="CL252" s="7"/>
      <c r="CM252" s="7"/>
      <c r="CN252" s="7"/>
      <c r="CO252" s="303"/>
      <c r="CP252" s="303"/>
      <c r="CQ252" s="7"/>
      <c r="CR252" s="7"/>
      <c r="CS252" s="303"/>
      <c r="CT252" s="303"/>
      <c r="CU252" s="303"/>
      <c r="CV252" s="7"/>
      <c r="CW252" s="303"/>
      <c r="CX252" s="7"/>
      <c r="CY252" s="7"/>
      <c r="CZ252" s="7"/>
      <c r="DA252" s="7"/>
      <c r="DB252" s="115"/>
      <c r="DC252" s="7"/>
      <c r="DD252" s="303"/>
      <c r="DE252" s="303"/>
      <c r="DF252" s="16"/>
      <c r="DG252" s="303"/>
      <c r="DH252" s="303"/>
      <c r="DI252" s="7"/>
      <c r="DJ252" s="303"/>
      <c r="DK252" s="303"/>
      <c r="DL252" s="7"/>
      <c r="DM252" s="303"/>
      <c r="DN252" s="303"/>
      <c r="DO252" s="7"/>
      <c r="DP252" s="303"/>
      <c r="DQ252" s="303"/>
      <c r="DR252" s="7"/>
      <c r="DS252" s="303"/>
      <c r="DT252" s="303"/>
      <c r="DU252" s="7"/>
      <c r="DV252" s="303"/>
      <c r="DW252" s="303"/>
      <c r="DX252" s="7"/>
      <c r="DY252" s="303"/>
      <c r="DZ252" s="303"/>
      <c r="EA252" s="303"/>
      <c r="EB252" s="7"/>
      <c r="EC252" s="7"/>
      <c r="ED252" s="7"/>
      <c r="EE252" s="84"/>
      <c r="EF252" s="7"/>
      <c r="EG252" s="7"/>
      <c r="EH252" s="7"/>
      <c r="EI252" s="7"/>
      <c r="EJ252" s="7"/>
      <c r="EK252" s="7"/>
      <c r="EL252" s="7"/>
      <c r="EM252" s="173"/>
      <c r="EN252" s="7"/>
      <c r="EO252" s="7"/>
      <c r="EP252" s="7"/>
      <c r="EQ252" s="7"/>
      <c r="ER252" s="303"/>
      <c r="ES252" s="115"/>
      <c r="ET252" s="320"/>
      <c r="EU252" s="320"/>
      <c r="EV252" s="320"/>
      <c r="EW252" s="320"/>
      <c r="EX252" s="320"/>
      <c r="EY252" s="320"/>
      <c r="FA252" s="317"/>
      <c r="FB252" s="464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333"/>
      <c r="GB252" s="16"/>
      <c r="GC252" s="7"/>
      <c r="GD252" s="16"/>
      <c r="GE252" s="7"/>
      <c r="GF252" s="7"/>
      <c r="GG252" s="16"/>
      <c r="GH252" s="7"/>
      <c r="GI252" s="7"/>
      <c r="GJ252" s="16"/>
      <c r="GK252" s="7"/>
      <c r="GL252" s="7"/>
      <c r="GM252" s="7"/>
      <c r="GN252" s="34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16"/>
      <c r="HG252" s="16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30"/>
      <c r="HU252" s="30"/>
      <c r="HV252" s="30"/>
      <c r="HW252" s="30"/>
      <c r="HX252" s="30"/>
      <c r="HY252" s="30"/>
      <c r="HZ252" s="30"/>
      <c r="IA252" s="30"/>
      <c r="IB252" s="30"/>
      <c r="IC252" s="30"/>
      <c r="ID252" s="30"/>
      <c r="IE252" s="30"/>
      <c r="IF252" s="30"/>
      <c r="IG252" s="7"/>
      <c r="IH252" s="7"/>
      <c r="IT252" s="7"/>
      <c r="IU252" s="7"/>
      <c r="IV252" s="30"/>
    </row>
    <row r="253" spans="1:256" s="19" customFormat="1">
      <c r="A253" s="611"/>
      <c r="B253" s="7"/>
      <c r="C253" s="7"/>
      <c r="D253" s="7"/>
      <c r="E253" s="7"/>
      <c r="F253" s="7"/>
      <c r="G253" s="7"/>
      <c r="H253" s="7"/>
      <c r="I253" s="7"/>
      <c r="J253" s="7"/>
      <c r="K253" s="155"/>
      <c r="L253" s="96"/>
      <c r="M253" s="96"/>
      <c r="N253" s="96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413"/>
      <c r="AK253" s="84"/>
      <c r="AL253" s="493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69"/>
      <c r="AX253" s="15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84"/>
      <c r="BK253" s="84"/>
      <c r="BL253" s="84"/>
      <c r="BM253" s="84"/>
      <c r="BN253" s="84"/>
      <c r="BO253" s="84"/>
      <c r="BP253" s="84"/>
      <c r="BQ253" s="84"/>
      <c r="BR253" s="531"/>
      <c r="BS253" s="84"/>
      <c r="BT253" s="84"/>
      <c r="BU253" s="84"/>
      <c r="BV253" s="84"/>
      <c r="BW253" s="84"/>
      <c r="BX253" s="84"/>
      <c r="BY253" s="84"/>
      <c r="BZ253" s="84"/>
      <c r="CA253" s="84"/>
      <c r="CB253" s="7"/>
      <c r="CC253" s="303"/>
      <c r="CD253" s="303"/>
      <c r="CE253" s="16"/>
      <c r="CF253" s="7"/>
      <c r="CG253" s="303"/>
      <c r="CH253" s="7"/>
      <c r="CI253" s="303"/>
      <c r="CJ253" s="7"/>
      <c r="CK253" s="7"/>
      <c r="CL253" s="7"/>
      <c r="CM253" s="7"/>
      <c r="CN253" s="7"/>
      <c r="CO253" s="303"/>
      <c r="CP253" s="303"/>
      <c r="CQ253" s="7"/>
      <c r="CR253" s="7"/>
      <c r="CS253" s="303"/>
      <c r="CT253" s="303"/>
      <c r="CU253" s="303"/>
      <c r="CV253" s="7"/>
      <c r="CW253" s="303"/>
      <c r="CX253" s="7"/>
      <c r="CY253" s="7"/>
      <c r="CZ253" s="7"/>
      <c r="DA253" s="7"/>
      <c r="DB253" s="115"/>
      <c r="DC253" s="7"/>
      <c r="DD253" s="303"/>
      <c r="DE253" s="303"/>
      <c r="DF253" s="16"/>
      <c r="DG253" s="303"/>
      <c r="DH253" s="303"/>
      <c r="DI253" s="7"/>
      <c r="DJ253" s="303"/>
      <c r="DK253" s="303"/>
      <c r="DL253" s="7"/>
      <c r="DM253" s="303"/>
      <c r="DN253" s="303"/>
      <c r="DO253" s="7"/>
      <c r="DP253" s="303"/>
      <c r="DQ253" s="303"/>
      <c r="DR253" s="7"/>
      <c r="DS253" s="303"/>
      <c r="DT253" s="303"/>
      <c r="DU253" s="7"/>
      <c r="DV253" s="303"/>
      <c r="DW253" s="303"/>
      <c r="DX253" s="7"/>
      <c r="DY253" s="303"/>
      <c r="DZ253" s="303"/>
      <c r="EA253" s="303"/>
      <c r="EB253" s="7"/>
      <c r="EC253" s="7"/>
      <c r="ED253" s="7"/>
      <c r="EE253" s="84"/>
      <c r="EF253" s="7"/>
      <c r="EG253" s="7"/>
      <c r="EH253" s="7"/>
      <c r="EI253" s="7"/>
      <c r="EJ253" s="7"/>
      <c r="EK253" s="7"/>
      <c r="EL253" s="7"/>
      <c r="EM253" s="173"/>
      <c r="EN253" s="7"/>
      <c r="EO253" s="7"/>
      <c r="EP253" s="7"/>
      <c r="EQ253" s="7"/>
      <c r="ER253" s="303"/>
      <c r="ES253" s="115"/>
      <c r="ET253" s="320"/>
      <c r="EU253" s="320"/>
      <c r="EV253" s="320"/>
      <c r="EW253" s="320"/>
      <c r="EX253" s="320"/>
      <c r="EY253" s="320"/>
      <c r="FA253" s="317"/>
      <c r="FB253" s="464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  <c r="GA253" s="333"/>
      <c r="GB253" s="16"/>
      <c r="GC253" s="7"/>
      <c r="GD253" s="16"/>
      <c r="GE253" s="7"/>
      <c r="GF253" s="7"/>
      <c r="GG253" s="16"/>
      <c r="GH253" s="7"/>
      <c r="GI253" s="7"/>
      <c r="GJ253" s="16"/>
      <c r="GK253" s="7"/>
      <c r="GL253" s="7"/>
      <c r="GM253" s="7"/>
      <c r="GN253" s="347"/>
      <c r="GO253" s="7"/>
      <c r="GP253" s="7"/>
      <c r="GQ253" s="7"/>
      <c r="GR253" s="7"/>
      <c r="GS253" s="7"/>
      <c r="GT253" s="7"/>
      <c r="GU253" s="7"/>
      <c r="GV253" s="7"/>
      <c r="GW253" s="7"/>
      <c r="GX253" s="7"/>
      <c r="GY253" s="7"/>
      <c r="GZ253" s="7"/>
      <c r="HA253" s="7"/>
      <c r="HB253" s="7"/>
      <c r="HC253" s="7"/>
      <c r="HD253" s="7"/>
      <c r="HE253" s="7"/>
      <c r="HF253" s="16"/>
      <c r="HG253" s="16"/>
      <c r="HH253" s="7"/>
      <c r="HI253" s="7"/>
      <c r="HJ253" s="7"/>
      <c r="HK253" s="7"/>
      <c r="HL253" s="7"/>
      <c r="HM253" s="7"/>
      <c r="HN253" s="7"/>
      <c r="HO253" s="7"/>
      <c r="HP253" s="7"/>
      <c r="HQ253" s="7"/>
      <c r="HR253" s="7"/>
      <c r="HS253" s="7"/>
      <c r="HT253" s="30"/>
      <c r="HU253" s="30"/>
      <c r="HV253" s="30"/>
      <c r="HW253" s="30"/>
      <c r="HX253" s="30"/>
      <c r="HY253" s="30"/>
      <c r="HZ253" s="30"/>
      <c r="IA253" s="30"/>
      <c r="IB253" s="30"/>
      <c r="IC253" s="30"/>
      <c r="ID253" s="30"/>
      <c r="IE253" s="30"/>
      <c r="IF253" s="30"/>
      <c r="IG253" s="7"/>
      <c r="IH253" s="7"/>
      <c r="IT253" s="7"/>
      <c r="IU253" s="7"/>
      <c r="IV253" s="30"/>
    </row>
    <row r="254" spans="1:256" s="19" customFormat="1">
      <c r="A254" s="611"/>
      <c r="B254" s="7"/>
      <c r="C254" s="7"/>
      <c r="D254" s="7"/>
      <c r="E254" s="7"/>
      <c r="F254" s="7"/>
      <c r="G254" s="7"/>
      <c r="H254" s="7"/>
      <c r="I254" s="7"/>
      <c r="J254" s="7"/>
      <c r="K254" s="155"/>
      <c r="L254" s="96"/>
      <c r="M254" s="96"/>
      <c r="N254" s="96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413"/>
      <c r="AK254" s="84"/>
      <c r="AL254" s="493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69"/>
      <c r="AX254" s="15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84"/>
      <c r="BK254" s="84"/>
      <c r="BL254" s="84"/>
      <c r="BM254" s="84"/>
      <c r="BN254" s="84"/>
      <c r="BO254" s="84"/>
      <c r="BP254" s="84"/>
      <c r="BQ254" s="84"/>
      <c r="BR254" s="531"/>
      <c r="BS254" s="84"/>
      <c r="BT254" s="84"/>
      <c r="BU254" s="84"/>
      <c r="BV254" s="84"/>
      <c r="BW254" s="84"/>
      <c r="BX254" s="84"/>
      <c r="BY254" s="84"/>
      <c r="BZ254" s="84"/>
      <c r="CA254" s="84"/>
      <c r="CB254" s="7"/>
      <c r="CC254" s="303"/>
      <c r="CD254" s="303"/>
      <c r="CE254" s="16"/>
      <c r="CF254" s="7"/>
      <c r="CG254" s="303"/>
      <c r="CH254" s="7"/>
      <c r="CI254" s="303"/>
      <c r="CJ254" s="7"/>
      <c r="CK254" s="7"/>
      <c r="CL254" s="7"/>
      <c r="CM254" s="7"/>
      <c r="CN254" s="7"/>
      <c r="CO254" s="303"/>
      <c r="CP254" s="303"/>
      <c r="CQ254" s="7"/>
      <c r="CR254" s="7"/>
      <c r="CS254" s="303"/>
      <c r="CT254" s="303"/>
      <c r="CU254" s="303"/>
      <c r="CV254" s="7"/>
      <c r="CW254" s="303"/>
      <c r="CX254" s="7"/>
      <c r="CY254" s="7"/>
      <c r="CZ254" s="7"/>
      <c r="DA254" s="7"/>
      <c r="DB254" s="115"/>
      <c r="DC254" s="7"/>
      <c r="DD254" s="303"/>
      <c r="DE254" s="303"/>
      <c r="DF254" s="16"/>
      <c r="DG254" s="303"/>
      <c r="DH254" s="303"/>
      <c r="DI254" s="7"/>
      <c r="DJ254" s="303"/>
      <c r="DK254" s="303"/>
      <c r="DL254" s="7"/>
      <c r="DM254" s="303"/>
      <c r="DN254" s="303"/>
      <c r="DO254" s="7"/>
      <c r="DP254" s="303"/>
      <c r="DQ254" s="303"/>
      <c r="DR254" s="7"/>
      <c r="DS254" s="303"/>
      <c r="DT254" s="303"/>
      <c r="DU254" s="7"/>
      <c r="DV254" s="303"/>
      <c r="DW254" s="303"/>
      <c r="DX254" s="7"/>
      <c r="DY254" s="303"/>
      <c r="DZ254" s="303"/>
      <c r="EA254" s="303"/>
      <c r="EB254" s="7"/>
      <c r="EC254" s="7"/>
      <c r="ED254" s="7"/>
      <c r="EE254" s="84"/>
      <c r="EF254" s="7"/>
      <c r="EG254" s="7"/>
      <c r="EH254" s="7"/>
      <c r="EI254" s="7"/>
      <c r="EJ254" s="7"/>
      <c r="EK254" s="7"/>
      <c r="EL254" s="7"/>
      <c r="EM254" s="173"/>
      <c r="EN254" s="7"/>
      <c r="EO254" s="7"/>
      <c r="EP254" s="7"/>
      <c r="EQ254" s="7"/>
      <c r="ER254" s="303"/>
      <c r="ES254" s="115"/>
      <c r="ET254" s="320"/>
      <c r="EU254" s="320"/>
      <c r="EV254" s="320"/>
      <c r="EW254" s="320"/>
      <c r="EX254" s="320"/>
      <c r="EY254" s="320"/>
      <c r="FA254" s="317"/>
      <c r="FB254" s="464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333"/>
      <c r="GB254" s="16"/>
      <c r="GC254" s="7"/>
      <c r="GD254" s="16"/>
      <c r="GE254" s="7"/>
      <c r="GF254" s="7"/>
      <c r="GG254" s="16"/>
      <c r="GH254" s="7"/>
      <c r="GI254" s="7"/>
      <c r="GJ254" s="16"/>
      <c r="GK254" s="7"/>
      <c r="GL254" s="7"/>
      <c r="GM254" s="7"/>
      <c r="GN254" s="34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16"/>
      <c r="HG254" s="16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30"/>
      <c r="HU254" s="30"/>
      <c r="HV254" s="30"/>
      <c r="HW254" s="30"/>
      <c r="HX254" s="30"/>
      <c r="HY254" s="30"/>
      <c r="HZ254" s="30"/>
      <c r="IA254" s="30"/>
      <c r="IB254" s="30"/>
      <c r="IC254" s="30"/>
      <c r="ID254" s="30"/>
      <c r="IE254" s="30"/>
      <c r="IF254" s="30"/>
      <c r="IG254" s="7"/>
      <c r="IH254" s="7"/>
      <c r="IT254" s="7"/>
      <c r="IU254" s="7"/>
      <c r="IV254" s="30"/>
    </row>
    <row r="255" spans="1:256" s="19" customFormat="1">
      <c r="A255" s="611"/>
      <c r="B255" s="7"/>
      <c r="C255" s="7"/>
      <c r="D255" s="7"/>
      <c r="E255" s="7"/>
      <c r="F255" s="7"/>
      <c r="G255" s="7"/>
      <c r="H255" s="7"/>
      <c r="I255" s="7"/>
      <c r="J255" s="7"/>
      <c r="K255" s="155"/>
      <c r="L255" s="96"/>
      <c r="M255" s="96"/>
      <c r="N255" s="96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413"/>
      <c r="AK255" s="84"/>
      <c r="AL255" s="493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69"/>
      <c r="AX255" s="15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84"/>
      <c r="BK255" s="84"/>
      <c r="BL255" s="84"/>
      <c r="BM255" s="84"/>
      <c r="BN255" s="84"/>
      <c r="BO255" s="84"/>
      <c r="BP255" s="84"/>
      <c r="BQ255" s="84"/>
      <c r="BR255" s="531"/>
      <c r="BS255" s="84"/>
      <c r="BT255" s="84"/>
      <c r="BU255" s="84"/>
      <c r="BV255" s="84"/>
      <c r="BW255" s="84"/>
      <c r="BX255" s="84"/>
      <c r="BY255" s="84"/>
      <c r="BZ255" s="84"/>
      <c r="CA255" s="84"/>
      <c r="CB255" s="7"/>
      <c r="CC255" s="303"/>
      <c r="CD255" s="303"/>
      <c r="CE255" s="16"/>
      <c r="CF255" s="7"/>
      <c r="CG255" s="303"/>
      <c r="CH255" s="7"/>
      <c r="CI255" s="303"/>
      <c r="CJ255" s="7"/>
      <c r="CK255" s="7"/>
      <c r="CL255" s="7"/>
      <c r="CM255" s="7"/>
      <c r="CN255" s="7"/>
      <c r="CO255" s="303"/>
      <c r="CP255" s="303"/>
      <c r="CQ255" s="7"/>
      <c r="CR255" s="7"/>
      <c r="CS255" s="303"/>
      <c r="CT255" s="303"/>
      <c r="CU255" s="303"/>
      <c r="CV255" s="7"/>
      <c r="CW255" s="303"/>
      <c r="CX255" s="7"/>
      <c r="CY255" s="7"/>
      <c r="CZ255" s="7"/>
      <c r="DA255" s="7"/>
      <c r="DB255" s="115"/>
      <c r="DC255" s="7"/>
      <c r="DD255" s="303"/>
      <c r="DE255" s="303"/>
      <c r="DF255" s="16"/>
      <c r="DG255" s="303"/>
      <c r="DH255" s="303"/>
      <c r="DI255" s="7"/>
      <c r="DJ255" s="303"/>
      <c r="DK255" s="303"/>
      <c r="DL255" s="7"/>
      <c r="DM255" s="303"/>
      <c r="DN255" s="303"/>
      <c r="DO255" s="7"/>
      <c r="DP255" s="303"/>
      <c r="DQ255" s="303"/>
      <c r="DR255" s="7"/>
      <c r="DS255" s="303"/>
      <c r="DT255" s="303"/>
      <c r="DU255" s="7"/>
      <c r="DV255" s="303"/>
      <c r="DW255" s="303"/>
      <c r="DX255" s="7"/>
      <c r="DY255" s="303"/>
      <c r="DZ255" s="303"/>
      <c r="EA255" s="303"/>
      <c r="EB255" s="7"/>
      <c r="EC255" s="7"/>
      <c r="ED255" s="7"/>
      <c r="EE255" s="84"/>
      <c r="EF255" s="7"/>
      <c r="EG255" s="7"/>
      <c r="EH255" s="7"/>
      <c r="EI255" s="7"/>
      <c r="EJ255" s="7"/>
      <c r="EK255" s="7"/>
      <c r="EL255" s="7"/>
      <c r="EM255" s="173"/>
      <c r="EN255" s="7"/>
      <c r="EO255" s="7"/>
      <c r="EP255" s="7"/>
      <c r="EQ255" s="7"/>
      <c r="ER255" s="303"/>
      <c r="ES255" s="115"/>
      <c r="ET255" s="320"/>
      <c r="EU255" s="320"/>
      <c r="EV255" s="320"/>
      <c r="EW255" s="320"/>
      <c r="EX255" s="320"/>
      <c r="EY255" s="320"/>
      <c r="FA255" s="317"/>
      <c r="FB255" s="464"/>
      <c r="FE255" s="7"/>
      <c r="FF255" s="7"/>
      <c r="FG255" s="7"/>
      <c r="FH255" s="7"/>
      <c r="FI255" s="7"/>
      <c r="FJ255" s="7"/>
      <c r="FK255" s="7"/>
      <c r="FL255" s="7"/>
      <c r="FM255" s="7"/>
      <c r="FN255" s="7"/>
      <c r="FO255" s="7"/>
      <c r="FP255" s="7"/>
      <c r="FQ255" s="7"/>
      <c r="FR255" s="7"/>
      <c r="FS255" s="7"/>
      <c r="FT255" s="7"/>
      <c r="FU255" s="7"/>
      <c r="FV255" s="7"/>
      <c r="FW255" s="7"/>
      <c r="FX255" s="7"/>
      <c r="FY255" s="7"/>
      <c r="FZ255" s="7"/>
      <c r="GA255" s="333"/>
      <c r="GB255" s="16"/>
      <c r="GC255" s="7"/>
      <c r="GD255" s="16"/>
      <c r="GE255" s="7"/>
      <c r="GF255" s="7"/>
      <c r="GG255" s="16"/>
      <c r="GH255" s="7"/>
      <c r="GI255" s="7"/>
      <c r="GJ255" s="16"/>
      <c r="GK255" s="7"/>
      <c r="GL255" s="7"/>
      <c r="GM255" s="7"/>
      <c r="GN255" s="347"/>
      <c r="GO255" s="7"/>
      <c r="GP255" s="7"/>
      <c r="GQ255" s="7"/>
      <c r="GR255" s="7"/>
      <c r="GS255" s="7"/>
      <c r="GT255" s="7"/>
      <c r="GU255" s="7"/>
      <c r="GV255" s="7"/>
      <c r="GW255" s="7"/>
      <c r="GX255" s="7"/>
      <c r="GY255" s="7"/>
      <c r="GZ255" s="7"/>
      <c r="HA255" s="7"/>
      <c r="HB255" s="7"/>
      <c r="HC255" s="7"/>
      <c r="HD255" s="7"/>
      <c r="HE255" s="7"/>
      <c r="HF255" s="16"/>
      <c r="HG255" s="16"/>
      <c r="HH255" s="7"/>
      <c r="HI255" s="7"/>
      <c r="HJ255" s="7"/>
      <c r="HK255" s="7"/>
      <c r="HL255" s="7"/>
      <c r="HM255" s="7"/>
      <c r="HN255" s="7"/>
      <c r="HO255" s="7"/>
      <c r="HP255" s="7"/>
      <c r="HQ255" s="7"/>
      <c r="HR255" s="7"/>
      <c r="HS255" s="7"/>
      <c r="HT255" s="30"/>
      <c r="HU255" s="30"/>
      <c r="HV255" s="30"/>
      <c r="HW255" s="30"/>
      <c r="HX255" s="30"/>
      <c r="HY255" s="30"/>
      <c r="HZ255" s="30"/>
      <c r="IA255" s="30"/>
      <c r="IB255" s="30"/>
      <c r="IC255" s="30"/>
      <c r="ID255" s="30"/>
      <c r="IE255" s="30"/>
      <c r="IF255" s="30"/>
      <c r="IG255" s="7"/>
      <c r="IH255" s="7"/>
      <c r="IT255" s="7"/>
      <c r="IU255" s="7"/>
      <c r="IV255" s="30"/>
    </row>
    <row r="256" spans="1:256" s="19" customFormat="1">
      <c r="A256" s="611"/>
      <c r="B256" s="7"/>
      <c r="C256" s="7"/>
      <c r="D256" s="7"/>
      <c r="E256" s="7"/>
      <c r="F256" s="7"/>
      <c r="G256" s="7"/>
      <c r="H256" s="7"/>
      <c r="I256" s="7"/>
      <c r="J256" s="7"/>
      <c r="K256" s="155"/>
      <c r="L256" s="96"/>
      <c r="M256" s="96"/>
      <c r="N256" s="96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413"/>
      <c r="AK256" s="84"/>
      <c r="AL256" s="493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69"/>
      <c r="AX256" s="15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84"/>
      <c r="BK256" s="84"/>
      <c r="BL256" s="84"/>
      <c r="BM256" s="84"/>
      <c r="BN256" s="84"/>
      <c r="BO256" s="84"/>
      <c r="BP256" s="84"/>
      <c r="BQ256" s="84"/>
      <c r="BR256" s="531"/>
      <c r="BS256" s="84"/>
      <c r="BT256" s="84"/>
      <c r="BU256" s="84"/>
      <c r="BV256" s="84"/>
      <c r="BW256" s="84"/>
      <c r="BX256" s="84"/>
      <c r="BY256" s="84"/>
      <c r="BZ256" s="84"/>
      <c r="CA256" s="84"/>
      <c r="CB256" s="7"/>
      <c r="CC256" s="303"/>
      <c r="CD256" s="303"/>
      <c r="CE256" s="16"/>
      <c r="CF256" s="7"/>
      <c r="CG256" s="303"/>
      <c r="CH256" s="7"/>
      <c r="CI256" s="303"/>
      <c r="CJ256" s="7"/>
      <c r="CK256" s="7"/>
      <c r="CL256" s="7"/>
      <c r="CM256" s="7"/>
      <c r="CN256" s="7"/>
      <c r="CO256" s="303"/>
      <c r="CP256" s="303"/>
      <c r="CQ256" s="7"/>
      <c r="CR256" s="7"/>
      <c r="CS256" s="303"/>
      <c r="CT256" s="303"/>
      <c r="CU256" s="303"/>
      <c r="CV256" s="7"/>
      <c r="CW256" s="303"/>
      <c r="CX256" s="7"/>
      <c r="CY256" s="7"/>
      <c r="CZ256" s="7"/>
      <c r="DA256" s="7"/>
      <c r="DB256" s="115"/>
      <c r="DC256" s="7"/>
      <c r="DD256" s="303"/>
      <c r="DE256" s="303"/>
      <c r="DF256" s="16"/>
      <c r="DG256" s="303"/>
      <c r="DH256" s="303"/>
      <c r="DI256" s="7"/>
      <c r="DJ256" s="303"/>
      <c r="DK256" s="303"/>
      <c r="DL256" s="7"/>
      <c r="DM256" s="303"/>
      <c r="DN256" s="303"/>
      <c r="DO256" s="7"/>
      <c r="DP256" s="303"/>
      <c r="DQ256" s="303"/>
      <c r="DR256" s="7"/>
      <c r="DS256" s="303"/>
      <c r="DT256" s="303"/>
      <c r="DU256" s="7"/>
      <c r="DV256" s="303"/>
      <c r="DW256" s="303"/>
      <c r="DX256" s="7"/>
      <c r="DY256" s="303"/>
      <c r="DZ256" s="303"/>
      <c r="EA256" s="303"/>
      <c r="EB256" s="7"/>
      <c r="EC256" s="7"/>
      <c r="ED256" s="7"/>
      <c r="EE256" s="84"/>
      <c r="EF256" s="7"/>
      <c r="EG256" s="7"/>
      <c r="EH256" s="7"/>
      <c r="EI256" s="7"/>
      <c r="EJ256" s="7"/>
      <c r="EK256" s="7"/>
      <c r="EL256" s="7"/>
      <c r="EM256" s="173"/>
      <c r="EN256" s="7"/>
      <c r="EO256" s="7"/>
      <c r="EP256" s="7"/>
      <c r="EQ256" s="7"/>
      <c r="ER256" s="303"/>
      <c r="ES256" s="115"/>
      <c r="ET256" s="320"/>
      <c r="EU256" s="320"/>
      <c r="EV256" s="320"/>
      <c r="EW256" s="320"/>
      <c r="EX256" s="320"/>
      <c r="EY256" s="320"/>
      <c r="FA256" s="317"/>
      <c r="FB256" s="464"/>
      <c r="FE256" s="7"/>
      <c r="FF256" s="7"/>
      <c r="FG256" s="7"/>
      <c r="FH256" s="7"/>
      <c r="FI256" s="7"/>
      <c r="FJ256" s="7"/>
      <c r="FK256" s="7"/>
      <c r="FL256" s="7"/>
      <c r="FM256" s="7"/>
      <c r="FN256" s="7"/>
      <c r="FO256" s="7"/>
      <c r="FP256" s="7"/>
      <c r="FQ256" s="7"/>
      <c r="FR256" s="7"/>
      <c r="FS256" s="7"/>
      <c r="FT256" s="7"/>
      <c r="FU256" s="7"/>
      <c r="FV256" s="7"/>
      <c r="FW256" s="7"/>
      <c r="FX256" s="7"/>
      <c r="FY256" s="7"/>
      <c r="FZ256" s="7"/>
      <c r="GA256" s="333"/>
      <c r="GB256" s="16"/>
      <c r="GC256" s="7"/>
      <c r="GD256" s="16"/>
      <c r="GE256" s="7"/>
      <c r="GF256" s="7"/>
      <c r="GG256" s="16"/>
      <c r="GH256" s="7"/>
      <c r="GI256" s="7"/>
      <c r="GJ256" s="16"/>
      <c r="GK256" s="7"/>
      <c r="GL256" s="7"/>
      <c r="GM256" s="7"/>
      <c r="GN256" s="347"/>
      <c r="GO256" s="7"/>
      <c r="GP256" s="7"/>
      <c r="GQ256" s="7"/>
      <c r="GR256" s="7"/>
      <c r="GS256" s="7"/>
      <c r="GT256" s="7"/>
      <c r="GU256" s="7"/>
      <c r="GV256" s="7"/>
      <c r="GW256" s="7"/>
      <c r="GX256" s="7"/>
      <c r="GY256" s="7"/>
      <c r="GZ256" s="7"/>
      <c r="HA256" s="7"/>
      <c r="HB256" s="7"/>
      <c r="HC256" s="7"/>
      <c r="HD256" s="7"/>
      <c r="HE256" s="7"/>
      <c r="HF256" s="16"/>
      <c r="HG256" s="16"/>
      <c r="HH256" s="7"/>
      <c r="HI256" s="7"/>
      <c r="HJ256" s="7"/>
      <c r="HK256" s="7"/>
      <c r="HL256" s="7"/>
      <c r="HM256" s="7"/>
      <c r="HN256" s="7"/>
      <c r="HO256" s="7"/>
      <c r="HP256" s="7"/>
      <c r="HQ256" s="7"/>
      <c r="HR256" s="7"/>
      <c r="HS256" s="7"/>
      <c r="HT256" s="30"/>
      <c r="HU256" s="30"/>
      <c r="HV256" s="30"/>
      <c r="HW256" s="30"/>
      <c r="HX256" s="30"/>
      <c r="HY256" s="30"/>
      <c r="HZ256" s="30"/>
      <c r="IA256" s="30"/>
      <c r="IB256" s="30"/>
      <c r="IC256" s="30"/>
      <c r="ID256" s="30"/>
      <c r="IE256" s="30"/>
      <c r="IF256" s="30"/>
      <c r="IG256" s="7"/>
      <c r="IH256" s="7"/>
      <c r="IT256" s="7"/>
      <c r="IU256" s="7"/>
      <c r="IV256" s="30"/>
    </row>
    <row r="257" spans="1:256" s="19" customFormat="1">
      <c r="A257" s="611"/>
      <c r="B257" s="7"/>
      <c r="C257" s="7"/>
      <c r="D257" s="7"/>
      <c r="E257" s="7"/>
      <c r="F257" s="7"/>
      <c r="G257" s="7"/>
      <c r="H257" s="7"/>
      <c r="I257" s="7"/>
      <c r="J257" s="7"/>
      <c r="K257" s="155"/>
      <c r="L257" s="96"/>
      <c r="M257" s="96"/>
      <c r="N257" s="96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413"/>
      <c r="AK257" s="84"/>
      <c r="AL257" s="493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69"/>
      <c r="AX257" s="15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84"/>
      <c r="BK257" s="84"/>
      <c r="BL257" s="84"/>
      <c r="BM257" s="84"/>
      <c r="BN257" s="84"/>
      <c r="BO257" s="84"/>
      <c r="BP257" s="84"/>
      <c r="BQ257" s="84"/>
      <c r="BR257" s="531"/>
      <c r="BS257" s="84"/>
      <c r="BT257" s="84"/>
      <c r="BU257" s="84"/>
      <c r="BV257" s="84"/>
      <c r="BW257" s="84"/>
      <c r="BX257" s="84"/>
      <c r="BY257" s="84"/>
      <c r="BZ257" s="84"/>
      <c r="CA257" s="84"/>
      <c r="CB257" s="7"/>
      <c r="CC257" s="303"/>
      <c r="CD257" s="303"/>
      <c r="CE257" s="16"/>
      <c r="CF257" s="7"/>
      <c r="CG257" s="303"/>
      <c r="CH257" s="7"/>
      <c r="CI257" s="303"/>
      <c r="CJ257" s="7"/>
      <c r="CK257" s="7"/>
      <c r="CL257" s="7"/>
      <c r="CM257" s="7"/>
      <c r="CN257" s="7"/>
      <c r="CO257" s="303"/>
      <c r="CP257" s="303"/>
      <c r="CQ257" s="7"/>
      <c r="CR257" s="7"/>
      <c r="CS257" s="303"/>
      <c r="CT257" s="303"/>
      <c r="CU257" s="303"/>
      <c r="CV257" s="7"/>
      <c r="CW257" s="303"/>
      <c r="CX257" s="7"/>
      <c r="CY257" s="7"/>
      <c r="CZ257" s="7"/>
      <c r="DA257" s="7"/>
      <c r="DB257" s="115"/>
      <c r="DC257" s="7"/>
      <c r="DD257" s="303"/>
      <c r="DE257" s="303"/>
      <c r="DF257" s="16"/>
      <c r="DG257" s="303"/>
      <c r="DH257" s="303"/>
      <c r="DI257" s="7"/>
      <c r="DJ257" s="303"/>
      <c r="DK257" s="303"/>
      <c r="DL257" s="7"/>
      <c r="DM257" s="303"/>
      <c r="DN257" s="303"/>
      <c r="DO257" s="7"/>
      <c r="DP257" s="303"/>
      <c r="DQ257" s="303"/>
      <c r="DR257" s="7"/>
      <c r="DS257" s="303"/>
      <c r="DT257" s="303"/>
      <c r="DU257" s="7"/>
      <c r="DV257" s="303"/>
      <c r="DW257" s="303"/>
      <c r="DX257" s="7"/>
      <c r="DY257" s="303"/>
      <c r="DZ257" s="303"/>
      <c r="EA257" s="303"/>
      <c r="EB257" s="7"/>
      <c r="EC257" s="7"/>
      <c r="ED257" s="7"/>
      <c r="EE257" s="84"/>
      <c r="EF257" s="7"/>
      <c r="EG257" s="7"/>
      <c r="EH257" s="7"/>
      <c r="EI257" s="7"/>
      <c r="EJ257" s="7"/>
      <c r="EK257" s="7"/>
      <c r="EL257" s="7"/>
      <c r="EM257" s="173"/>
      <c r="EN257" s="7"/>
      <c r="EO257" s="7"/>
      <c r="EP257" s="7"/>
      <c r="EQ257" s="7"/>
      <c r="ER257" s="303"/>
      <c r="ES257" s="115"/>
      <c r="ET257" s="320"/>
      <c r="EU257" s="320"/>
      <c r="EV257" s="320"/>
      <c r="EW257" s="320"/>
      <c r="EX257" s="320"/>
      <c r="EY257" s="320"/>
      <c r="FA257" s="317"/>
      <c r="FB257" s="464"/>
      <c r="FE257" s="7"/>
      <c r="FF257" s="7"/>
      <c r="FG257" s="7"/>
      <c r="FH257" s="7"/>
      <c r="FI257" s="7"/>
      <c r="FJ257" s="7"/>
      <c r="FK257" s="7"/>
      <c r="FL257" s="7"/>
      <c r="FM257" s="7"/>
      <c r="FN257" s="7"/>
      <c r="FO257" s="7"/>
      <c r="FP257" s="7"/>
      <c r="FQ257" s="7"/>
      <c r="FR257" s="7"/>
      <c r="FS257" s="7"/>
      <c r="FT257" s="7"/>
      <c r="FU257" s="7"/>
      <c r="FV257" s="7"/>
      <c r="FW257" s="7"/>
      <c r="FX257" s="7"/>
      <c r="FY257" s="7"/>
      <c r="FZ257" s="7"/>
      <c r="GA257" s="333"/>
      <c r="GB257" s="16"/>
      <c r="GC257" s="7"/>
      <c r="GD257" s="16"/>
      <c r="GE257" s="7"/>
      <c r="GF257" s="7"/>
      <c r="GG257" s="16"/>
      <c r="GH257" s="7"/>
      <c r="GI257" s="7"/>
      <c r="GJ257" s="16"/>
      <c r="GK257" s="7"/>
      <c r="GL257" s="7"/>
      <c r="GM257" s="7"/>
      <c r="GN257" s="347"/>
      <c r="GO257" s="7"/>
      <c r="GP257" s="7"/>
      <c r="GQ257" s="7"/>
      <c r="GR257" s="7"/>
      <c r="GS257" s="7"/>
      <c r="GT257" s="7"/>
      <c r="GU257" s="7"/>
      <c r="GV257" s="7"/>
      <c r="GW257" s="7"/>
      <c r="GX257" s="7"/>
      <c r="GY257" s="7"/>
      <c r="GZ257" s="7"/>
      <c r="HA257" s="7"/>
      <c r="HB257" s="7"/>
      <c r="HC257" s="7"/>
      <c r="HD257" s="7"/>
      <c r="HE257" s="7"/>
      <c r="HF257" s="16"/>
      <c r="HG257" s="16"/>
      <c r="HH257" s="7"/>
      <c r="HI257" s="7"/>
      <c r="HJ257" s="7"/>
      <c r="HK257" s="7"/>
      <c r="HL257" s="7"/>
      <c r="HM257" s="7"/>
      <c r="HN257" s="7"/>
      <c r="HO257" s="7"/>
      <c r="HP257" s="7"/>
      <c r="HQ257" s="7"/>
      <c r="HR257" s="7"/>
      <c r="HS257" s="7"/>
      <c r="HT257" s="30"/>
      <c r="HU257" s="30"/>
      <c r="HV257" s="30"/>
      <c r="HW257" s="30"/>
      <c r="HX257" s="30"/>
      <c r="HY257" s="30"/>
      <c r="HZ257" s="30"/>
      <c r="IA257" s="30"/>
      <c r="IB257" s="30"/>
      <c r="IC257" s="30"/>
      <c r="ID257" s="30"/>
      <c r="IE257" s="30"/>
      <c r="IF257" s="30"/>
      <c r="IG257" s="7"/>
      <c r="IH257" s="7"/>
      <c r="IT257" s="7"/>
      <c r="IU257" s="7"/>
      <c r="IV257" s="30"/>
    </row>
    <row r="258" spans="1:256" s="19" customFormat="1">
      <c r="A258" s="611"/>
      <c r="B258" s="7"/>
      <c r="C258" s="7"/>
      <c r="D258" s="7"/>
      <c r="E258" s="7"/>
      <c r="F258" s="7"/>
      <c r="G258" s="7"/>
      <c r="H258" s="7"/>
      <c r="I258" s="7"/>
      <c r="J258" s="7"/>
      <c r="K258" s="155"/>
      <c r="L258" s="96"/>
      <c r="M258" s="96"/>
      <c r="N258" s="96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413"/>
      <c r="AK258" s="84"/>
      <c r="AL258" s="493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69"/>
      <c r="AX258" s="15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84"/>
      <c r="BK258" s="84"/>
      <c r="BL258" s="84"/>
      <c r="BM258" s="84"/>
      <c r="BN258" s="84"/>
      <c r="BO258" s="84"/>
      <c r="BP258" s="84"/>
      <c r="BQ258" s="84"/>
      <c r="BR258" s="531"/>
      <c r="BS258" s="84"/>
      <c r="BT258" s="84"/>
      <c r="BU258" s="84"/>
      <c r="BV258" s="84"/>
      <c r="BW258" s="84"/>
      <c r="BX258" s="84"/>
      <c r="BY258" s="84"/>
      <c r="BZ258" s="84"/>
      <c r="CA258" s="84"/>
      <c r="CB258" s="7"/>
      <c r="CC258" s="303"/>
      <c r="CD258" s="303"/>
      <c r="CE258" s="16"/>
      <c r="CF258" s="7"/>
      <c r="CG258" s="303"/>
      <c r="CH258" s="7"/>
      <c r="CI258" s="303"/>
      <c r="CJ258" s="7"/>
      <c r="CK258" s="7"/>
      <c r="CL258" s="7"/>
      <c r="CM258" s="7"/>
      <c r="CN258" s="7"/>
      <c r="CO258" s="303"/>
      <c r="CP258" s="303"/>
      <c r="CQ258" s="7"/>
      <c r="CR258" s="7"/>
      <c r="CS258" s="303"/>
      <c r="CT258" s="303"/>
      <c r="CU258" s="303"/>
      <c r="CV258" s="7"/>
      <c r="CW258" s="303"/>
      <c r="CX258" s="7"/>
      <c r="CY258" s="7"/>
      <c r="CZ258" s="7"/>
      <c r="DA258" s="7"/>
      <c r="DB258" s="115"/>
      <c r="DC258" s="7"/>
      <c r="DD258" s="303"/>
      <c r="DE258" s="303"/>
      <c r="DF258" s="16"/>
      <c r="DG258" s="303"/>
      <c r="DH258" s="303"/>
      <c r="DI258" s="7"/>
      <c r="DJ258" s="303"/>
      <c r="DK258" s="303"/>
      <c r="DL258" s="7"/>
      <c r="DM258" s="303"/>
      <c r="DN258" s="303"/>
      <c r="DO258" s="7"/>
      <c r="DP258" s="303"/>
      <c r="DQ258" s="303"/>
      <c r="DR258" s="7"/>
      <c r="DS258" s="303"/>
      <c r="DT258" s="303"/>
      <c r="DU258" s="7"/>
      <c r="DV258" s="303"/>
      <c r="DW258" s="303"/>
      <c r="DX258" s="7"/>
      <c r="DY258" s="303"/>
      <c r="DZ258" s="303"/>
      <c r="EA258" s="303"/>
      <c r="EB258" s="7"/>
      <c r="EC258" s="7"/>
      <c r="ED258" s="7"/>
      <c r="EE258" s="84"/>
      <c r="EF258" s="7"/>
      <c r="EG258" s="7"/>
      <c r="EH258" s="7"/>
      <c r="EI258" s="7"/>
      <c r="EJ258" s="7"/>
      <c r="EK258" s="7"/>
      <c r="EL258" s="7"/>
      <c r="EM258" s="173"/>
      <c r="EN258" s="7"/>
      <c r="EO258" s="7"/>
      <c r="EP258" s="7"/>
      <c r="EQ258" s="7"/>
      <c r="ER258" s="303"/>
      <c r="ES258" s="115"/>
      <c r="ET258" s="320"/>
      <c r="EU258" s="320"/>
      <c r="EV258" s="320"/>
      <c r="EW258" s="320"/>
      <c r="EX258" s="320"/>
      <c r="EY258" s="320"/>
      <c r="FA258" s="317"/>
      <c r="FB258" s="464"/>
      <c r="FE258" s="7"/>
      <c r="FF258" s="7"/>
      <c r="FG258" s="7"/>
      <c r="FH258" s="7"/>
      <c r="FI258" s="7"/>
      <c r="FJ258" s="7"/>
      <c r="FK258" s="7"/>
      <c r="FL258" s="7"/>
      <c r="FM258" s="7"/>
      <c r="FN258" s="7"/>
      <c r="FO258" s="7"/>
      <c r="FP258" s="7"/>
      <c r="FQ258" s="7"/>
      <c r="FR258" s="7"/>
      <c r="FS258" s="7"/>
      <c r="FT258" s="7"/>
      <c r="FU258" s="7"/>
      <c r="FV258" s="7"/>
      <c r="FW258" s="7"/>
      <c r="FX258" s="7"/>
      <c r="FY258" s="7"/>
      <c r="FZ258" s="7"/>
      <c r="GA258" s="333"/>
      <c r="GB258" s="16"/>
      <c r="GC258" s="7"/>
      <c r="GD258" s="16"/>
      <c r="GE258" s="7"/>
      <c r="GF258" s="7"/>
      <c r="GG258" s="16"/>
      <c r="GH258" s="7"/>
      <c r="GI258" s="7"/>
      <c r="GJ258" s="16"/>
      <c r="GK258" s="7"/>
      <c r="GL258" s="7"/>
      <c r="GM258" s="7"/>
      <c r="GN258" s="347"/>
      <c r="GO258" s="7"/>
      <c r="GP258" s="7"/>
      <c r="GQ258" s="7"/>
      <c r="GR258" s="7"/>
      <c r="GS258" s="7"/>
      <c r="GT258" s="7"/>
      <c r="GU258" s="7"/>
      <c r="GV258" s="7"/>
      <c r="GW258" s="7"/>
      <c r="GX258" s="7"/>
      <c r="GY258" s="7"/>
      <c r="GZ258" s="7"/>
      <c r="HA258" s="7"/>
      <c r="HB258" s="7"/>
      <c r="HC258" s="7"/>
      <c r="HD258" s="7"/>
      <c r="HE258" s="7"/>
      <c r="HF258" s="16"/>
      <c r="HG258" s="16"/>
      <c r="HH258" s="7"/>
      <c r="HI258" s="7"/>
      <c r="HJ258" s="7"/>
      <c r="HK258" s="7"/>
      <c r="HL258" s="7"/>
      <c r="HM258" s="7"/>
      <c r="HN258" s="7"/>
      <c r="HO258" s="7"/>
      <c r="HP258" s="7"/>
      <c r="HQ258" s="7"/>
      <c r="HR258" s="7"/>
      <c r="HS258" s="7"/>
      <c r="HT258" s="30"/>
      <c r="HU258" s="30"/>
      <c r="HV258" s="30"/>
      <c r="HW258" s="30"/>
      <c r="HX258" s="30"/>
      <c r="HY258" s="30"/>
      <c r="HZ258" s="30"/>
      <c r="IA258" s="30"/>
      <c r="IB258" s="30"/>
      <c r="IC258" s="30"/>
      <c r="ID258" s="30"/>
      <c r="IE258" s="30"/>
      <c r="IF258" s="30"/>
      <c r="IG258" s="7"/>
      <c r="IH258" s="7"/>
      <c r="IT258" s="7"/>
      <c r="IU258" s="7"/>
      <c r="IV258" s="30"/>
    </row>
  </sheetData>
  <sortState xmlns:xlrd2="http://schemas.microsoft.com/office/spreadsheetml/2017/richdata2" ref="A39:A44">
    <sortCondition ref="A39"/>
  </sortState>
  <dataConsolidate>
    <dataRefs count="1">
      <dataRef ref="AL167:AM185" sheet="Données initiales"/>
    </dataRefs>
  </dataConsolidate>
  <mergeCells count="7">
    <mergeCell ref="C192:O192"/>
    <mergeCell ref="C193:D193"/>
    <mergeCell ref="M193:N193"/>
    <mergeCell ref="K193:L193"/>
    <mergeCell ref="I193:J193"/>
    <mergeCell ref="G193:H193"/>
    <mergeCell ref="E193:F193"/>
  </mergeCells>
  <conditionalFormatting sqref="DJ60">
    <cfRule type="expression" dxfId="314" priority="703">
      <formula>$AI60&gt;TODAY()</formula>
    </cfRule>
  </conditionalFormatting>
  <conditionalFormatting sqref="DG60">
    <cfRule type="expression" dxfId="313" priority="685">
      <formula>$AF60&gt;TODAY()</formula>
    </cfRule>
  </conditionalFormatting>
  <conditionalFormatting sqref="CP2:CP156">
    <cfRule type="expression" dxfId="312" priority="997">
      <formula>$CP2&gt;=TODAY()</formula>
    </cfRule>
  </conditionalFormatting>
  <conditionalFormatting sqref="CO2:CO88 CO90:CO156">
    <cfRule type="expression" dxfId="311" priority="998">
      <formula>$CO2&gt;=TODAY()</formula>
    </cfRule>
  </conditionalFormatting>
  <conditionalFormatting sqref="CL9 CL32 CM2:CM156">
    <cfRule type="expression" dxfId="310" priority="999">
      <formula>$CM2&gt;=TODAY()</formula>
    </cfRule>
  </conditionalFormatting>
  <conditionalFormatting sqref="CL2:CL8 CL10:CL31 CO93 CL33:CL88 CL90:CL156">
    <cfRule type="expression" dxfId="309" priority="1002">
      <formula>$CL2&gt;=TODAY()</formula>
    </cfRule>
  </conditionalFormatting>
  <conditionalFormatting sqref="CJ2:CJ72 CJ74:CJ156">
    <cfRule type="expression" dxfId="308" priority="1005">
      <formula>$CJ2&gt;=TODAY()</formula>
    </cfRule>
  </conditionalFormatting>
  <conditionalFormatting sqref="CL89 CO89 CI2:CI156">
    <cfRule type="expression" dxfId="307" priority="1006">
      <formula>$CI2&gt;=TODAY()</formula>
    </cfRule>
  </conditionalFormatting>
  <conditionalFormatting sqref="CG2:CG156">
    <cfRule type="expression" dxfId="306" priority="1007">
      <formula>$CG2&gt;=TODAY()</formula>
    </cfRule>
  </conditionalFormatting>
  <conditionalFormatting sqref="CF2:CF156">
    <cfRule type="expression" dxfId="305" priority="1008">
      <formula>$CF2&gt;=TODAY()</formula>
    </cfRule>
  </conditionalFormatting>
  <conditionalFormatting sqref="CD2:CD90 CD98:CD156">
    <cfRule type="expression" dxfId="304" priority="1009">
      <formula>$CD2&gt;=TODAY()</formula>
    </cfRule>
  </conditionalFormatting>
  <conditionalFormatting sqref="CC143:CC147 CC2:CC141 CC149:CC155">
    <cfRule type="expression" dxfId="303" priority="1010">
      <formula>$CC2&gt;=TODAY()</formula>
    </cfRule>
  </conditionalFormatting>
  <conditionalFormatting sqref="CX64 CW2:CW156">
    <cfRule type="expression" dxfId="302" priority="1122">
      <formula>$CW2&gt;=TODAY()</formula>
    </cfRule>
  </conditionalFormatting>
  <conditionalFormatting sqref="CU2:CU32 CU34:CU156">
    <cfRule type="expression" dxfId="301" priority="1125">
      <formula>$CU2&gt;=TODAY()</formula>
    </cfRule>
  </conditionalFormatting>
  <conditionalFormatting sqref="CU33 CT2:CT156">
    <cfRule type="expression" dxfId="300" priority="1128">
      <formula>$CT2&gt;=TODAY()</formula>
    </cfRule>
  </conditionalFormatting>
  <conditionalFormatting sqref="DH2:DH10 DH12:DH22 DK2:DK156">
    <cfRule type="expression" dxfId="299" priority="1209">
      <formula>$DK2&gt;=TODAY()</formula>
    </cfRule>
  </conditionalFormatting>
  <conditionalFormatting sqref="EA2:EA156">
    <cfRule type="expression" dxfId="298" priority="1213">
      <formula>$EA2&gt;=TODAY()</formula>
    </cfRule>
  </conditionalFormatting>
  <conditionalFormatting sqref="DZ143:DZ147 DZ2:DZ141 DZ149:DZ156">
    <cfRule type="expression" dxfId="297" priority="1214">
      <formula>$DZ2&gt;=TODAY()</formula>
    </cfRule>
  </conditionalFormatting>
  <conditionalFormatting sqref="DY143:DY147 DY2:DY141 DY149:DY156">
    <cfRule type="expression" dxfId="296" priority="1215">
      <formula>$DY2&gt;=TODAY()</formula>
    </cfRule>
  </conditionalFormatting>
  <conditionalFormatting sqref="DW2:DW156">
    <cfRule type="expression" dxfId="295" priority="1216">
      <formula>$DW2&gt;=TODAY()</formula>
    </cfRule>
  </conditionalFormatting>
  <conditionalFormatting sqref="DV2:DV156">
    <cfRule type="expression" dxfId="294" priority="1217">
      <formula>$DV2&gt;=TODAY()</formula>
    </cfRule>
  </conditionalFormatting>
  <conditionalFormatting sqref="DQ61:DQ62 DQ65:DQ66 DT2:DT156">
    <cfRule type="expression" dxfId="293" priority="1218">
      <formula>$DT2&gt;=TODAY()</formula>
    </cfRule>
  </conditionalFormatting>
  <conditionalFormatting sqref="DS2:DS141 DS143:DS156">
    <cfRule type="expression" dxfId="292" priority="1219">
      <formula>$DS2&gt;=TODAY()</formula>
    </cfRule>
  </conditionalFormatting>
  <conditionalFormatting sqref="DQ2:DQ60 DQ67:DQ156">
    <cfRule type="expression" dxfId="291" priority="1220">
      <formula>$DQ2&gt;=TODAY()</formula>
    </cfRule>
  </conditionalFormatting>
  <conditionalFormatting sqref="DP2:DP156">
    <cfRule type="expression" dxfId="290" priority="1221">
      <formula>$DP2&gt;=TODAY()</formula>
    </cfRule>
  </conditionalFormatting>
  <conditionalFormatting sqref="DQ63:DQ64 DN2:DN156">
    <cfRule type="expression" dxfId="289" priority="1222">
      <formula>$DN2&gt;=TODAY()</formula>
    </cfRule>
  </conditionalFormatting>
  <conditionalFormatting sqref="DM2:DM141 DM143:DM156">
    <cfRule type="expression" dxfId="288" priority="1223">
      <formula>$DM2&gt;=TODAY()</formula>
    </cfRule>
  </conditionalFormatting>
  <conditionalFormatting sqref="DJ52 DJ50 DJ2:DJ47 DJ56:DJ156">
    <cfRule type="expression" dxfId="287" priority="1226">
      <formula>$DJ2&gt;=TODAY()</formula>
    </cfRule>
  </conditionalFormatting>
  <conditionalFormatting sqref="DJ48:DJ49 DJ53:DJ55 DJ51 DG2:DG156">
    <cfRule type="expression" dxfId="286" priority="1228">
      <formula>$DG2&gt;=TODAY()</formula>
    </cfRule>
  </conditionalFormatting>
  <conditionalFormatting sqref="DE2:DE156">
    <cfRule type="expression" dxfId="285" priority="1230">
      <formula>$DE2&gt;=TODAY()</formula>
    </cfRule>
  </conditionalFormatting>
  <conditionalFormatting sqref="DD2:DD156">
    <cfRule type="expression" dxfId="284" priority="1234">
      <formula>$DD2&gt;=TODAY()</formula>
    </cfRule>
  </conditionalFormatting>
  <conditionalFormatting sqref="CC142">
    <cfRule type="expression" dxfId="283" priority="318">
      <formula>$CD142&gt;=TODAY()</formula>
    </cfRule>
  </conditionalFormatting>
  <conditionalFormatting sqref="CB142">
    <cfRule type="expression" dxfId="282" priority="319">
      <formula>$CC142&gt;=TODAY()</formula>
    </cfRule>
  </conditionalFormatting>
  <conditionalFormatting sqref="DZ142">
    <cfRule type="expression" dxfId="281" priority="324">
      <formula>$EA142&gt;=TODAY()</formula>
    </cfRule>
  </conditionalFormatting>
  <conditionalFormatting sqref="DY142">
    <cfRule type="expression" dxfId="280" priority="325">
      <formula>$DZ142&gt;=TODAY()</formula>
    </cfRule>
  </conditionalFormatting>
  <conditionalFormatting sqref="DS142">
    <cfRule type="expression" dxfId="279" priority="328">
      <formula>$DT142&gt;=TODAY()</formula>
    </cfRule>
  </conditionalFormatting>
  <conditionalFormatting sqref="DM142">
    <cfRule type="expression" dxfId="278" priority="332">
      <formula>$DN142&gt;=TODAY()</formula>
    </cfRule>
  </conditionalFormatting>
  <conditionalFormatting sqref="CD91:CD97">
    <cfRule type="expression" dxfId="277" priority="61">
      <formula>$CD91&gt;=TODAY()</formula>
    </cfRule>
  </conditionalFormatting>
  <conditionalFormatting sqref="CJ73">
    <cfRule type="expression" dxfId="276" priority="59">
      <formula>$CM73&gt;=TODAY()</formula>
    </cfRule>
  </conditionalFormatting>
  <conditionalFormatting sqref="CC156">
    <cfRule type="expression" dxfId="275" priority="39">
      <formula>$CC156&gt;=TODAY()</formula>
    </cfRule>
  </conditionalFormatting>
  <conditionalFormatting sqref="CP157:CP163">
    <cfRule type="expression" dxfId="274" priority="2">
      <formula>$CP157&gt;=TODAY()</formula>
    </cfRule>
  </conditionalFormatting>
  <conditionalFormatting sqref="CO157:CO163">
    <cfRule type="expression" dxfId="273" priority="3">
      <formula>$CO157&gt;=TODAY()</formula>
    </cfRule>
  </conditionalFormatting>
  <conditionalFormatting sqref="CM157:CM163">
    <cfRule type="expression" dxfId="272" priority="4">
      <formula>$CM157&gt;=TODAY()</formula>
    </cfRule>
  </conditionalFormatting>
  <conditionalFormatting sqref="CL157:CL163">
    <cfRule type="expression" dxfId="271" priority="5">
      <formula>$CL157&gt;=TODAY()</formula>
    </cfRule>
  </conditionalFormatting>
  <conditionalFormatting sqref="CJ157:CJ163">
    <cfRule type="expression" dxfId="270" priority="6">
      <formula>$CJ157&gt;=TODAY()</formula>
    </cfRule>
  </conditionalFormatting>
  <conditionalFormatting sqref="CI157:CI163">
    <cfRule type="expression" dxfId="269" priority="7">
      <formula>$CI157&gt;=TODAY()</formula>
    </cfRule>
  </conditionalFormatting>
  <conditionalFormatting sqref="CG157:CG163">
    <cfRule type="expression" dxfId="268" priority="8">
      <formula>$CG157&gt;=TODAY()</formula>
    </cfRule>
  </conditionalFormatting>
  <conditionalFormatting sqref="CF157:CF163">
    <cfRule type="expression" dxfId="267" priority="9">
      <formula>$CF157&gt;=TODAY()</formula>
    </cfRule>
  </conditionalFormatting>
  <conditionalFormatting sqref="CD157:CD163">
    <cfRule type="expression" dxfId="266" priority="10">
      <formula>$CD157&gt;=TODAY()</formula>
    </cfRule>
  </conditionalFormatting>
  <conditionalFormatting sqref="CW157:CW163">
    <cfRule type="expression" dxfId="265" priority="11">
      <formula>$CW157&gt;=TODAY()</formula>
    </cfRule>
  </conditionalFormatting>
  <conditionalFormatting sqref="CU157:CU163">
    <cfRule type="expression" dxfId="264" priority="12">
      <formula>$CU157&gt;=TODAY()</formula>
    </cfRule>
  </conditionalFormatting>
  <conditionalFormatting sqref="CT157:CT163">
    <cfRule type="expression" dxfId="263" priority="13">
      <formula>$CT157&gt;=TODAY()</formula>
    </cfRule>
  </conditionalFormatting>
  <conditionalFormatting sqref="DK157:DK163">
    <cfRule type="expression" dxfId="262" priority="14">
      <formula>$DK157&gt;=TODAY()</formula>
    </cfRule>
  </conditionalFormatting>
  <conditionalFormatting sqref="EA157:EA163">
    <cfRule type="expression" dxfId="261" priority="15">
      <formula>$EA157&gt;=TODAY()</formula>
    </cfRule>
  </conditionalFormatting>
  <conditionalFormatting sqref="DZ157:DZ163">
    <cfRule type="expression" dxfId="260" priority="16">
      <formula>$DZ157&gt;=TODAY()</formula>
    </cfRule>
  </conditionalFormatting>
  <conditionalFormatting sqref="DY157:DY163">
    <cfRule type="expression" dxfId="259" priority="17">
      <formula>$DY157&gt;=TODAY()</formula>
    </cfRule>
  </conditionalFormatting>
  <conditionalFormatting sqref="DW157:DW163">
    <cfRule type="expression" dxfId="258" priority="18">
      <formula>$DW157&gt;=TODAY()</formula>
    </cfRule>
  </conditionalFormatting>
  <conditionalFormatting sqref="DV157:DV163">
    <cfRule type="expression" dxfId="257" priority="19">
      <formula>$DV157&gt;=TODAY()</formula>
    </cfRule>
  </conditionalFormatting>
  <conditionalFormatting sqref="DT157:DT163">
    <cfRule type="expression" dxfId="256" priority="20">
      <formula>$DT157&gt;=TODAY()</formula>
    </cfRule>
  </conditionalFormatting>
  <conditionalFormatting sqref="DS157:DS163">
    <cfRule type="expression" dxfId="255" priority="21">
      <formula>$DS157&gt;=TODAY()</formula>
    </cfRule>
  </conditionalFormatting>
  <conditionalFormatting sqref="DQ157:DQ163">
    <cfRule type="expression" dxfId="254" priority="22">
      <formula>$DQ157&gt;=TODAY()</formula>
    </cfRule>
  </conditionalFormatting>
  <conditionalFormatting sqref="DP157:DP163">
    <cfRule type="expression" dxfId="253" priority="23">
      <formula>$DP157&gt;=TODAY()</formula>
    </cfRule>
  </conditionalFormatting>
  <conditionalFormatting sqref="DN157:DN163">
    <cfRule type="expression" dxfId="252" priority="24">
      <formula>$DN157&gt;=TODAY()</formula>
    </cfRule>
  </conditionalFormatting>
  <conditionalFormatting sqref="DM157:DM163">
    <cfRule type="expression" dxfId="251" priority="25">
      <formula>$DM157&gt;=TODAY()</formula>
    </cfRule>
  </conditionalFormatting>
  <conditionalFormatting sqref="DJ157:DJ163">
    <cfRule type="expression" dxfId="250" priority="26">
      <formula>$DJ157&gt;=TODAY()</formula>
    </cfRule>
  </conditionalFormatting>
  <conditionalFormatting sqref="DG157:DG163">
    <cfRule type="expression" dxfId="249" priority="27">
      <formula>$DG157&gt;=TODAY()</formula>
    </cfRule>
  </conditionalFormatting>
  <conditionalFormatting sqref="DE157:DE163">
    <cfRule type="expression" dxfId="248" priority="28">
      <formula>$DE157&gt;=TODAY()</formula>
    </cfRule>
  </conditionalFormatting>
  <conditionalFormatting sqref="DD157:DD163">
    <cfRule type="expression" dxfId="247" priority="29">
      <formula>$DD157&gt;=TODAY()</formula>
    </cfRule>
  </conditionalFormatting>
  <conditionalFormatting sqref="CC157:CC163">
    <cfRule type="expression" dxfId="246" priority="1">
      <formula>$CC157&gt;=TODAY()</formula>
    </cfRule>
  </conditionalFormatting>
  <dataValidations count="10">
    <dataValidation type="list" allowBlank="1" showInputMessage="1" showErrorMessage="1" sqref="BC2 AX148 BB149:BB163 BA95:BA163 BA2:BA93 BB136:BB147" xr:uid="{00000000-0002-0000-0200-000000000000}">
      <formula1>"oui,non"</formula1>
    </dataValidation>
    <dataValidation type="list" allowBlank="1" showInputMessage="1" showErrorMessage="1" sqref="BF148:BG148" xr:uid="{00000000-0002-0000-0200-000003000000}">
      <formula1>"INGEPAR,OFOI"</formula1>
    </dataValidation>
    <dataValidation type="list" allowBlank="1" showInputMessage="1" showErrorMessage="1" sqref="AW148 AZ2:AZ93 BA94 AZ95:AZ163" xr:uid="{00000000-0002-0000-0200-000004000000}">
      <formula1>"MDV,collectif"</formula1>
    </dataValidation>
    <dataValidation type="list" allowBlank="1" showInputMessage="1" showErrorMessage="1" sqref="BO148:BP148 BR148:BT148" xr:uid="{00000000-0002-0000-0200-000005000000}">
      <formula1>"Oui,Non"</formula1>
    </dataValidation>
    <dataValidation type="list" allowBlank="1" showInputMessage="1" showErrorMessage="1" sqref="AC110:AC163 AC2:AC105" xr:uid="{00000000-0002-0000-0200-000006000000}">
      <formula1>"LLS,LLTS,PLS,Rehab"</formula1>
    </dataValidation>
    <dataValidation type="list" allowBlank="1" showInputMessage="1" showErrorMessage="1" sqref="B2:B163" xr:uid="{00000000-0002-0000-0200-000007000000}">
      <formula1>Communes</formula1>
    </dataValidation>
    <dataValidation type="list" allowBlank="1" showInputMessage="1" showErrorMessage="1" sqref="C2:C163" xr:uid="{00000000-0002-0000-0200-000008000000}">
      <formula1>"CA SUD,CIVIS,TCO"</formula1>
    </dataValidation>
    <dataValidation type="list" allowBlank="1" showInputMessage="1" showErrorMessage="1" sqref="G2:G163" xr:uid="{00000000-0002-0000-0200-00000A000000}">
      <formula1>Liste_Ass</formula1>
    </dataValidation>
    <dataValidation type="list" allowBlank="1" showInputMessage="1" showErrorMessage="1" sqref="H2:H163" xr:uid="{00000000-0002-0000-0200-00000B000000}">
      <formula1>Phases</formula1>
    </dataValidation>
    <dataValidation type="list" allowBlank="1" showInputMessage="1" showErrorMessage="1" sqref="F2:F163" xr:uid="{00000000-0002-0000-0200-000009000000}">
      <formula1>#REF!</formula1>
    </dataValidation>
  </dataValidations>
  <pageMargins left="0.28000000000000003" right="0.26" top="0.75" bottom="0.75" header="0.3" footer="0.3"/>
  <pageSetup paperSize="8" scale="10" orientation="landscape" r:id="rId1"/>
  <headerFooter>
    <oddFooter>Préparé par NBL &amp;D&amp;RPage &amp;P</oddFooter>
  </headerFooter>
  <colBreaks count="4" manualBreakCount="4">
    <brk id="30" max="264" man="1"/>
    <brk id="169" max="265" man="1"/>
    <brk id="182" max="265" man="1"/>
    <brk id="203" max="1048575" man="1"/>
  </colBreaks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8B0D78-828A-4A29-9FE5-4E141848D9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Données initiales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2020-06-15T05:30:32Z</cp:lastPrinted>
  <dcterms:created xsi:type="dcterms:W3CDTF">2012-11-19T18:43:46Z</dcterms:created>
  <dcterms:modified xsi:type="dcterms:W3CDTF">2020-06-16T04:34:38Z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