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CS-01\Organisation\4 - DOP\42 - Pôle Construction Immobilière\Pôle Immobilier\Financement, PRD, Gest° OP\"/>
    </mc:Choice>
  </mc:AlternateContent>
  <bookViews>
    <workbookView xWindow="0" yWindow="1902" windowWidth="13911" windowHeight="5488" tabRatio="719" activeTab="3"/>
  </bookViews>
  <sheets>
    <sheet name="SYNTHESE" sheetId="19" r:id="rId1"/>
    <sheet name="ST LEU" sheetId="5" r:id="rId2"/>
    <sheet name="LBU DEAL" sheetId="8" r:id="rId3"/>
    <sheet name="FRAFU DEAL" sheetId="21" r:id="rId4"/>
    <sheet name="CAF" sheetId="9" r:id="rId5"/>
    <sheet name="FEDER" sheetId="10" r:id="rId6"/>
    <sheet name="REGION" sheetId="13" r:id="rId7"/>
    <sheet name="DIECCTE" sheetId="11" r:id="rId8"/>
    <sheet name="CILGERE" sheetId="12" state="hidden" r:id="rId9"/>
    <sheet name="TCO" sheetId="14" r:id="rId10"/>
    <sheet name="ADEME" sheetId="15" r:id="rId11"/>
    <sheet name="PETITE ILE" sheetId="18" r:id="rId12"/>
    <sheet name="EDF" sheetId="22" r:id="rId13"/>
    <sheet name="cilgère" sheetId="25" r:id="rId14"/>
    <sheet name="OFFICE DE L'EAU" sheetId="23" r:id="rId15"/>
    <sheet name="ST JOSEPH" sheetId="26" r:id="rId16"/>
    <sheet name="ETANG-SALE" sheetId="24" r:id="rId17"/>
  </sheets>
  <definedNames>
    <definedName name="_xlnm._FilterDatabase" localSheetId="4" hidden="1">CAF!$A$4:$O$5</definedName>
    <definedName name="_xlnm._FilterDatabase" localSheetId="7" hidden="1">DIECCTE!$A$4:$M$5</definedName>
    <definedName name="_xlnm._FilterDatabase" localSheetId="5" hidden="1">FEDER!$A$4:$Q$5</definedName>
    <definedName name="_xlnm._FilterDatabase" localSheetId="3" hidden="1">'FRAFU DEAL'!$A$5:$R$134</definedName>
    <definedName name="_xlnm._FilterDatabase" localSheetId="2" hidden="1">'LBU DEAL'!$A$4:$R$263</definedName>
    <definedName name="_xlnm._FilterDatabase" localSheetId="6" hidden="1">REGION!$A$4:$Q$5</definedName>
    <definedName name="_xlnm._FilterDatabase" localSheetId="1" hidden="1">'ST LEU'!$A$4:$L$36</definedName>
    <definedName name="_xlnm._FilterDatabase" localSheetId="9" hidden="1">TCO!$A$4:$O$5</definedName>
    <definedName name="DateAF">'FRAFU DEAL'!$K$6:$K$132</definedName>
    <definedName name="_xlnm.Print_Titles" localSheetId="1">'ST LEU'!$4:$4</definedName>
    <definedName name="MontantAF">'FRAFU DEAL'!$I$6:$I$132</definedName>
    <definedName name="_xlnm.Print_Area" localSheetId="4">CAF!$A$1:$O$39</definedName>
    <definedName name="_xlnm.Print_Area" localSheetId="3">'FRAFU DEAL'!$A$1:$R$188</definedName>
    <definedName name="_xlnm.Print_Area" localSheetId="2">'LBU DEAL'!$A$1:$R$263</definedName>
    <definedName name="_xlnm.Print_Area" localSheetId="1">'ST LEU'!$A$1:$N$54</definedName>
  </definedNames>
  <calcPr calcId="162913"/>
</workbook>
</file>

<file path=xl/calcChain.xml><?xml version="1.0" encoding="utf-8"?>
<calcChain xmlns="http://schemas.openxmlformats.org/spreadsheetml/2006/main">
  <c r="I137" i="21" l="1"/>
  <c r="I18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4" i="21"/>
  <c r="I185" i="21"/>
  <c r="I186" i="21"/>
  <c r="I188" i="21" l="1"/>
  <c r="I223" i="8"/>
  <c r="P223" i="8" s="1"/>
  <c r="I175" i="8"/>
  <c r="I174" i="8"/>
  <c r="I224" i="8" l="1"/>
  <c r="I76" i="21" l="1"/>
  <c r="I183" i="8"/>
  <c r="I182" i="8"/>
  <c r="I123" i="21" l="1"/>
  <c r="O26" i="13" l="1"/>
  <c r="N93" i="8" l="1"/>
  <c r="N12" i="10" l="1"/>
  <c r="H36" i="13"/>
  <c r="F96" i="21" l="1"/>
  <c r="I67" i="21" l="1"/>
  <c r="I68" i="21" s="1"/>
  <c r="P246" i="8"/>
  <c r="I153" i="8"/>
  <c r="I168" i="8"/>
  <c r="I69" i="21" l="1"/>
  <c r="K45" i="5"/>
  <c r="K44" i="5"/>
  <c r="K42" i="5"/>
  <c r="O127" i="21" l="1"/>
  <c r="E15" i="23" l="1"/>
  <c r="C10" i="18"/>
  <c r="H17" i="26" l="1"/>
  <c r="C3" i="19" s="1"/>
  <c r="D17" i="26"/>
  <c r="B3" i="19" s="1"/>
  <c r="E15" i="26"/>
  <c r="E14" i="26"/>
  <c r="I83" i="21" l="1"/>
  <c r="I84" i="21" l="1"/>
  <c r="I85" i="21" s="1"/>
  <c r="K11" i="25"/>
  <c r="L7" i="26"/>
  <c r="K7" i="26"/>
  <c r="K17" i="26" s="1"/>
  <c r="D3" i="19" s="1"/>
  <c r="L6" i="26"/>
  <c r="L17" i="26" s="1"/>
  <c r="E3" i="19" s="1"/>
  <c r="F3" i="19" s="1"/>
  <c r="L1" i="26"/>
  <c r="K18" i="26" l="1"/>
  <c r="H11" i="25" l="1"/>
  <c r="D11" i="25"/>
  <c r="L10" i="25"/>
  <c r="K10" i="25"/>
  <c r="L6" i="25"/>
  <c r="L11" i="25" s="1"/>
  <c r="J6" i="25"/>
  <c r="L1" i="25"/>
  <c r="K12" i="25" l="1"/>
  <c r="L242" i="8"/>
  <c r="I236" i="8" l="1"/>
  <c r="I185" i="8"/>
  <c r="P111" i="8"/>
  <c r="I112" i="8"/>
  <c r="P112" i="8" s="1"/>
  <c r="H236" i="8" l="1"/>
  <c r="I237" i="8"/>
  <c r="P237" i="8" s="1"/>
  <c r="H185" i="8"/>
  <c r="I186" i="8"/>
  <c r="I238" i="8" l="1"/>
  <c r="I187" i="8"/>
  <c r="P187" i="8" s="1"/>
  <c r="P186" i="8"/>
  <c r="F33" i="21"/>
  <c r="P238" i="8" l="1"/>
  <c r="I239" i="8"/>
  <c r="H8" i="24"/>
  <c r="D8" i="24"/>
  <c r="L7" i="24"/>
  <c r="K7" i="24"/>
  <c r="L6" i="24"/>
  <c r="K6" i="24"/>
  <c r="K8" i="24" s="1"/>
  <c r="J6" i="24"/>
  <c r="L1" i="24"/>
  <c r="P239" i="8" l="1"/>
  <c r="H239" i="8"/>
  <c r="L8" i="24"/>
  <c r="K9" i="24" s="1"/>
  <c r="H262" i="8"/>
  <c r="P257" i="8"/>
  <c r="P256" i="8" s="1"/>
  <c r="O256" i="8"/>
  <c r="L256" i="8"/>
  <c r="F256" i="8"/>
  <c r="D256" i="8"/>
  <c r="P255" i="8"/>
  <c r="P254" i="8" s="1"/>
  <c r="O254" i="8"/>
  <c r="L254" i="8"/>
  <c r="F254" i="8"/>
  <c r="D254" i="8"/>
  <c r="P261" i="8" l="1"/>
  <c r="P260" i="8" s="1"/>
  <c r="P259" i="8"/>
  <c r="P258" i="8" s="1"/>
  <c r="O260" i="8"/>
  <c r="O258" i="8"/>
  <c r="L260" i="8"/>
  <c r="L258" i="8"/>
  <c r="F260" i="8"/>
  <c r="F258" i="8"/>
  <c r="D260" i="8"/>
  <c r="D258" i="8"/>
  <c r="N19" i="13" l="1"/>
  <c r="N43" i="21" l="1"/>
  <c r="N120" i="8"/>
  <c r="N88" i="8"/>
  <c r="N43" i="8"/>
  <c r="N83" i="8"/>
  <c r="B5" i="19"/>
  <c r="L78" i="8"/>
  <c r="L34" i="8"/>
  <c r="L84" i="8"/>
  <c r="L114" i="8"/>
  <c r="P83" i="8"/>
  <c r="P43" i="8"/>
  <c r="P88" i="8"/>
  <c r="P120" i="8"/>
  <c r="O83" i="8"/>
  <c r="O43" i="8"/>
  <c r="O88" i="8"/>
  <c r="O120" i="8"/>
  <c r="O252" i="8"/>
  <c r="P253" i="8"/>
  <c r="P252" i="8" s="1"/>
  <c r="L252" i="8"/>
  <c r="F252" i="8"/>
  <c r="F250" i="8"/>
  <c r="F248" i="8"/>
  <c r="D250" i="8"/>
  <c r="D248" i="8"/>
  <c r="D252" i="8"/>
  <c r="I89" i="21"/>
  <c r="P89" i="21" s="1"/>
  <c r="I163" i="8"/>
  <c r="P163" i="8" s="1"/>
  <c r="N27" i="21"/>
  <c r="N105" i="8"/>
  <c r="K9" i="23"/>
  <c r="K10" i="23"/>
  <c r="K12" i="23"/>
  <c r="K13" i="23"/>
  <c r="K14" i="23"/>
  <c r="K8" i="23"/>
  <c r="H133" i="21"/>
  <c r="B6" i="19" s="1"/>
  <c r="I131" i="21"/>
  <c r="P131" i="21" s="1"/>
  <c r="P129" i="21" s="1"/>
  <c r="O130" i="21"/>
  <c r="O129" i="21" s="1"/>
  <c r="L129" i="21"/>
  <c r="L12" i="23"/>
  <c r="D15" i="23"/>
  <c r="L14" i="23"/>
  <c r="L11" i="23"/>
  <c r="J11" i="23"/>
  <c r="H11" i="23"/>
  <c r="K11" i="23" s="1"/>
  <c r="L10" i="23"/>
  <c r="L7" i="23"/>
  <c r="J7" i="23"/>
  <c r="H7" i="23"/>
  <c r="H15" i="23" s="1"/>
  <c r="L8" i="23"/>
  <c r="L9" i="23"/>
  <c r="L13" i="23"/>
  <c r="I94" i="21"/>
  <c r="P94" i="21" s="1"/>
  <c r="I95" i="21"/>
  <c r="P95" i="21" s="1"/>
  <c r="P92" i="21"/>
  <c r="P251" i="8"/>
  <c r="P250" i="8" s="1"/>
  <c r="O250" i="8"/>
  <c r="L250" i="8"/>
  <c r="P249" i="8"/>
  <c r="P248" i="8" s="1"/>
  <c r="L248" i="8"/>
  <c r="O248" i="8"/>
  <c r="O95" i="21"/>
  <c r="O74" i="21"/>
  <c r="P74" i="21"/>
  <c r="H71" i="21"/>
  <c r="H73" i="21" s="1"/>
  <c r="H74" i="21" s="1"/>
  <c r="H75" i="21" s="1"/>
  <c r="H76" i="21" s="1"/>
  <c r="O72" i="21"/>
  <c r="P72" i="21"/>
  <c r="O75" i="21"/>
  <c r="P75" i="21"/>
  <c r="K6" i="10"/>
  <c r="O141" i="8"/>
  <c r="P140" i="8"/>
  <c r="J13" i="18"/>
  <c r="J9" i="18"/>
  <c r="G10" i="18"/>
  <c r="I10" i="9"/>
  <c r="H21" i="21"/>
  <c r="H22" i="21" s="1"/>
  <c r="H23" i="21"/>
  <c r="H24" i="21" s="1"/>
  <c r="H25" i="21" s="1"/>
  <c r="H26" i="21" s="1"/>
  <c r="H27" i="21" s="1"/>
  <c r="I25" i="9"/>
  <c r="I24" i="9"/>
  <c r="L24" i="9" s="1"/>
  <c r="I9" i="9"/>
  <c r="L9" i="9" s="1"/>
  <c r="J12" i="18"/>
  <c r="J11" i="18"/>
  <c r="J8" i="18"/>
  <c r="J7" i="18"/>
  <c r="E12" i="22"/>
  <c r="D12" i="22"/>
  <c r="L11" i="22"/>
  <c r="K11" i="22"/>
  <c r="K10" i="22"/>
  <c r="L9" i="22"/>
  <c r="K9" i="22"/>
  <c r="D9" i="22"/>
  <c r="D10" i="22" s="1"/>
  <c r="D11" i="22" s="1"/>
  <c r="H8" i="22"/>
  <c r="L7" i="22"/>
  <c r="L6" i="22"/>
  <c r="K7" i="22"/>
  <c r="K6" i="22" s="1"/>
  <c r="M6" i="22" s="1"/>
  <c r="D7" i="22"/>
  <c r="H6" i="22"/>
  <c r="L2" i="22"/>
  <c r="J9" i="22" s="1"/>
  <c r="L2" i="11"/>
  <c r="J9" i="11" s="1"/>
  <c r="L2" i="15"/>
  <c r="K2" i="18"/>
  <c r="I9" i="18" s="1"/>
  <c r="G6" i="18"/>
  <c r="D14" i="18"/>
  <c r="C14" i="18"/>
  <c r="B4" i="19" s="1"/>
  <c r="C11" i="18"/>
  <c r="C12" i="18" s="1"/>
  <c r="C13" i="18" s="1"/>
  <c r="C7" i="18"/>
  <c r="C8" i="18" s="1"/>
  <c r="C9" i="18" s="1"/>
  <c r="C13" i="14"/>
  <c r="D13" i="14" s="1"/>
  <c r="E14" i="14"/>
  <c r="E15" i="14"/>
  <c r="E16" i="14" s="1"/>
  <c r="B11" i="19" s="1"/>
  <c r="E12" i="14"/>
  <c r="E7" i="14"/>
  <c r="E8" i="14" s="1"/>
  <c r="E9" i="14" s="1"/>
  <c r="E10" i="14" s="1"/>
  <c r="L15" i="14"/>
  <c r="L14" i="14"/>
  <c r="L12" i="14"/>
  <c r="L11" i="14" s="1"/>
  <c r="L8" i="14"/>
  <c r="L9" i="14"/>
  <c r="L10" i="14"/>
  <c r="L6" i="14" s="1"/>
  <c r="L7" i="14"/>
  <c r="I13" i="14"/>
  <c r="I11" i="14"/>
  <c r="I6" i="14"/>
  <c r="M2" i="14"/>
  <c r="K12" i="14" s="1"/>
  <c r="O20" i="13"/>
  <c r="E10" i="13"/>
  <c r="E13" i="13"/>
  <c r="O19" i="13"/>
  <c r="G7" i="10"/>
  <c r="G8" i="10" s="1"/>
  <c r="G9" i="10" s="1"/>
  <c r="M7" i="10"/>
  <c r="O2" i="10"/>
  <c r="M11" i="10" s="1"/>
  <c r="O8" i="10"/>
  <c r="O9" i="10"/>
  <c r="N8" i="10"/>
  <c r="N9" i="10"/>
  <c r="G14" i="10"/>
  <c r="B8" i="19" s="1"/>
  <c r="K10" i="10"/>
  <c r="N7" i="10"/>
  <c r="N11" i="10"/>
  <c r="G11" i="10"/>
  <c r="G12" i="10" s="1"/>
  <c r="G21" i="13"/>
  <c r="B10" i="19" s="1"/>
  <c r="O15" i="13"/>
  <c r="O14" i="13"/>
  <c r="G14" i="13"/>
  <c r="G15" i="13" s="1"/>
  <c r="O18" i="13"/>
  <c r="O12" i="13"/>
  <c r="M17" i="13"/>
  <c r="O2" i="13"/>
  <c r="M18" i="13" s="1"/>
  <c r="M14" i="13"/>
  <c r="M9" i="13"/>
  <c r="M11" i="13"/>
  <c r="K13" i="13"/>
  <c r="K16" i="13"/>
  <c r="K10" i="13"/>
  <c r="K8" i="13"/>
  <c r="K6" i="13"/>
  <c r="N20" i="13"/>
  <c r="N18" i="13"/>
  <c r="N17" i="13"/>
  <c r="N15" i="13"/>
  <c r="N14" i="13"/>
  <c r="N12" i="13"/>
  <c r="N11" i="13"/>
  <c r="N9" i="13"/>
  <c r="N8" i="13" s="1"/>
  <c r="N7" i="13"/>
  <c r="N6" i="13" s="1"/>
  <c r="Q6" i="13" s="1"/>
  <c r="G11" i="13"/>
  <c r="G12" i="13" s="1"/>
  <c r="O11" i="13"/>
  <c r="C18" i="9"/>
  <c r="L28" i="21"/>
  <c r="O29" i="21"/>
  <c r="O30" i="21"/>
  <c r="O31" i="21"/>
  <c r="O32" i="21"/>
  <c r="P29" i="21"/>
  <c r="P30" i="21"/>
  <c r="P31" i="21"/>
  <c r="P32" i="21"/>
  <c r="C6" i="9"/>
  <c r="E38" i="9"/>
  <c r="B7" i="19" s="1"/>
  <c r="L32" i="9"/>
  <c r="L33" i="9"/>
  <c r="F33" i="9"/>
  <c r="M33" i="9" s="1"/>
  <c r="F32" i="9"/>
  <c r="M32" i="9" s="1"/>
  <c r="E31" i="9"/>
  <c r="M37" i="9"/>
  <c r="M36" i="9"/>
  <c r="M35" i="9"/>
  <c r="M31" i="9"/>
  <c r="M29" i="9"/>
  <c r="M28" i="9"/>
  <c r="M27" i="9"/>
  <c r="M25" i="9"/>
  <c r="M24" i="9"/>
  <c r="M23" i="9"/>
  <c r="M21" i="9"/>
  <c r="M19" i="9"/>
  <c r="M17" i="9"/>
  <c r="M16" i="9"/>
  <c r="M15" i="9"/>
  <c r="M13" i="9"/>
  <c r="M12" i="9"/>
  <c r="M11" i="9"/>
  <c r="M8" i="9"/>
  <c r="M9" i="9"/>
  <c r="M6" i="9" s="1"/>
  <c r="M7" i="9"/>
  <c r="E23" i="9"/>
  <c r="E24" i="9" s="1"/>
  <c r="E25" i="9" s="1"/>
  <c r="K19" i="9"/>
  <c r="K7" i="9"/>
  <c r="I34" i="9"/>
  <c r="I30" i="9"/>
  <c r="I26" i="9"/>
  <c r="I18" i="9"/>
  <c r="I14" i="9"/>
  <c r="L8" i="9"/>
  <c r="L11" i="9"/>
  <c r="L12" i="9"/>
  <c r="L13" i="9"/>
  <c r="L15" i="9"/>
  <c r="L16" i="9"/>
  <c r="L17" i="9"/>
  <c r="L19" i="9"/>
  <c r="L20" i="9"/>
  <c r="L21" i="9"/>
  <c r="L23" i="9"/>
  <c r="L22" i="9" s="1"/>
  <c r="L27" i="9"/>
  <c r="L28" i="9"/>
  <c r="L29" i="9"/>
  <c r="L31" i="9"/>
  <c r="L30" i="9" s="1"/>
  <c r="L35" i="9"/>
  <c r="L36" i="9"/>
  <c r="L37" i="9"/>
  <c r="L7" i="9"/>
  <c r="L6" i="9" s="1"/>
  <c r="O128" i="21"/>
  <c r="O126" i="21"/>
  <c r="O125" i="21"/>
  <c r="O123" i="21"/>
  <c r="O121" i="21"/>
  <c r="O120" i="21"/>
  <c r="O119" i="21"/>
  <c r="O118" i="21"/>
  <c r="O117" i="21"/>
  <c r="O116" i="21"/>
  <c r="O115" i="21"/>
  <c r="O114" i="21"/>
  <c r="O113" i="21"/>
  <c r="O111" i="21"/>
  <c r="O110" i="21"/>
  <c r="O108" i="21"/>
  <c r="O100" i="21" s="1"/>
  <c r="O107" i="21"/>
  <c r="O106" i="21"/>
  <c r="O105" i="21"/>
  <c r="O104" i="21"/>
  <c r="O103" i="21"/>
  <c r="O102" i="21"/>
  <c r="O101" i="21"/>
  <c r="O99" i="21"/>
  <c r="O96" i="21" s="1"/>
  <c r="O98" i="21"/>
  <c r="O97" i="21"/>
  <c r="O93" i="21"/>
  <c r="O91" i="21"/>
  <c r="O89" i="21"/>
  <c r="O88" i="21"/>
  <c r="O87" i="21"/>
  <c r="O85" i="21"/>
  <c r="O84" i="21"/>
  <c r="O83" i="21"/>
  <c r="O82" i="21"/>
  <c r="O81" i="21" s="1"/>
  <c r="O80" i="21"/>
  <c r="O79" i="21"/>
  <c r="O78" i="21"/>
  <c r="O76" i="21"/>
  <c r="O73" i="21"/>
  <c r="O71" i="21"/>
  <c r="O70" i="21" s="1"/>
  <c r="O69" i="21"/>
  <c r="O68" i="21"/>
  <c r="O67" i="21"/>
  <c r="O66" i="21"/>
  <c r="O65" i="21" s="1"/>
  <c r="O64" i="21"/>
  <c r="O63" i="21"/>
  <c r="O62" i="21"/>
  <c r="O60" i="21"/>
  <c r="O59" i="21"/>
  <c r="O57" i="21"/>
  <c r="O55" i="21"/>
  <c r="O54" i="21"/>
  <c r="O52" i="21"/>
  <c r="O51" i="21"/>
  <c r="O50" i="21"/>
  <c r="O48" i="21"/>
  <c r="O47" i="21"/>
  <c r="O46" i="21"/>
  <c r="O44" i="21"/>
  <c r="O43" i="21"/>
  <c r="O42" i="21"/>
  <c r="O41" i="21"/>
  <c r="O40" i="21"/>
  <c r="O39" i="21"/>
  <c r="O37" i="21"/>
  <c r="O36" i="21"/>
  <c r="O35" i="21"/>
  <c r="O34" i="21"/>
  <c r="O27" i="21"/>
  <c r="O26" i="21"/>
  <c r="O25" i="21"/>
  <c r="O24" i="21"/>
  <c r="O23" i="21"/>
  <c r="O22" i="21"/>
  <c r="O21" i="21"/>
  <c r="M2" i="9"/>
  <c r="K12" i="9" s="1"/>
  <c r="K31" i="9"/>
  <c r="P35" i="21"/>
  <c r="P36" i="21"/>
  <c r="P37" i="21"/>
  <c r="H34" i="21"/>
  <c r="H35" i="21" s="1"/>
  <c r="P102" i="21"/>
  <c r="P103" i="21"/>
  <c r="P104" i="21"/>
  <c r="P105" i="21"/>
  <c r="P106" i="21"/>
  <c r="P107" i="21"/>
  <c r="P108" i="21"/>
  <c r="H101" i="21"/>
  <c r="H102" i="21" s="1"/>
  <c r="H103" i="21" s="1"/>
  <c r="H104" i="21" s="1"/>
  <c r="H105" i="21" s="1"/>
  <c r="H106" i="21" s="1"/>
  <c r="H107" i="21" s="1"/>
  <c r="H108" i="21" s="1"/>
  <c r="P101" i="21"/>
  <c r="L100" i="21"/>
  <c r="F100" i="21"/>
  <c r="D100" i="21"/>
  <c r="K24" i="9"/>
  <c r="H91" i="21"/>
  <c r="H92" i="21" s="1"/>
  <c r="H93" i="21" s="1"/>
  <c r="P93" i="21"/>
  <c r="P91" i="21"/>
  <c r="L90" i="21"/>
  <c r="F90" i="21"/>
  <c r="D90" i="21"/>
  <c r="D96" i="21"/>
  <c r="D86" i="21"/>
  <c r="D81" i="21"/>
  <c r="D77" i="21"/>
  <c r="D70" i="21"/>
  <c r="D65" i="21"/>
  <c r="D61" i="21"/>
  <c r="D58" i="21"/>
  <c r="D53" i="21"/>
  <c r="D49" i="21"/>
  <c r="D45" i="21"/>
  <c r="D38" i="21"/>
  <c r="D33" i="21"/>
  <c r="D20" i="21"/>
  <c r="D13" i="21"/>
  <c r="F86" i="21"/>
  <c r="F81" i="21"/>
  <c r="F77" i="21"/>
  <c r="F70" i="21"/>
  <c r="F65" i="21"/>
  <c r="F61" i="21"/>
  <c r="F58" i="21"/>
  <c r="F53" i="21"/>
  <c r="F49" i="21"/>
  <c r="F45" i="21"/>
  <c r="F38" i="21"/>
  <c r="F20" i="21"/>
  <c r="F13" i="21"/>
  <c r="D6" i="21"/>
  <c r="F6" i="21"/>
  <c r="L6" i="21"/>
  <c r="P99" i="21"/>
  <c r="I98" i="21"/>
  <c r="P98" i="21" s="1"/>
  <c r="I97" i="21"/>
  <c r="P97" i="21" s="1"/>
  <c r="L96" i="21"/>
  <c r="L86" i="21"/>
  <c r="P88" i="21"/>
  <c r="L65" i="21"/>
  <c r="L70" i="21"/>
  <c r="L81" i="21"/>
  <c r="P85" i="21"/>
  <c r="P83" i="21"/>
  <c r="P84" i="21"/>
  <c r="P76" i="21"/>
  <c r="P73" i="21"/>
  <c r="P68" i="21"/>
  <c r="P69" i="21"/>
  <c r="P67" i="21"/>
  <c r="P63" i="21"/>
  <c r="P51" i="21"/>
  <c r="P43" i="21"/>
  <c r="P44" i="21"/>
  <c r="N126" i="21"/>
  <c r="L124" i="21"/>
  <c r="L112" i="21"/>
  <c r="L109" i="21"/>
  <c r="L77" i="21"/>
  <c r="L61" i="21"/>
  <c r="L58" i="21"/>
  <c r="L53" i="21"/>
  <c r="L49" i="21"/>
  <c r="L45" i="21"/>
  <c r="L38" i="21"/>
  <c r="L33" i="21"/>
  <c r="L20" i="21"/>
  <c r="L13" i="21"/>
  <c r="L44" i="5"/>
  <c r="J43" i="5"/>
  <c r="H46" i="5"/>
  <c r="K41" i="5"/>
  <c r="J41" i="5"/>
  <c r="E38" i="5"/>
  <c r="E47" i="5" s="1"/>
  <c r="H32" i="5"/>
  <c r="H26" i="5"/>
  <c r="H24" i="5"/>
  <c r="K25" i="5" s="1"/>
  <c r="K24" i="5" s="1"/>
  <c r="H18" i="5"/>
  <c r="H12" i="5"/>
  <c r="H6" i="5"/>
  <c r="P241" i="8"/>
  <c r="P240" i="8" s="1"/>
  <c r="O241" i="8"/>
  <c r="O240" i="8" s="1"/>
  <c r="L240" i="8"/>
  <c r="F240" i="8"/>
  <c r="D240" i="8"/>
  <c r="P234" i="8"/>
  <c r="P233" i="8" s="1"/>
  <c r="O234" i="8"/>
  <c r="O233" i="8" s="1"/>
  <c r="L233" i="8"/>
  <c r="F233" i="8"/>
  <c r="D233" i="8"/>
  <c r="F242" i="8"/>
  <c r="F235" i="8"/>
  <c r="F231" i="8"/>
  <c r="F229" i="8"/>
  <c r="F227" i="8"/>
  <c r="F218" i="8"/>
  <c r="F212" i="8"/>
  <c r="F210" i="8"/>
  <c r="F208" i="8"/>
  <c r="F195" i="8"/>
  <c r="F193" i="8"/>
  <c r="F154" i="8"/>
  <c r="F149" i="8"/>
  <c r="F144" i="8"/>
  <c r="F142" i="8"/>
  <c r="F184" i="8"/>
  <c r="F178" i="8"/>
  <c r="F136" i="8"/>
  <c r="F130" i="8"/>
  <c r="F122" i="8"/>
  <c r="F176" i="8"/>
  <c r="F169" i="8"/>
  <c r="F225" i="8"/>
  <c r="F164" i="8"/>
  <c r="F114" i="8"/>
  <c r="F89" i="8"/>
  <c r="F84" i="8"/>
  <c r="F78" i="8"/>
  <c r="F107" i="8"/>
  <c r="F99" i="8"/>
  <c r="F70" i="8"/>
  <c r="F44" i="8"/>
  <c r="F34" i="8"/>
  <c r="F62" i="8"/>
  <c r="F54" i="8"/>
  <c r="F159" i="8"/>
  <c r="F97" i="8"/>
  <c r="F94" i="8"/>
  <c r="F23" i="8"/>
  <c r="F6" i="8"/>
  <c r="D242" i="8"/>
  <c r="D235" i="8"/>
  <c r="D231" i="8"/>
  <c r="D229" i="8"/>
  <c r="D227" i="8"/>
  <c r="D218" i="8"/>
  <c r="D212" i="8"/>
  <c r="D210" i="8"/>
  <c r="D208" i="8"/>
  <c r="D195" i="8"/>
  <c r="D193" i="8"/>
  <c r="D154" i="8"/>
  <c r="D149" i="8"/>
  <c r="D144" i="8"/>
  <c r="D142" i="8"/>
  <c r="D184" i="8"/>
  <c r="D178" i="8"/>
  <c r="D136" i="8"/>
  <c r="D130" i="8"/>
  <c r="D122" i="8"/>
  <c r="D176" i="8"/>
  <c r="D169" i="8"/>
  <c r="D225" i="8"/>
  <c r="D164" i="8"/>
  <c r="D114" i="8"/>
  <c r="D89" i="8"/>
  <c r="D84" i="8"/>
  <c r="D78" i="8"/>
  <c r="D107" i="8"/>
  <c r="D99" i="8"/>
  <c r="D70" i="8"/>
  <c r="D44" i="8"/>
  <c r="D34" i="8"/>
  <c r="D62" i="8"/>
  <c r="D54" i="8"/>
  <c r="D159" i="8"/>
  <c r="D97" i="8"/>
  <c r="D94" i="8"/>
  <c r="D23" i="8"/>
  <c r="D6" i="8"/>
  <c r="L231" i="8"/>
  <c r="L235" i="8"/>
  <c r="L229" i="8"/>
  <c r="L227" i="8"/>
  <c r="P221" i="8"/>
  <c r="P222" i="8"/>
  <c r="L218" i="8"/>
  <c r="I217" i="8"/>
  <c r="P215" i="8"/>
  <c r="P216" i="8"/>
  <c r="P213" i="8"/>
  <c r="P214" i="8"/>
  <c r="P156" i="8"/>
  <c r="P196" i="8"/>
  <c r="L212" i="8"/>
  <c r="L210" i="8"/>
  <c r="L208" i="8"/>
  <c r="L195" i="8"/>
  <c r="L193" i="8"/>
  <c r="L154" i="8"/>
  <c r="P153" i="8"/>
  <c r="L149" i="8"/>
  <c r="L144" i="8"/>
  <c r="L142" i="8"/>
  <c r="L89" i="8"/>
  <c r="L184" i="8"/>
  <c r="L178" i="8"/>
  <c r="L136" i="8"/>
  <c r="I141" i="8" s="1"/>
  <c r="P141" i="8" s="1"/>
  <c r="L130" i="8"/>
  <c r="L122" i="8"/>
  <c r="L176" i="8"/>
  <c r="L169" i="8"/>
  <c r="L225" i="8"/>
  <c r="L164" i="8"/>
  <c r="I113" i="8"/>
  <c r="P113" i="8" s="1"/>
  <c r="L107" i="8"/>
  <c r="P105" i="8"/>
  <c r="L99" i="8"/>
  <c r="L70" i="8"/>
  <c r="L44" i="8"/>
  <c r="L62" i="8"/>
  <c r="L159" i="8"/>
  <c r="I61" i="8"/>
  <c r="P61" i="8" s="1"/>
  <c r="P162" i="8"/>
  <c r="I96" i="8"/>
  <c r="P96" i="8" s="1"/>
  <c r="L54" i="8"/>
  <c r="L97" i="8"/>
  <c r="L94" i="8"/>
  <c r="L23" i="8"/>
  <c r="L6" i="8"/>
  <c r="P161" i="8"/>
  <c r="P128" i="21"/>
  <c r="P126" i="21"/>
  <c r="P125" i="21"/>
  <c r="N125" i="21"/>
  <c r="P123" i="21"/>
  <c r="P121" i="21"/>
  <c r="N121" i="21"/>
  <c r="P120" i="21"/>
  <c r="N120" i="21"/>
  <c r="P119" i="21"/>
  <c r="N119" i="21"/>
  <c r="P118" i="21"/>
  <c r="N118" i="21"/>
  <c r="P117" i="21"/>
  <c r="N117" i="21"/>
  <c r="P116" i="21"/>
  <c r="N116" i="21"/>
  <c r="P115" i="21"/>
  <c r="N115" i="21"/>
  <c r="P114" i="21"/>
  <c r="N114" i="21"/>
  <c r="P113" i="21"/>
  <c r="N113" i="21"/>
  <c r="P111" i="21"/>
  <c r="P110" i="21"/>
  <c r="P82" i="21"/>
  <c r="P79" i="21"/>
  <c r="P78" i="21"/>
  <c r="N78" i="21"/>
  <c r="H78" i="21"/>
  <c r="H79" i="21" s="1"/>
  <c r="P71" i="21"/>
  <c r="P66" i="21"/>
  <c r="I64" i="21"/>
  <c r="P64" i="21" s="1"/>
  <c r="P62" i="21"/>
  <c r="N62" i="21"/>
  <c r="H62" i="21"/>
  <c r="H63" i="21" s="1"/>
  <c r="I60" i="21"/>
  <c r="P60" i="21" s="1"/>
  <c r="P59" i="21"/>
  <c r="N59" i="21"/>
  <c r="H59" i="21"/>
  <c r="P56" i="21"/>
  <c r="P55" i="21"/>
  <c r="N55" i="21"/>
  <c r="P54" i="21"/>
  <c r="N54" i="21"/>
  <c r="H54" i="21"/>
  <c r="H55" i="21" s="1"/>
  <c r="P52" i="21"/>
  <c r="P50" i="21"/>
  <c r="N50" i="21"/>
  <c r="H50" i="21"/>
  <c r="H51" i="21" s="1"/>
  <c r="H52" i="21" s="1"/>
  <c r="I48" i="21"/>
  <c r="P47" i="21"/>
  <c r="N47" i="21"/>
  <c r="P46" i="21"/>
  <c r="N46" i="21"/>
  <c r="H46" i="21"/>
  <c r="H47" i="21" s="1"/>
  <c r="P42" i="21"/>
  <c r="N42" i="21"/>
  <c r="P41" i="21"/>
  <c r="N41" i="21"/>
  <c r="P40" i="21"/>
  <c r="N40" i="21"/>
  <c r="P39" i="21"/>
  <c r="N39" i="21"/>
  <c r="H39" i="21"/>
  <c r="H40" i="21" s="1"/>
  <c r="H41" i="21" s="1"/>
  <c r="H42" i="21" s="1"/>
  <c r="H43" i="21" s="1"/>
  <c r="H44" i="21" s="1"/>
  <c r="N35" i="21"/>
  <c r="P34" i="21"/>
  <c r="N34" i="21"/>
  <c r="N32" i="21"/>
  <c r="N31" i="21"/>
  <c r="N30" i="21"/>
  <c r="N29" i="21"/>
  <c r="P27" i="21"/>
  <c r="P26" i="21"/>
  <c r="N26" i="21"/>
  <c r="P25" i="21"/>
  <c r="N25" i="21"/>
  <c r="P24" i="21"/>
  <c r="N24" i="21"/>
  <c r="P23" i="21"/>
  <c r="N23" i="21"/>
  <c r="P22" i="21"/>
  <c r="N22" i="21"/>
  <c r="P21" i="21"/>
  <c r="N21" i="21"/>
  <c r="P12" i="21"/>
  <c r="O12" i="21"/>
  <c r="N12" i="21"/>
  <c r="P11" i="21"/>
  <c r="O11" i="21"/>
  <c r="N11" i="21"/>
  <c r="P10" i="21"/>
  <c r="O10" i="21"/>
  <c r="N10" i="21"/>
  <c r="P9" i="21"/>
  <c r="O9" i="21"/>
  <c r="N9" i="21"/>
  <c r="P8" i="21"/>
  <c r="O8" i="21"/>
  <c r="N8" i="21"/>
  <c r="P7" i="21"/>
  <c r="O7" i="21"/>
  <c r="N7" i="21"/>
  <c r="P19" i="21"/>
  <c r="O19" i="21"/>
  <c r="P18" i="21"/>
  <c r="O18" i="21"/>
  <c r="N18" i="21"/>
  <c r="P17" i="21"/>
  <c r="O17" i="21"/>
  <c r="N17" i="21"/>
  <c r="P16" i="21"/>
  <c r="O16" i="21"/>
  <c r="N16" i="21"/>
  <c r="P15" i="21"/>
  <c r="O15" i="21"/>
  <c r="N15" i="21"/>
  <c r="P14" i="21"/>
  <c r="O14" i="21"/>
  <c r="N14" i="21"/>
  <c r="H14" i="21"/>
  <c r="H15" i="21" s="1"/>
  <c r="H16" i="21" s="1"/>
  <c r="H17" i="21" s="1"/>
  <c r="H18" i="21" s="1"/>
  <c r="H19" i="21" s="1"/>
  <c r="P2" i="21"/>
  <c r="N14" i="8"/>
  <c r="N15" i="8"/>
  <c r="N16" i="8"/>
  <c r="N17" i="8"/>
  <c r="N18" i="8"/>
  <c r="N19" i="8"/>
  <c r="N20" i="8"/>
  <c r="N21" i="8"/>
  <c r="N22" i="8"/>
  <c r="N10" i="8"/>
  <c r="O12" i="8"/>
  <c r="P2" i="8"/>
  <c r="N53" i="8" s="1"/>
  <c r="N12" i="8"/>
  <c r="N32" i="8"/>
  <c r="O247" i="8"/>
  <c r="O245" i="8"/>
  <c r="O244" i="8"/>
  <c r="O236" i="8"/>
  <c r="O235" i="8" s="1"/>
  <c r="O232" i="8"/>
  <c r="O231" i="8" s="1"/>
  <c r="O230" i="8"/>
  <c r="O229" i="8" s="1"/>
  <c r="O228" i="8"/>
  <c r="O227" i="8" s="1"/>
  <c r="O224" i="8"/>
  <c r="O222" i="8"/>
  <c r="O221" i="8"/>
  <c r="O220" i="8"/>
  <c r="O219" i="8"/>
  <c r="O217" i="8"/>
  <c r="O214" i="8"/>
  <c r="O213" i="8"/>
  <c r="O211" i="8"/>
  <c r="O210" i="8" s="1"/>
  <c r="O209" i="8"/>
  <c r="O208" i="8" s="1"/>
  <c r="O207" i="8"/>
  <c r="O206" i="8"/>
  <c r="O205" i="8"/>
  <c r="O204" i="8"/>
  <c r="O203" i="8"/>
  <c r="O202" i="8"/>
  <c r="O201" i="8"/>
  <c r="O200" i="8"/>
  <c r="O199" i="8"/>
  <c r="O198" i="8"/>
  <c r="O197" i="8"/>
  <c r="O194" i="8"/>
  <c r="O193" i="8" s="1"/>
  <c r="O158" i="8"/>
  <c r="O157" i="8"/>
  <c r="O156" i="8"/>
  <c r="O155" i="8"/>
  <c r="O153" i="8"/>
  <c r="O152" i="8"/>
  <c r="O151" i="8"/>
  <c r="O150" i="8"/>
  <c r="O148" i="8"/>
  <c r="O147" i="8"/>
  <c r="O146" i="8"/>
  <c r="O145" i="8"/>
  <c r="O143" i="8"/>
  <c r="O142" i="8" s="1"/>
  <c r="O93" i="8"/>
  <c r="O92" i="8"/>
  <c r="O91" i="8"/>
  <c r="O90" i="8"/>
  <c r="O87" i="8"/>
  <c r="O86" i="8"/>
  <c r="O85" i="8"/>
  <c r="O192" i="8"/>
  <c r="O191" i="8"/>
  <c r="O190" i="8"/>
  <c r="O189" i="8"/>
  <c r="O188" i="8"/>
  <c r="O185" i="8"/>
  <c r="O184" i="8" s="1"/>
  <c r="O183" i="8"/>
  <c r="O182" i="8"/>
  <c r="O181" i="8"/>
  <c r="O180" i="8"/>
  <c r="O179" i="8"/>
  <c r="O139" i="8"/>
  <c r="O138" i="8"/>
  <c r="O137" i="8"/>
  <c r="O135" i="8"/>
  <c r="O134" i="8"/>
  <c r="O133" i="8"/>
  <c r="O132" i="8"/>
  <c r="O131" i="8"/>
  <c r="O129" i="8"/>
  <c r="O128" i="8"/>
  <c r="O127" i="8"/>
  <c r="O126" i="8"/>
  <c r="O125" i="8"/>
  <c r="O124" i="8"/>
  <c r="O123" i="8"/>
  <c r="O177" i="8"/>
  <c r="O176" i="8" s="1"/>
  <c r="O175" i="8"/>
  <c r="O174" i="8"/>
  <c r="O173" i="8"/>
  <c r="O172" i="8"/>
  <c r="O171" i="8"/>
  <c r="O170" i="8"/>
  <c r="O226" i="8"/>
  <c r="O225" i="8" s="1"/>
  <c r="O168" i="8"/>
  <c r="O167" i="8"/>
  <c r="O166" i="8"/>
  <c r="O165" i="8"/>
  <c r="O121" i="8"/>
  <c r="O119" i="8"/>
  <c r="O118" i="8"/>
  <c r="O117" i="8"/>
  <c r="O116" i="8"/>
  <c r="O115" i="8"/>
  <c r="O82" i="8"/>
  <c r="O81" i="8"/>
  <c r="O80" i="8"/>
  <c r="O79" i="8"/>
  <c r="O113" i="8"/>
  <c r="O110" i="8"/>
  <c r="O109" i="8"/>
  <c r="O108" i="8"/>
  <c r="O106" i="8"/>
  <c r="O105" i="8"/>
  <c r="O104" i="8"/>
  <c r="O103" i="8"/>
  <c r="O102" i="8"/>
  <c r="O101" i="8"/>
  <c r="O100" i="8"/>
  <c r="O77" i="8"/>
  <c r="O76" i="8"/>
  <c r="O75" i="8"/>
  <c r="O74" i="8"/>
  <c r="O73" i="8"/>
  <c r="O72" i="8"/>
  <c r="O71" i="8"/>
  <c r="O53" i="8"/>
  <c r="O52" i="8"/>
  <c r="O51" i="8"/>
  <c r="O50" i="8"/>
  <c r="O49" i="8"/>
  <c r="O48" i="8"/>
  <c r="O47" i="8"/>
  <c r="O46" i="8"/>
  <c r="O45" i="8"/>
  <c r="O42" i="8"/>
  <c r="O41" i="8"/>
  <c r="O40" i="8"/>
  <c r="O39" i="8"/>
  <c r="O38" i="8"/>
  <c r="O37" i="8"/>
  <c r="O36" i="8"/>
  <c r="O35" i="8"/>
  <c r="O69" i="8"/>
  <c r="O68" i="8"/>
  <c r="O67" i="8"/>
  <c r="O66" i="8"/>
  <c r="O65" i="8"/>
  <c r="O64" i="8"/>
  <c r="O63" i="8"/>
  <c r="O61" i="8"/>
  <c r="O60" i="8"/>
  <c r="O59" i="8"/>
  <c r="O58" i="8"/>
  <c r="O57" i="8"/>
  <c r="O56" i="8"/>
  <c r="O55" i="8"/>
  <c r="O162" i="8"/>
  <c r="O161" i="8"/>
  <c r="O160" i="8"/>
  <c r="O98" i="8"/>
  <c r="O97" i="8" s="1"/>
  <c r="O96" i="8"/>
  <c r="O95" i="8"/>
  <c r="O33" i="8"/>
  <c r="O32" i="8"/>
  <c r="O31" i="8"/>
  <c r="O30" i="8"/>
  <c r="O29" i="8"/>
  <c r="O28" i="8"/>
  <c r="O27" i="8"/>
  <c r="O26" i="8"/>
  <c r="O25" i="8"/>
  <c r="O24" i="8"/>
  <c r="O11" i="8"/>
  <c r="O10" i="8"/>
  <c r="O9" i="8"/>
  <c r="O8" i="8"/>
  <c r="O7" i="8"/>
  <c r="L43" i="5"/>
  <c r="L36" i="5"/>
  <c r="L35" i="5"/>
  <c r="L34" i="5"/>
  <c r="L33" i="5"/>
  <c r="L31" i="5"/>
  <c r="L30" i="5"/>
  <c r="L26" i="5" s="1"/>
  <c r="L29" i="5"/>
  <c r="L28" i="5"/>
  <c r="L27" i="5"/>
  <c r="L25" i="5"/>
  <c r="L24" i="5" s="1"/>
  <c r="L23" i="5"/>
  <c r="L22" i="5"/>
  <c r="L21" i="5"/>
  <c r="L20" i="5"/>
  <c r="L18" i="5" s="1"/>
  <c r="L19" i="5"/>
  <c r="L17" i="5"/>
  <c r="L16" i="5"/>
  <c r="L15" i="5"/>
  <c r="L12" i="5" s="1"/>
  <c r="L14" i="5"/>
  <c r="L13" i="5"/>
  <c r="L11" i="5"/>
  <c r="L10" i="5"/>
  <c r="L6" i="5" s="1"/>
  <c r="L9" i="5"/>
  <c r="L8" i="5"/>
  <c r="L7" i="5"/>
  <c r="L37" i="5"/>
  <c r="P87" i="21"/>
  <c r="O42" i="5"/>
  <c r="K17" i="5"/>
  <c r="G17" i="13"/>
  <c r="G18" i="13" s="1"/>
  <c r="G19" i="13" s="1"/>
  <c r="E35" i="9"/>
  <c r="E36" i="9" s="1"/>
  <c r="E37" i="9" s="1"/>
  <c r="E27" i="9"/>
  <c r="E28" i="9" s="1"/>
  <c r="E29" i="9" s="1"/>
  <c r="F20" i="9"/>
  <c r="E19" i="9"/>
  <c r="E20" i="9" s="1"/>
  <c r="E21" i="9" s="1"/>
  <c r="E15" i="9"/>
  <c r="E16" i="9" s="1"/>
  <c r="E17" i="9" s="1"/>
  <c r="E11" i="9"/>
  <c r="E12" i="9" s="1"/>
  <c r="E13" i="9" s="1"/>
  <c r="E7" i="9"/>
  <c r="E8" i="9" s="1"/>
  <c r="E9" i="9" s="1"/>
  <c r="H155" i="8"/>
  <c r="H156" i="8" s="1"/>
  <c r="H157" i="8" s="1"/>
  <c r="H158" i="8" s="1"/>
  <c r="H145" i="8"/>
  <c r="H146" i="8" s="1"/>
  <c r="H147" i="8" s="1"/>
  <c r="H148" i="8" s="1"/>
  <c r="H90" i="8"/>
  <c r="H91" i="8" s="1"/>
  <c r="H92" i="8" s="1"/>
  <c r="H93" i="8" s="1"/>
  <c r="H85" i="8"/>
  <c r="H86" i="8" s="1"/>
  <c r="H87" i="8" s="1"/>
  <c r="H88" i="8" s="1"/>
  <c r="H137" i="8"/>
  <c r="H138" i="8" s="1"/>
  <c r="H139" i="8" s="1"/>
  <c r="H131" i="8"/>
  <c r="H132" i="8" s="1"/>
  <c r="H133" i="8" s="1"/>
  <c r="H134" i="8" s="1"/>
  <c r="H135" i="8" s="1"/>
  <c r="H123" i="8"/>
  <c r="H124" i="8" s="1"/>
  <c r="H125" i="8" s="1"/>
  <c r="H126" i="8" s="1"/>
  <c r="H127" i="8" s="1"/>
  <c r="H128" i="8" s="1"/>
  <c r="H129" i="8" s="1"/>
  <c r="H7" i="8"/>
  <c r="H8" i="8" s="1"/>
  <c r="H9" i="8" s="1"/>
  <c r="H10" i="8" s="1"/>
  <c r="H11" i="8" s="1"/>
  <c r="H12" i="8" s="1"/>
  <c r="H24" i="8"/>
  <c r="H25" i="8" s="1"/>
  <c r="H26" i="8" s="1"/>
  <c r="H27" i="8" s="1"/>
  <c r="H28" i="8" s="1"/>
  <c r="H29" i="8" s="1"/>
  <c r="H30" i="8" s="1"/>
  <c r="H31" i="8" s="1"/>
  <c r="H32" i="8" s="1"/>
  <c r="H33" i="8" s="1"/>
  <c r="H63" i="8"/>
  <c r="H64" i="8" s="1"/>
  <c r="H65" i="8" s="1"/>
  <c r="H66" i="8" s="1"/>
  <c r="H67" i="8" s="1"/>
  <c r="H68" i="8" s="1"/>
  <c r="H69" i="8" s="1"/>
  <c r="H35" i="8"/>
  <c r="H36" i="8" s="1"/>
  <c r="H37" i="8" s="1"/>
  <c r="H38" i="8" s="1"/>
  <c r="H39" i="8" s="1"/>
  <c r="H40" i="8" s="1"/>
  <c r="H41" i="8" s="1"/>
  <c r="H42" i="8" s="1"/>
  <c r="H43" i="8" s="1"/>
  <c r="H45" i="8"/>
  <c r="H46" i="8" s="1"/>
  <c r="H47" i="8" s="1"/>
  <c r="H48" i="8" s="1"/>
  <c r="H49" i="8" s="1"/>
  <c r="H50" i="8" s="1"/>
  <c r="H51" i="8" s="1"/>
  <c r="H52" i="8" s="1"/>
  <c r="H53" i="8" s="1"/>
  <c r="H71" i="8"/>
  <c r="H72" i="8" s="1"/>
  <c r="H73" i="8" s="1"/>
  <c r="H74" i="8" s="1"/>
  <c r="H75" i="8" s="1"/>
  <c r="H76" i="8" s="1"/>
  <c r="H77" i="8" s="1"/>
  <c r="H108" i="8"/>
  <c r="H109" i="8" s="1"/>
  <c r="H110" i="8" s="1"/>
  <c r="H111" i="8" s="1"/>
  <c r="H112" i="8" s="1"/>
  <c r="H115" i="8"/>
  <c r="H116" i="8" s="1"/>
  <c r="H117" i="8" s="1"/>
  <c r="H118" i="8" s="1"/>
  <c r="H119" i="8" s="1"/>
  <c r="H120" i="8" s="1"/>
  <c r="H121" i="8" s="1"/>
  <c r="H79" i="8"/>
  <c r="H80" i="8" s="1"/>
  <c r="H81" i="8" s="1"/>
  <c r="H82" i="8" s="1"/>
  <c r="H83" i="8" s="1"/>
  <c r="H95" i="8"/>
  <c r="K34" i="5"/>
  <c r="K35" i="5"/>
  <c r="O35" i="5" s="1"/>
  <c r="K36" i="5"/>
  <c r="O36" i="5" s="1"/>
  <c r="K33" i="5"/>
  <c r="O33" i="5" s="1"/>
  <c r="P33" i="5" s="1"/>
  <c r="K30" i="5"/>
  <c r="K29" i="5"/>
  <c r="O29" i="5" s="1"/>
  <c r="K28" i="5"/>
  <c r="O28" i="5" s="1"/>
  <c r="K27" i="5"/>
  <c r="O27" i="5" s="1"/>
  <c r="H213" i="8"/>
  <c r="H214" i="8" s="1"/>
  <c r="P247" i="8"/>
  <c r="P245" i="8"/>
  <c r="P244" i="8"/>
  <c r="I243" i="8"/>
  <c r="H243" i="8" s="1"/>
  <c r="H160" i="8"/>
  <c r="H161" i="8" s="1"/>
  <c r="H55" i="8"/>
  <c r="H56" i="8" s="1"/>
  <c r="H57" i="8" s="1"/>
  <c r="H58" i="8" s="1"/>
  <c r="H59" i="8" s="1"/>
  <c r="H60" i="8" s="1"/>
  <c r="P224" i="8"/>
  <c r="H219" i="8"/>
  <c r="H220" i="8" s="1"/>
  <c r="I196" i="8"/>
  <c r="H196" i="8" s="1"/>
  <c r="I197" i="8"/>
  <c r="P197" i="8" s="1"/>
  <c r="I198" i="8"/>
  <c r="P198" i="8" s="1"/>
  <c r="I199" i="8"/>
  <c r="I200" i="8"/>
  <c r="P200" i="8" s="1"/>
  <c r="I201" i="8"/>
  <c r="I202" i="8"/>
  <c r="P202" i="8" s="1"/>
  <c r="I203" i="8"/>
  <c r="I204" i="8"/>
  <c r="P204" i="8" s="1"/>
  <c r="I205" i="8"/>
  <c r="I206" i="8"/>
  <c r="P206" i="8" s="1"/>
  <c r="I207" i="8"/>
  <c r="H150" i="8"/>
  <c r="H151" i="8" s="1"/>
  <c r="H100" i="8"/>
  <c r="H101" i="8" s="1"/>
  <c r="H102" i="8" s="1"/>
  <c r="H103" i="8" s="1"/>
  <c r="H104" i="8" s="1"/>
  <c r="H105" i="8" s="1"/>
  <c r="H106" i="8" s="1"/>
  <c r="H179" i="8"/>
  <c r="H180" i="8" s="1"/>
  <c r="P182" i="8"/>
  <c r="P175" i="8"/>
  <c r="P174" i="8"/>
  <c r="P173" i="8"/>
  <c r="P172" i="8"/>
  <c r="H170" i="8"/>
  <c r="H171" i="8" s="1"/>
  <c r="H165" i="8"/>
  <c r="H166" i="8" s="1"/>
  <c r="P166" i="8"/>
  <c r="K10" i="5"/>
  <c r="O10" i="5" s="1"/>
  <c r="O13" i="8"/>
  <c r="O14" i="8"/>
  <c r="O15" i="8"/>
  <c r="O16" i="8"/>
  <c r="O17" i="8"/>
  <c r="O18" i="8"/>
  <c r="O19" i="8"/>
  <c r="O20" i="8"/>
  <c r="O21" i="8"/>
  <c r="O22" i="8"/>
  <c r="K9" i="18"/>
  <c r="K6" i="18" s="1"/>
  <c r="K13" i="18"/>
  <c r="O9" i="13"/>
  <c r="O8" i="13" s="1"/>
  <c r="P116" i="8"/>
  <c r="P117" i="8"/>
  <c r="P118" i="8"/>
  <c r="P119" i="8"/>
  <c r="P121" i="8"/>
  <c r="P165" i="8"/>
  <c r="P133" i="8"/>
  <c r="P134" i="8"/>
  <c r="P135" i="8"/>
  <c r="P137" i="8"/>
  <c r="P138" i="8"/>
  <c r="P139" i="8"/>
  <c r="P171" i="8"/>
  <c r="P180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4" i="8"/>
  <c r="P25" i="8"/>
  <c r="P26" i="8"/>
  <c r="P27" i="8"/>
  <c r="P28" i="8"/>
  <c r="P29" i="8"/>
  <c r="P30" i="8"/>
  <c r="P31" i="8"/>
  <c r="P32" i="8"/>
  <c r="P33" i="8"/>
  <c r="P95" i="8"/>
  <c r="P98" i="8"/>
  <c r="P97" i="8" s="1"/>
  <c r="P160" i="8"/>
  <c r="P55" i="8"/>
  <c r="P56" i="8"/>
  <c r="P57" i="8"/>
  <c r="P58" i="8"/>
  <c r="P59" i="8"/>
  <c r="P60" i="8"/>
  <c r="P63" i="8"/>
  <c r="P64" i="8"/>
  <c r="P65" i="8"/>
  <c r="P66" i="8"/>
  <c r="P67" i="8"/>
  <c r="P68" i="8"/>
  <c r="P69" i="8"/>
  <c r="P35" i="8"/>
  <c r="P36" i="8"/>
  <c r="P37" i="8"/>
  <c r="P38" i="8"/>
  <c r="P39" i="8"/>
  <c r="P40" i="8"/>
  <c r="P41" i="8"/>
  <c r="P42" i="8"/>
  <c r="P45" i="8"/>
  <c r="P46" i="8"/>
  <c r="P47" i="8"/>
  <c r="P48" i="8"/>
  <c r="P49" i="8"/>
  <c r="P50" i="8"/>
  <c r="P51" i="8"/>
  <c r="P52" i="8"/>
  <c r="P53" i="8"/>
  <c r="P71" i="8"/>
  <c r="P72" i="8"/>
  <c r="P73" i="8"/>
  <c r="P74" i="8"/>
  <c r="P75" i="8"/>
  <c r="P76" i="8"/>
  <c r="P77" i="8"/>
  <c r="P100" i="8"/>
  <c r="P101" i="8"/>
  <c r="P102" i="8"/>
  <c r="P103" i="8"/>
  <c r="P104" i="8"/>
  <c r="P108" i="8"/>
  <c r="P109" i="8"/>
  <c r="P110" i="8"/>
  <c r="P79" i="8"/>
  <c r="P80" i="8"/>
  <c r="P81" i="8"/>
  <c r="P82" i="8"/>
  <c r="P115" i="8"/>
  <c r="P226" i="8"/>
  <c r="P225" i="8" s="1"/>
  <c r="P170" i="8"/>
  <c r="P177" i="8"/>
  <c r="P176" i="8" s="1"/>
  <c r="P123" i="8"/>
  <c r="P124" i="8"/>
  <c r="P125" i="8"/>
  <c r="P126" i="8"/>
  <c r="P127" i="8"/>
  <c r="P128" i="8"/>
  <c r="P129" i="8"/>
  <c r="P131" i="8"/>
  <c r="P132" i="8"/>
  <c r="P179" i="8"/>
  <c r="P185" i="8"/>
  <c r="P188" i="8"/>
  <c r="P189" i="8"/>
  <c r="P190" i="8"/>
  <c r="P191" i="8"/>
  <c r="P192" i="8"/>
  <c r="P85" i="8"/>
  <c r="P86" i="8"/>
  <c r="P87" i="8"/>
  <c r="P90" i="8"/>
  <c r="P91" i="8"/>
  <c r="P92" i="8"/>
  <c r="P93" i="8"/>
  <c r="P143" i="8"/>
  <c r="P142" i="8" s="1"/>
  <c r="P145" i="8"/>
  <c r="P146" i="8"/>
  <c r="P147" i="8"/>
  <c r="P148" i="8"/>
  <c r="P150" i="8"/>
  <c r="P151" i="8"/>
  <c r="P155" i="8"/>
  <c r="P157" i="8"/>
  <c r="P158" i="8"/>
  <c r="P194" i="8"/>
  <c r="P193" i="8" s="1"/>
  <c r="P209" i="8"/>
  <c r="P208" i="8" s="1"/>
  <c r="P211" i="8"/>
  <c r="P210" i="8" s="1"/>
  <c r="P219" i="8"/>
  <c r="P220" i="8"/>
  <c r="P228" i="8"/>
  <c r="P227" i="8" s="1"/>
  <c r="P230" i="8"/>
  <c r="P229" i="8" s="1"/>
  <c r="P232" i="8"/>
  <c r="P231" i="8" s="1"/>
  <c r="P236" i="8"/>
  <c r="P235" i="8" s="1"/>
  <c r="P243" i="8"/>
  <c r="I12" i="18"/>
  <c r="I8" i="18"/>
  <c r="I11" i="18"/>
  <c r="I7" i="18"/>
  <c r="N50" i="8"/>
  <c r="K8" i="18"/>
  <c r="K11" i="18"/>
  <c r="K7" i="18"/>
  <c r="J8" i="15"/>
  <c r="J7" i="15"/>
  <c r="J21" i="5"/>
  <c r="J22" i="5"/>
  <c r="J20" i="5"/>
  <c r="J19" i="5"/>
  <c r="N31" i="8"/>
  <c r="N95" i="8"/>
  <c r="N160" i="8"/>
  <c r="N55" i="8"/>
  <c r="N56" i="8"/>
  <c r="N57" i="8"/>
  <c r="N58" i="8"/>
  <c r="N59" i="8"/>
  <c r="N60" i="8"/>
  <c r="N63" i="8"/>
  <c r="N64" i="8"/>
  <c r="N65" i="8"/>
  <c r="N66" i="8"/>
  <c r="N67" i="8"/>
  <c r="N68" i="8"/>
  <c r="N35" i="8"/>
  <c r="N36" i="8"/>
  <c r="N37" i="8"/>
  <c r="N38" i="8"/>
  <c r="N39" i="8"/>
  <c r="N40" i="8"/>
  <c r="N41" i="8"/>
  <c r="N42" i="8"/>
  <c r="N45" i="8"/>
  <c r="N46" i="8"/>
  <c r="N47" i="8"/>
  <c r="N48" i="8"/>
  <c r="N49" i="8"/>
  <c r="N51" i="8"/>
  <c r="N52" i="8"/>
  <c r="N71" i="8"/>
  <c r="N72" i="8"/>
  <c r="N73" i="8"/>
  <c r="N74" i="8"/>
  <c r="N75" i="8"/>
  <c r="N76" i="8"/>
  <c r="N100" i="8"/>
  <c r="N101" i="8"/>
  <c r="N102" i="8"/>
  <c r="N103" i="8"/>
  <c r="N104" i="8"/>
  <c r="N108" i="8"/>
  <c r="N109" i="8"/>
  <c r="N79" i="8"/>
  <c r="N80" i="8"/>
  <c r="N81" i="8"/>
  <c r="N82" i="8"/>
  <c r="N115" i="8"/>
  <c r="N116" i="8"/>
  <c r="N117" i="8"/>
  <c r="N118" i="8"/>
  <c r="N119" i="8"/>
  <c r="N165" i="8"/>
  <c r="N170" i="8"/>
  <c r="N123" i="8"/>
  <c r="N124" i="8"/>
  <c r="N125" i="8"/>
  <c r="N126" i="8"/>
  <c r="N127" i="8"/>
  <c r="N128" i="8"/>
  <c r="N131" i="8"/>
  <c r="N132" i="8"/>
  <c r="N133" i="8"/>
  <c r="N134" i="8"/>
  <c r="N137" i="8"/>
  <c r="N138" i="8"/>
  <c r="N179" i="8"/>
  <c r="N189" i="8"/>
  <c r="N190" i="8"/>
  <c r="N191" i="8"/>
  <c r="N192" i="8"/>
  <c r="N85" i="8"/>
  <c r="N86" i="8"/>
  <c r="N87" i="8"/>
  <c r="N90" i="8"/>
  <c r="N91" i="8"/>
  <c r="N92" i="8"/>
  <c r="N145" i="8"/>
  <c r="N146" i="8"/>
  <c r="N147" i="8"/>
  <c r="N150" i="8"/>
  <c r="N155" i="8"/>
  <c r="N156" i="8"/>
  <c r="N213" i="8"/>
  <c r="N219" i="8"/>
  <c r="N7" i="8"/>
  <c r="N8" i="8"/>
  <c r="N9" i="8"/>
  <c r="N11" i="8"/>
  <c r="H15" i="12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K15" i="12" s="1"/>
  <c r="M8" i="14"/>
  <c r="M9" i="14"/>
  <c r="M10" i="14"/>
  <c r="M15" i="14"/>
  <c r="M14" i="14"/>
  <c r="M13" i="14" s="1"/>
  <c r="M12" i="14"/>
  <c r="M11" i="14"/>
  <c r="M7" i="14"/>
  <c r="O17" i="13"/>
  <c r="O7" i="13"/>
  <c r="O6" i="13" s="1"/>
  <c r="E10" i="11"/>
  <c r="H10" i="11"/>
  <c r="C9" i="19"/>
  <c r="D10" i="11"/>
  <c r="B9" i="19"/>
  <c r="L9" i="11"/>
  <c r="K9" i="11"/>
  <c r="L8" i="11"/>
  <c r="K8" i="11"/>
  <c r="L7" i="11"/>
  <c r="L10" i="11" s="1"/>
  <c r="E9" i="19" s="1"/>
  <c r="K7" i="11"/>
  <c r="H10" i="15"/>
  <c r="D10" i="15"/>
  <c r="L9" i="15"/>
  <c r="K9" i="15"/>
  <c r="L8" i="15"/>
  <c r="K8" i="15"/>
  <c r="L7" i="15"/>
  <c r="K7" i="15"/>
  <c r="E10" i="15" s="1"/>
  <c r="O11" i="10"/>
  <c r="O12" i="10"/>
  <c r="O13" i="10"/>
  <c r="Q13" i="10" s="1"/>
  <c r="O7" i="10"/>
  <c r="K11" i="5"/>
  <c r="O11" i="5" s="1"/>
  <c r="P11" i="5" s="1"/>
  <c r="J11" i="5"/>
  <c r="J42" i="5"/>
  <c r="O40" i="5"/>
  <c r="O16" i="5"/>
  <c r="O15" i="5"/>
  <c r="O14" i="5"/>
  <c r="P14" i="5" s="1"/>
  <c r="O13" i="5"/>
  <c r="J25" i="5"/>
  <c r="J40" i="5"/>
  <c r="P40" i="5" s="1"/>
  <c r="P46" i="5" s="1"/>
  <c r="J27" i="5"/>
  <c r="O23" i="5"/>
  <c r="J16" i="5"/>
  <c r="J15" i="5"/>
  <c r="J14" i="5"/>
  <c r="J13" i="5"/>
  <c r="J36" i="5"/>
  <c r="J35" i="5"/>
  <c r="J34" i="5"/>
  <c r="J33" i="5"/>
  <c r="J30" i="5"/>
  <c r="J29" i="5"/>
  <c r="J28" i="5"/>
  <c r="J10" i="5"/>
  <c r="J9" i="5"/>
  <c r="J8" i="5"/>
  <c r="J7" i="5"/>
  <c r="K7" i="5"/>
  <c r="O30" i="5"/>
  <c r="K22" i="5"/>
  <c r="O22" i="5" s="1"/>
  <c r="P22" i="5" s="1"/>
  <c r="K21" i="5"/>
  <c r="O21" i="5" s="1"/>
  <c r="K20" i="5"/>
  <c r="O20" i="5" s="1"/>
  <c r="P20" i="5" s="1"/>
  <c r="K19" i="5"/>
  <c r="O19" i="5" s="1"/>
  <c r="P19" i="5" s="1"/>
  <c r="K16" i="5"/>
  <c r="K14" i="5"/>
  <c r="K13" i="5"/>
  <c r="K9" i="5"/>
  <c r="O9" i="5"/>
  <c r="K8" i="5"/>
  <c r="O8" i="5"/>
  <c r="K15" i="5"/>
  <c r="D32" i="5"/>
  <c r="D26" i="5"/>
  <c r="D18" i="5"/>
  <c r="D12" i="5"/>
  <c r="D6" i="5"/>
  <c r="E46" i="5"/>
  <c r="L45" i="5"/>
  <c r="O243" i="8"/>
  <c r="G14" i="18"/>
  <c r="C4" i="19" s="1"/>
  <c r="I6" i="9"/>
  <c r="N19" i="21"/>
  <c r="I80" i="21"/>
  <c r="P80" i="21" s="1"/>
  <c r="I57" i="21"/>
  <c r="P57" i="21" s="1"/>
  <c r="N13" i="13"/>
  <c r="L13" i="14"/>
  <c r="P15" i="5"/>
  <c r="L10" i="15"/>
  <c r="P13" i="5"/>
  <c r="M20" i="9"/>
  <c r="K21" i="13"/>
  <c r="C10" i="19" s="1"/>
  <c r="O24" i="5"/>
  <c r="P106" i="8"/>
  <c r="O196" i="8"/>
  <c r="O7" i="5"/>
  <c r="N166" i="8"/>
  <c r="N196" i="8"/>
  <c r="N33" i="8"/>
  <c r="N171" i="8"/>
  <c r="N214" i="8"/>
  <c r="N161" i="8"/>
  <c r="N220" i="8"/>
  <c r="N151" i="8"/>
  <c r="N243" i="8"/>
  <c r="P21" i="5" l="1"/>
  <c r="P10" i="5"/>
  <c r="J6" i="18"/>
  <c r="L6" i="18" s="1"/>
  <c r="P28" i="5"/>
  <c r="O10" i="13"/>
  <c r="K12" i="5"/>
  <c r="L15" i="12"/>
  <c r="K16" i="12" s="1"/>
  <c r="M10" i="9"/>
  <c r="H94" i="21"/>
  <c r="O6" i="10"/>
  <c r="O140" i="8"/>
  <c r="O136" i="8" s="1"/>
  <c r="P168" i="8"/>
  <c r="P16" i="5"/>
  <c r="O6" i="9"/>
  <c r="P184" i="8"/>
  <c r="R184" i="8" s="1"/>
  <c r="P29" i="5"/>
  <c r="O53" i="21"/>
  <c r="O86" i="21"/>
  <c r="O109" i="21"/>
  <c r="O112" i="21"/>
  <c r="O124" i="21"/>
  <c r="L34" i="9"/>
  <c r="O34" i="9" s="1"/>
  <c r="L26" i="9"/>
  <c r="L18" i="9"/>
  <c r="O18" i="9" s="1"/>
  <c r="L14" i="9"/>
  <c r="M14" i="9"/>
  <c r="M18" i="9"/>
  <c r="M26" i="9"/>
  <c r="M34" i="9"/>
  <c r="M30" i="9"/>
  <c r="O30" i="9" s="1"/>
  <c r="O28" i="21"/>
  <c r="P36" i="5"/>
  <c r="K6" i="5"/>
  <c r="P20" i="21"/>
  <c r="K46" i="5"/>
  <c r="L46" i="5"/>
  <c r="K53" i="5" s="1"/>
  <c r="L16" i="14"/>
  <c r="D11" i="19" s="1"/>
  <c r="P24" i="5"/>
  <c r="P9" i="5"/>
  <c r="K26" i="5"/>
  <c r="N26" i="5" s="1"/>
  <c r="P77" i="21"/>
  <c r="K10" i="18"/>
  <c r="K14" i="18" s="1"/>
  <c r="E4" i="19" s="1"/>
  <c r="N10" i="13"/>
  <c r="O13" i="13"/>
  <c r="L8" i="22"/>
  <c r="L12" i="22" s="1"/>
  <c r="J10" i="18"/>
  <c r="L10" i="18" s="1"/>
  <c r="I22" i="9"/>
  <c r="O178" i="8"/>
  <c r="P58" i="21"/>
  <c r="P96" i="21"/>
  <c r="R96" i="21" s="1"/>
  <c r="P70" i="21"/>
  <c r="R70" i="21" s="1"/>
  <c r="O13" i="21"/>
  <c r="H64" i="21"/>
  <c r="P109" i="21"/>
  <c r="P86" i="21"/>
  <c r="P38" i="21"/>
  <c r="P13" i="21"/>
  <c r="O6" i="21"/>
  <c r="P6" i="21"/>
  <c r="P100" i="21"/>
  <c r="R100" i="21" s="1"/>
  <c r="P65" i="21"/>
  <c r="R65" i="21" s="1"/>
  <c r="H97" i="21"/>
  <c r="H98" i="21" s="1"/>
  <c r="H99" i="21" s="1"/>
  <c r="H80" i="21"/>
  <c r="H89" i="21"/>
  <c r="O90" i="21"/>
  <c r="P81" i="21"/>
  <c r="R81" i="21" s="1"/>
  <c r="O20" i="21"/>
  <c r="O38" i="21"/>
  <c r="O45" i="21"/>
  <c r="O49" i="21"/>
  <c r="O58" i="21"/>
  <c r="O61" i="21"/>
  <c r="P61" i="21"/>
  <c r="O26" i="9"/>
  <c r="O12" i="5"/>
  <c r="N12" i="5"/>
  <c r="P27" i="5"/>
  <c r="L32" i="5"/>
  <c r="L38" i="5" s="1"/>
  <c r="P30" i="5"/>
  <c r="P8" i="5"/>
  <c r="P35" i="5"/>
  <c r="L262" i="8"/>
  <c r="C5" i="19" s="1"/>
  <c r="H38" i="5"/>
  <c r="P33" i="21"/>
  <c r="O33" i="21"/>
  <c r="O77" i="21"/>
  <c r="M22" i="9"/>
  <c r="H95" i="21"/>
  <c r="R235" i="8"/>
  <c r="R193" i="8"/>
  <c r="P112" i="21"/>
  <c r="P90" i="21"/>
  <c r="P28" i="21"/>
  <c r="N16" i="13"/>
  <c r="K7" i="23"/>
  <c r="R129" i="21"/>
  <c r="H60" i="21"/>
  <c r="D38" i="5"/>
  <c r="B2" i="19" s="1"/>
  <c r="K18" i="5"/>
  <c r="N18" i="5" s="1"/>
  <c r="P7" i="5"/>
  <c r="H69" i="21"/>
  <c r="M6" i="14"/>
  <c r="M16" i="14" s="1"/>
  <c r="E11" i="19" s="1"/>
  <c r="K32" i="5"/>
  <c r="P49" i="21"/>
  <c r="P124" i="21"/>
  <c r="L10" i="9"/>
  <c r="O10" i="9" s="1"/>
  <c r="K8" i="22"/>
  <c r="K12" i="22" s="1"/>
  <c r="K13" i="22" s="1"/>
  <c r="L15" i="23"/>
  <c r="H113" i="8"/>
  <c r="R233" i="8"/>
  <c r="R208" i="8"/>
  <c r="O62" i="8"/>
  <c r="O149" i="8"/>
  <c r="L133" i="21"/>
  <c r="C6" i="19" s="1"/>
  <c r="H96" i="8"/>
  <c r="P242" i="8"/>
  <c r="R97" i="8"/>
  <c r="P130" i="8"/>
  <c r="P70" i="8"/>
  <c r="H197" i="8"/>
  <c r="H198" i="8" s="1"/>
  <c r="H199" i="8" s="1"/>
  <c r="H200" i="8" s="1"/>
  <c r="H201" i="8" s="1"/>
  <c r="H202" i="8" s="1"/>
  <c r="H203" i="8" s="1"/>
  <c r="H204" i="8" s="1"/>
  <c r="H205" i="8" s="1"/>
  <c r="H206" i="8" s="1"/>
  <c r="H207" i="8" s="1"/>
  <c r="R250" i="8"/>
  <c r="P154" i="8"/>
  <c r="P144" i="8"/>
  <c r="P122" i="8"/>
  <c r="O169" i="8"/>
  <c r="O84" i="8"/>
  <c r="O89" i="8"/>
  <c r="R240" i="8"/>
  <c r="P94" i="8"/>
  <c r="P6" i="8"/>
  <c r="P136" i="8"/>
  <c r="R252" i="8"/>
  <c r="K38" i="5"/>
  <c r="N24" i="5"/>
  <c r="H47" i="5"/>
  <c r="C2" i="19"/>
  <c r="O14" i="9"/>
  <c r="Q42" i="5"/>
  <c r="Q46" i="5" s="1"/>
  <c r="O46" i="5"/>
  <c r="P48" i="21"/>
  <c r="P45" i="21" s="1"/>
  <c r="H48" i="21"/>
  <c r="R231" i="8"/>
  <c r="I38" i="9"/>
  <c r="N6" i="5"/>
  <c r="O34" i="5"/>
  <c r="P34" i="5" s="1"/>
  <c r="K10" i="11"/>
  <c r="I16" i="14"/>
  <c r="O13" i="14"/>
  <c r="H12" i="22"/>
  <c r="K15" i="23"/>
  <c r="K16" i="23" s="1"/>
  <c r="P53" i="21"/>
  <c r="K10" i="15"/>
  <c r="K11" i="15" s="1"/>
  <c r="E32" i="9"/>
  <c r="E33" i="9" s="1"/>
  <c r="Q13" i="13"/>
  <c r="O11" i="14"/>
  <c r="P62" i="8"/>
  <c r="P159" i="8"/>
  <c r="O23" i="8"/>
  <c r="O34" i="8"/>
  <c r="O44" i="8"/>
  <c r="O70" i="8"/>
  <c r="O99" i="8"/>
  <c r="O78" i="8"/>
  <c r="O164" i="8"/>
  <c r="O122" i="8"/>
  <c r="O144" i="8"/>
  <c r="O154" i="8"/>
  <c r="O212" i="8"/>
  <c r="R229" i="8"/>
  <c r="O242" i="8"/>
  <c r="N6" i="10"/>
  <c r="P23" i="8"/>
  <c r="R248" i="8"/>
  <c r="B12" i="19"/>
  <c r="O10" i="10"/>
  <c r="O94" i="8"/>
  <c r="O114" i="8"/>
  <c r="N10" i="10"/>
  <c r="O16" i="13"/>
  <c r="P207" i="8"/>
  <c r="P199" i="8"/>
  <c r="P217" i="8"/>
  <c r="P212" i="8" s="1"/>
  <c r="P169" i="8"/>
  <c r="P181" i="8"/>
  <c r="P218" i="8"/>
  <c r="P84" i="8"/>
  <c r="P183" i="8"/>
  <c r="P89" i="8"/>
  <c r="P114" i="8"/>
  <c r="P78" i="8"/>
  <c r="P99" i="8"/>
  <c r="P44" i="8"/>
  <c r="P34" i="8"/>
  <c r="P54" i="8"/>
  <c r="P152" i="8"/>
  <c r="O6" i="8"/>
  <c r="O159" i="8"/>
  <c r="O54" i="8"/>
  <c r="O107" i="8"/>
  <c r="R176" i="8"/>
  <c r="O130" i="8"/>
  <c r="O218" i="8"/>
  <c r="P167" i="8"/>
  <c r="H168" i="8"/>
  <c r="P203" i="8"/>
  <c r="R227" i="8"/>
  <c r="P107" i="8"/>
  <c r="O195" i="8"/>
  <c r="P205" i="8"/>
  <c r="P201" i="8"/>
  <c r="H61" i="8"/>
  <c r="R225" i="8"/>
  <c r="R142" i="8"/>
  <c r="R210" i="8"/>
  <c r="K14" i="10"/>
  <c r="J10" i="22"/>
  <c r="N180" i="8"/>
  <c r="J11" i="22"/>
  <c r="I13" i="18"/>
  <c r="J7" i="22"/>
  <c r="O6" i="14" l="1"/>
  <c r="N32" i="5"/>
  <c r="Q10" i="13"/>
  <c r="N21" i="13"/>
  <c r="D10" i="19" s="1"/>
  <c r="O14" i="10"/>
  <c r="E8" i="19" s="1"/>
  <c r="Q6" i="10"/>
  <c r="R49" i="21"/>
  <c r="R90" i="21"/>
  <c r="R20" i="21"/>
  <c r="R130" i="8"/>
  <c r="J14" i="18"/>
  <c r="R53" i="21"/>
  <c r="R13" i="21"/>
  <c r="R124" i="21"/>
  <c r="R77" i="21"/>
  <c r="R58" i="21"/>
  <c r="R28" i="21"/>
  <c r="R86" i="21"/>
  <c r="R109" i="21"/>
  <c r="R61" i="21"/>
  <c r="E2" i="19"/>
  <c r="K52" i="5"/>
  <c r="M12" i="22"/>
  <c r="L17" i="14"/>
  <c r="R112" i="21"/>
  <c r="R6" i="21"/>
  <c r="K47" i="5"/>
  <c r="K50" i="5"/>
  <c r="M38" i="9"/>
  <c r="E7" i="19" s="1"/>
  <c r="O22" i="9"/>
  <c r="Q10" i="10"/>
  <c r="N46" i="5"/>
  <c r="R159" i="8"/>
  <c r="R45" i="21"/>
  <c r="R38" i="21"/>
  <c r="R242" i="8"/>
  <c r="P38" i="5"/>
  <c r="L38" i="9"/>
  <c r="M8" i="22"/>
  <c r="N14" i="10"/>
  <c r="O262" i="8"/>
  <c r="Q16" i="13"/>
  <c r="R62" i="8"/>
  <c r="R33" i="21"/>
  <c r="O133" i="21"/>
  <c r="D6" i="19" s="1"/>
  <c r="R70" i="8"/>
  <c r="R34" i="8"/>
  <c r="R169" i="8"/>
  <c r="R136" i="8"/>
  <c r="R212" i="8"/>
  <c r="R89" i="8"/>
  <c r="R23" i="8"/>
  <c r="R154" i="8"/>
  <c r="R122" i="8"/>
  <c r="P164" i="8"/>
  <c r="R164" i="8" s="1"/>
  <c r="R107" i="8"/>
  <c r="R44" i="8"/>
  <c r="R144" i="8"/>
  <c r="R99" i="8"/>
  <c r="R94" i="8"/>
  <c r="R6" i="8"/>
  <c r="R114" i="8"/>
  <c r="R84" i="8"/>
  <c r="P149" i="8"/>
  <c r="R149" i="8" s="1"/>
  <c r="P195" i="8"/>
  <c r="R195" i="8" s="1"/>
  <c r="O16" i="14"/>
  <c r="C11" i="19"/>
  <c r="F11" i="19" s="1"/>
  <c r="P133" i="21"/>
  <c r="R78" i="8"/>
  <c r="C7" i="19"/>
  <c r="K39" i="5"/>
  <c r="D2" i="19"/>
  <c r="K49" i="5"/>
  <c r="K51" i="5" s="1"/>
  <c r="K54" i="5" s="1"/>
  <c r="O38" i="5"/>
  <c r="R218" i="8"/>
  <c r="D9" i="19"/>
  <c r="F9" i="19" s="1"/>
  <c r="K11" i="11"/>
  <c r="O21" i="13"/>
  <c r="E10" i="19" s="1"/>
  <c r="R54" i="8"/>
  <c r="P178" i="8"/>
  <c r="R178" i="8" s="1"/>
  <c r="C8" i="19"/>
  <c r="L14" i="18" l="1"/>
  <c r="D4" i="19"/>
  <c r="F4" i="19" s="1"/>
  <c r="F10" i="19"/>
  <c r="N15" i="10"/>
  <c r="Q14" i="10"/>
  <c r="K48" i="5"/>
  <c r="N48" i="5" s="1"/>
  <c r="F2" i="19"/>
  <c r="J15" i="18"/>
  <c r="D8" i="19"/>
  <c r="F8" i="19" s="1"/>
  <c r="P262" i="8"/>
  <c r="E5" i="19" s="1"/>
  <c r="L39" i="9"/>
  <c r="D7" i="19"/>
  <c r="F7" i="19" s="1"/>
  <c r="O38" i="9"/>
  <c r="E6" i="19"/>
  <c r="F6" i="19" s="1"/>
  <c r="R133" i="21"/>
  <c r="O134" i="21"/>
  <c r="Q21" i="13"/>
  <c r="N22" i="13"/>
  <c r="D5" i="19"/>
  <c r="C12" i="19"/>
  <c r="E12" i="19" l="1"/>
  <c r="R262" i="8"/>
  <c r="O263" i="8"/>
  <c r="F5" i="19"/>
  <c r="D12" i="19"/>
  <c r="F12" i="19" l="1"/>
</calcChain>
</file>

<file path=xl/comments1.xml><?xml version="1.0" encoding="utf-8"?>
<comments xmlns="http://schemas.openxmlformats.org/spreadsheetml/2006/main">
  <authors>
    <author>Nathalie BLANDINO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2.xml><?xml version="1.0" encoding="utf-8"?>
<comments xmlns="http://schemas.openxmlformats.org/spreadsheetml/2006/main">
  <authors>
    <author>Sophie RIVIERE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Sophie RIVIERE:</t>
        </r>
        <r>
          <rPr>
            <sz val="9"/>
            <color indexed="81"/>
            <rFont val="Tahoma"/>
            <family val="2"/>
          </rPr>
          <t xml:space="preserve">
Différence de 29,08</t>
        </r>
      </text>
    </comment>
  </commentList>
</comments>
</file>

<file path=xl/sharedStrings.xml><?xml version="1.0" encoding="utf-8"?>
<sst xmlns="http://schemas.openxmlformats.org/spreadsheetml/2006/main" count="924" uniqueCount="243">
  <si>
    <t>Libellé</t>
  </si>
  <si>
    <t>Montant</t>
  </si>
  <si>
    <t>Opération</t>
  </si>
  <si>
    <t xml:space="preserve">N° </t>
  </si>
  <si>
    <t xml:space="preserve">APPELS DE FONDS </t>
  </si>
  <si>
    <t>ETAT DES CREANCES : MAIRIE DE SAINT LEU</t>
  </si>
  <si>
    <t>PARTICIPATION CH 624 &amp; 93</t>
  </si>
  <si>
    <t>PTIT CANAL</t>
  </si>
  <si>
    <t>LAURENCY</t>
  </si>
  <si>
    <t>LE CAP</t>
  </si>
  <si>
    <t>CHALOUPE</t>
  </si>
  <si>
    <t>LAVOIR</t>
  </si>
  <si>
    <t>BUDGET</t>
  </si>
  <si>
    <t>RESTE A PERCEVOIR</t>
  </si>
  <si>
    <t>Payé</t>
  </si>
  <si>
    <t>Date</t>
  </si>
  <si>
    <t>FRAFU SECONDAIRE</t>
  </si>
  <si>
    <t>FRAFU SOCIAL</t>
  </si>
  <si>
    <t>Nbre js d'impayés</t>
  </si>
  <si>
    <t>Non appelé</t>
  </si>
  <si>
    <t>A payer</t>
  </si>
  <si>
    <t>Signature</t>
  </si>
  <si>
    <t>SOBEPRE</t>
  </si>
  <si>
    <t>Mandats</t>
  </si>
  <si>
    <t>Tx d'intérêts</t>
  </si>
  <si>
    <t>Base</t>
  </si>
  <si>
    <t>Etat des dépenses au 24/11/2014</t>
  </si>
  <si>
    <t>prévision 4tr restants à dépenser</t>
  </si>
  <si>
    <t>non encore appelé</t>
  </si>
  <si>
    <t xml:space="preserve">somme à appeler </t>
  </si>
  <si>
    <t>Sobepre</t>
  </si>
  <si>
    <t>ETAT DES CREANCES : CAF</t>
  </si>
  <si>
    <t xml:space="preserve">LA FONTAINE - LE LAVOIR       </t>
  </si>
  <si>
    <t xml:space="preserve">LES BOULISTES                 </t>
  </si>
  <si>
    <t xml:space="preserve">RAYMOND BARRE                 </t>
  </si>
  <si>
    <t xml:space="preserve">GRANDE RAVINE LES HAUTS       </t>
  </si>
  <si>
    <t xml:space="preserve">TAMARINIERS                    </t>
  </si>
  <si>
    <t>BARRAGE</t>
  </si>
  <si>
    <t>MANAPANY LES BAINS</t>
  </si>
  <si>
    <t>AX 18</t>
  </si>
  <si>
    <t>ILOT 5.1</t>
  </si>
  <si>
    <t>ILOT 5.6</t>
  </si>
  <si>
    <t>ILOT 6.1</t>
  </si>
  <si>
    <t>COMBAVAS</t>
  </si>
  <si>
    <t>RESERVOIRS DE STELLA</t>
  </si>
  <si>
    <t>CAMPHRIER</t>
  </si>
  <si>
    <t>POKER D'AS</t>
  </si>
  <si>
    <t>TAKAMAKA</t>
  </si>
  <si>
    <t>P'TIT CANAL</t>
  </si>
  <si>
    <t>JULES VIENNE</t>
  </si>
  <si>
    <t>DESIRE</t>
  </si>
  <si>
    <t>LE LAVOIR</t>
  </si>
  <si>
    <t>AUBEPINES</t>
  </si>
  <si>
    <t>LES PECHERS</t>
  </si>
  <si>
    <t>ALAMANDAS</t>
  </si>
  <si>
    <t>AMARYLLIS</t>
  </si>
  <si>
    <t>TAMARINIERS</t>
  </si>
  <si>
    <t>MIMOSAS</t>
  </si>
  <si>
    <t>AVENUE RAYMOND BARRE</t>
  </si>
  <si>
    <t>BOUTON D'OR</t>
  </si>
  <si>
    <t>PARC A MOUTON</t>
  </si>
  <si>
    <t>JOSEPHA FONTAINE</t>
  </si>
  <si>
    <t>DESIRE 2</t>
  </si>
  <si>
    <t>POKER D'AS 2</t>
  </si>
  <si>
    <t>PIVET VELIN</t>
  </si>
  <si>
    <t>RUE DE L'EGLISE</t>
  </si>
  <si>
    <t>FANFAN</t>
  </si>
  <si>
    <t>OISEAUX DE PARADIS</t>
  </si>
  <si>
    <t>RHI BUTTE CITRONNELLE</t>
  </si>
  <si>
    <t>PEPINIERE D'ENTREPRISE</t>
  </si>
  <si>
    <t>ETAT DES CREANCES : FEDER</t>
  </si>
  <si>
    <t>ETAT DES CREANCES : ADEME</t>
  </si>
  <si>
    <t>CRESSONIERE</t>
  </si>
  <si>
    <t>ETAT DES CREANCES : DIECCTE</t>
  </si>
  <si>
    <t>PEPINIERE</t>
  </si>
  <si>
    <t>ETAT DES CREANCES : REGION</t>
  </si>
  <si>
    <t>ETAT DES CREANCES : TCO</t>
  </si>
  <si>
    <t>FRAFU P'TIT CANAL</t>
  </si>
  <si>
    <t>ETAT DES CREANCES : CILGERE</t>
  </si>
  <si>
    <t>ZAC RHI BC</t>
  </si>
  <si>
    <t>CONCESSION AMGT RHI CBLQ</t>
  </si>
  <si>
    <t>SCEAU DE SALOMON</t>
  </si>
  <si>
    <t>Solde fin GPA 09/2015</t>
  </si>
  <si>
    <t>FRAFU JULES VIENNE</t>
  </si>
  <si>
    <t>FRAFU DESIRE</t>
  </si>
  <si>
    <t>FRAFU LAVOIR</t>
  </si>
  <si>
    <t>FRAFU AUBEPINES</t>
  </si>
  <si>
    <t>FRAFU BOUTON D'OR</t>
  </si>
  <si>
    <t>FRAFU MIMOSAS</t>
  </si>
  <si>
    <t>FRAFU LAURENCY</t>
  </si>
  <si>
    <t>FRAFU LE CAP</t>
  </si>
  <si>
    <t>FRAFU DESIRE 2</t>
  </si>
  <si>
    <t>FRAFU TAKAMAKA</t>
  </si>
  <si>
    <t>FRAFU AMARYLLIS</t>
  </si>
  <si>
    <t>FRAFU TAMARINIERS</t>
  </si>
  <si>
    <t>FRAFU PARC A MOUTON</t>
  </si>
  <si>
    <t>FRAFU JOSEPHA FONTAINE</t>
  </si>
  <si>
    <t>FRAFU BARRAGE</t>
  </si>
  <si>
    <t>FRAFU RPA CHALOUPE</t>
  </si>
  <si>
    <t>Soldé - ok</t>
  </si>
  <si>
    <t>Dedmande du 2ème acompte du 02/9/14 annulée pour un montant de 21000 € donc demande de solde d'un montant de 42000</t>
  </si>
  <si>
    <t>ETAT DES CREANCES : PETITE ILE</t>
  </si>
  <si>
    <t xml:space="preserve">SAINT-LEU </t>
  </si>
  <si>
    <t xml:space="preserve">PETITE-ILE </t>
  </si>
  <si>
    <t>CAF</t>
  </si>
  <si>
    <t>FEDER</t>
  </si>
  <si>
    <t>DIECCTE</t>
  </si>
  <si>
    <t>REGION</t>
  </si>
  <si>
    <t>TCO</t>
  </si>
  <si>
    <t>Budget</t>
  </si>
  <si>
    <t>Versé</t>
  </si>
  <si>
    <t>Total</t>
  </si>
  <si>
    <t>AF à lancer</t>
  </si>
  <si>
    <t>en attente</t>
  </si>
  <si>
    <t>VEFA SAFRANIERE</t>
  </si>
  <si>
    <t>ANNULE</t>
  </si>
  <si>
    <t>Observations</t>
  </si>
  <si>
    <t>ETAT DES CREANCES : FRAFU DEAL</t>
  </si>
  <si>
    <t>ETAT DES CREANCES : LBU DEAL</t>
  </si>
  <si>
    <t xml:space="preserve">Date OS </t>
  </si>
  <si>
    <t>Date DAT</t>
  </si>
  <si>
    <t>LA CHALOUPE (Paille en Queue)</t>
  </si>
  <si>
    <t>VEFA PETUNIAS</t>
  </si>
  <si>
    <t>VEFA CAP OUEST</t>
  </si>
  <si>
    <t>Date limite DAT (4 ans)</t>
  </si>
  <si>
    <t>LBU DEAL</t>
  </si>
  <si>
    <t>FRAFU DEAL</t>
  </si>
  <si>
    <t>FRAFU</t>
  </si>
  <si>
    <t>Appelé (Non payé)</t>
  </si>
  <si>
    <t>Fin convention</t>
  </si>
  <si>
    <t>Date limite démarrage</t>
  </si>
  <si>
    <t>Date OS</t>
  </si>
  <si>
    <t>FRAFU FANFAN</t>
  </si>
  <si>
    <t>FRAFU MANAPANY</t>
  </si>
  <si>
    <t>observations</t>
  </si>
  <si>
    <t>DAT</t>
  </si>
  <si>
    <t>DADT / 2012 0706 FRAFU</t>
  </si>
  <si>
    <t>Eligibilité dépenses</t>
  </si>
  <si>
    <t>DADT / 2012 1065 FRAFU</t>
  </si>
  <si>
    <t>solde à demander avant</t>
  </si>
  <si>
    <t>SGAR / 2012 31966</t>
  </si>
  <si>
    <t>DAE1/2011-1446</t>
  </si>
  <si>
    <t>Clôture TCO</t>
  </si>
  <si>
    <t>ETAT DES CREANCES : EDF</t>
  </si>
  <si>
    <t>Modalités</t>
  </si>
  <si>
    <t>facture à envoyer après mise en service</t>
  </si>
  <si>
    <t>12-0655</t>
  </si>
  <si>
    <t>Date limite DROC (18 mois)</t>
  </si>
  <si>
    <t>Date limite demande de solde</t>
  </si>
  <si>
    <t>vérifier si prorog faite</t>
  </si>
  <si>
    <t>OBSERVATIONS</t>
  </si>
  <si>
    <t>dépenses acquittées entre 01/01/07 et 31/12/14 éligibles</t>
  </si>
  <si>
    <t>rajouter RPA Chaloupe</t>
  </si>
  <si>
    <t>au 31/05/15</t>
  </si>
  <si>
    <t>PRZA LAURENCY</t>
  </si>
  <si>
    <t>ancien montant 127837,8</t>
  </si>
  <si>
    <t>LACAUSSADE 3</t>
  </si>
  <si>
    <t>RPA ST PHILIPPE</t>
  </si>
  <si>
    <t>VEFA ROSIERS 51 LLS</t>
  </si>
  <si>
    <t>VEFA ROSIERS 6 LLTS</t>
  </si>
  <si>
    <t>ETAT DES CREANCES : OFFICE DE L'EAU</t>
  </si>
  <si>
    <t>Eaux Usées</t>
  </si>
  <si>
    <t>AEP</t>
  </si>
  <si>
    <t>ZAC RHI BC FRAFU Primaire assainissement</t>
  </si>
  <si>
    <t xml:space="preserve">N° 15-0452 </t>
  </si>
  <si>
    <t xml:space="preserve">N° 15-0474 </t>
  </si>
  <si>
    <t xml:space="preserve">N° 15-0706 </t>
  </si>
  <si>
    <t>Dossier présage 30279 / Réseau AEU</t>
  </si>
  <si>
    <t>Demande de 26 394,54 € (Acpte 2)annulée le 30/07/13</t>
  </si>
  <si>
    <t>Solde à réalisation de fin travx à 83,46 %</t>
  </si>
  <si>
    <t>VEFA BUTOR (55 LLTS)</t>
  </si>
  <si>
    <t>PLAINE ST PAUL (18 LLTS)</t>
  </si>
  <si>
    <t>N° 15-0735</t>
  </si>
  <si>
    <t>N° 15-0734</t>
  </si>
  <si>
    <t>HE 168-169 (46 LLS)</t>
  </si>
  <si>
    <t>HE 168-169 (12 LLTS)</t>
  </si>
  <si>
    <t>N° 15-0707</t>
  </si>
  <si>
    <t>ILOT 6.2 (18 LLTS)</t>
  </si>
  <si>
    <t>N° 15-068</t>
  </si>
  <si>
    <t>ETAT DES CREANCES : MAIRIE ETANG-SALE</t>
  </si>
  <si>
    <t>Avenue R. BARRE</t>
  </si>
  <si>
    <t xml:space="preserve">Chaloupe/Paille en Queue </t>
  </si>
  <si>
    <t>?</t>
  </si>
  <si>
    <t>ETAT DES CREANCES : MAIRIE ST JOSEPH</t>
  </si>
  <si>
    <t>FRAFU J. FONTAINE</t>
  </si>
  <si>
    <t>dde prorogation à signature Deal 15 12 15</t>
  </si>
  <si>
    <t>FRAFU PARC A MOUTONS</t>
  </si>
  <si>
    <t>Montant corrigé : anciennt 212 081,00</t>
  </si>
  <si>
    <t>N° 13-0335</t>
  </si>
  <si>
    <t>N° 14-0678</t>
  </si>
  <si>
    <t>N° 14-0795</t>
  </si>
  <si>
    <t>N° 14-0316</t>
  </si>
  <si>
    <t>N° 14-0566</t>
  </si>
  <si>
    <t>N° 14-0315</t>
  </si>
  <si>
    <t>N° 14-0686</t>
  </si>
  <si>
    <t>N° 14-0355</t>
  </si>
  <si>
    <t>N° 14-0429</t>
  </si>
  <si>
    <t>N° 13-0446</t>
  </si>
  <si>
    <t>N° 13-0333</t>
  </si>
  <si>
    <t>N° 13-0307</t>
  </si>
  <si>
    <t>N° 13-0326</t>
  </si>
  <si>
    <t>N° 13-0523</t>
  </si>
  <si>
    <t>N° 13-0311</t>
  </si>
  <si>
    <t>N° 13-0668</t>
  </si>
  <si>
    <t>N° 13-0310</t>
  </si>
  <si>
    <t>N° 13-0325</t>
  </si>
  <si>
    <t>N° 13-0334</t>
  </si>
  <si>
    <t>N° 13-0341</t>
  </si>
  <si>
    <t>N° 12-0612</t>
  </si>
  <si>
    <t>N° 12-0518</t>
  </si>
  <si>
    <t>N° 12-0459</t>
  </si>
  <si>
    <t>N° 12-0611</t>
  </si>
  <si>
    <t>N° 12-0458</t>
  </si>
  <si>
    <t>N° 12-0449</t>
  </si>
  <si>
    <t>N° 12-0416</t>
  </si>
  <si>
    <t>N° 12-0419</t>
  </si>
  <si>
    <t>N° 12-0461</t>
  </si>
  <si>
    <t>N° 12-0422</t>
  </si>
  <si>
    <t>N° 12-0463</t>
  </si>
  <si>
    <t>N° SHLS-FRAFU-11-0011</t>
  </si>
  <si>
    <t>N° SHLS-FRAFU-13-0004</t>
  </si>
  <si>
    <t>N° SHLS-FRAFU-13-0003</t>
  </si>
  <si>
    <t>N° SHLS-FRAFU-13-0005</t>
  </si>
  <si>
    <t>N° SHLS-FRAFU-13-0001</t>
  </si>
  <si>
    <t>N° SHLS-FRAFU-13-0006</t>
  </si>
  <si>
    <t>N° SHLS-FRAFU-13-0007</t>
  </si>
  <si>
    <t>N° SHLS-FRAFU-13-0002</t>
  </si>
  <si>
    <t>N° SHLS-FRAFU-13-0009</t>
  </si>
  <si>
    <t>N° SHLS-FRAFU-12-0002</t>
  </si>
  <si>
    <t>N° SHLS-FRAFU- 12-0007</t>
  </si>
  <si>
    <t>N° SHLS-FRAFU-12-0006</t>
  </si>
  <si>
    <t>N° SHLS-FRAFU-11-0023</t>
  </si>
  <si>
    <t>N° SHLS-FRAFU-11-0024</t>
  </si>
  <si>
    <t>N° SHLS-FRAFU-11-0016</t>
  </si>
  <si>
    <t>N° SHLS-FRAFU-11-0010</t>
  </si>
  <si>
    <t>N° 05-02069 DDE/SG-CCP</t>
  </si>
  <si>
    <t xml:space="preserve">Règlement de 1 290 562,67 € au lieu de 1 308 955,97                                                  </t>
  </si>
  <si>
    <t>Différence de 18 393,30 €</t>
  </si>
  <si>
    <t>Règlement de 555 158,77 au lieu de 573 552,97</t>
  </si>
  <si>
    <t>Différence de : 18 394,20</t>
  </si>
  <si>
    <t xml:space="preserve"> </t>
  </si>
  <si>
    <t xml:space="preserve">Montant dépenses éliggibles faux --&gt; avenant 1 </t>
  </si>
  <si>
    <t>SAINT-JOSEPH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</si>
</sst>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000\ _€_-;\-* #,##0.0000000\ _€_-;_-* &quot;-&quot;??\ _€_-;_-@_-"/>
    <numFmt numFmtId="165" formatCode="#,##0.00\ _€"/>
  </numFmts>
  <fonts count="15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sz val="9"/>
      <color rgb="FFFF0000"/>
      <name val="ScalaSansPro-Regular"/>
      <family val="3"/>
    </font>
    <font>
      <b/>
      <sz val="9"/>
      <color rgb="FFFF0000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i/>
      <sz val="9"/>
      <name val="ScalaSansPro-Regular"/>
      <family val="3"/>
    </font>
    <font>
      <i/>
      <sz val="9"/>
      <color rgb="FFFF0000"/>
      <name val="ScalaSansPro-Regular"/>
      <family val="3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ScalaSansPro-Regular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/>
    <xf numFmtId="4" fontId="2" fillId="2" borderId="2" xfId="0" applyNumberFormat="1" applyFont="1" applyFill="1" applyBorder="1" applyAlignment="1">
      <alignment horizontal="center" vertical="top"/>
    </xf>
    <xf numFmtId="4" fontId="2" fillId="2" borderId="11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2" fillId="0" borderId="6" xfId="0" applyFont="1" applyFill="1" applyBorder="1" applyAlignment="1">
      <alignment vertical="center" wrapText="1"/>
    </xf>
    <xf numFmtId="14" fontId="1" fillId="0" borderId="6" xfId="0" applyNumberFormat="1" applyFont="1" applyFill="1" applyBorder="1"/>
    <xf numFmtId="4" fontId="1" fillId="0" borderId="6" xfId="0" applyNumberFormat="1" applyFont="1" applyFill="1" applyBorder="1"/>
    <xf numFmtId="4" fontId="2" fillId="0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4" fontId="2" fillId="0" borderId="0" xfId="0" applyNumberFormat="1" applyFont="1" applyFill="1" applyBorder="1"/>
    <xf numFmtId="0" fontId="2" fillId="0" borderId="1" xfId="0" applyFont="1" applyFill="1" applyBorder="1"/>
    <xf numFmtId="4" fontId="2" fillId="0" borderId="6" xfId="0" applyNumberFormat="1" applyFont="1" applyFill="1" applyBorder="1"/>
    <xf numFmtId="4" fontId="1" fillId="0" borderId="1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/>
    <xf numFmtId="4" fontId="1" fillId="0" borderId="0" xfId="0" applyNumberFormat="1" applyFont="1" applyFill="1"/>
    <xf numFmtId="0" fontId="3" fillId="0" borderId="6" xfId="0" applyFont="1" applyFill="1" applyBorder="1"/>
    <xf numFmtId="14" fontId="3" fillId="0" borderId="6" xfId="0" applyNumberFormat="1" applyFont="1" applyFill="1" applyBorder="1"/>
    <xf numFmtId="4" fontId="3" fillId="0" borderId="6" xfId="0" applyNumberFormat="1" applyFont="1" applyFill="1" applyBorder="1"/>
    <xf numFmtId="14" fontId="1" fillId="0" borderId="1" xfId="0" applyNumberFormat="1" applyFont="1" applyFill="1" applyBorder="1"/>
    <xf numFmtId="0" fontId="3" fillId="0" borderId="0" xfId="0" applyFont="1" applyFill="1"/>
    <xf numFmtId="0" fontId="3" fillId="0" borderId="8" xfId="0" applyFont="1" applyFill="1" applyBorder="1"/>
    <xf numFmtId="14" fontId="3" fillId="0" borderId="8" xfId="0" applyNumberFormat="1" applyFont="1" applyFill="1" applyBorder="1"/>
    <xf numFmtId="4" fontId="3" fillId="0" borderId="8" xfId="0" applyNumberFormat="1" applyFont="1" applyFill="1" applyBorder="1"/>
    <xf numFmtId="4" fontId="1" fillId="0" borderId="5" xfId="0" applyNumberFormat="1" applyFont="1" applyFill="1" applyBorder="1"/>
    <xf numFmtId="14" fontId="1" fillId="0" borderId="8" xfId="0" applyNumberFormat="1" applyFont="1" applyFill="1" applyBorder="1"/>
    <xf numFmtId="4" fontId="1" fillId="0" borderId="7" xfId="0" applyNumberFormat="1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4" fontId="1" fillId="0" borderId="8" xfId="0" applyNumberFormat="1" applyFont="1" applyFill="1" applyBorder="1"/>
    <xf numFmtId="4" fontId="2" fillId="0" borderId="2" xfId="0" applyNumberFormat="1" applyFont="1" applyFill="1" applyBorder="1"/>
    <xf numFmtId="0" fontId="1" fillId="0" borderId="6" xfId="0" applyNumberFormat="1" applyFont="1" applyFill="1" applyBorder="1" applyAlignment="1">
      <alignment horizontal="center"/>
    </xf>
    <xf numFmtId="0" fontId="1" fillId="0" borderId="6" xfId="0" applyNumberFormat="1" applyFont="1" applyFill="1" applyBorder="1"/>
    <xf numFmtId="0" fontId="1" fillId="0" borderId="8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0" xfId="0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/>
    <xf numFmtId="0" fontId="1" fillId="0" borderId="4" xfId="0" applyFont="1" applyBorder="1"/>
    <xf numFmtId="14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1" fillId="0" borderId="4" xfId="0" applyNumberFormat="1" applyFont="1" applyFill="1" applyBorder="1"/>
    <xf numFmtId="0" fontId="1" fillId="0" borderId="4" xfId="0" applyFont="1" applyFill="1" applyBorder="1"/>
    <xf numFmtId="4" fontId="2" fillId="0" borderId="8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0" fontId="1" fillId="0" borderId="0" xfId="0" applyNumberFormat="1" applyFont="1"/>
    <xf numFmtId="4" fontId="2" fillId="0" borderId="2" xfId="0" applyNumberFormat="1" applyFont="1" applyBorder="1"/>
    <xf numFmtId="14" fontId="1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" fontId="1" fillId="0" borderId="6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0" xfId="0" applyNumberFormat="1" applyFont="1"/>
    <xf numFmtId="0" fontId="2" fillId="2" borderId="11" xfId="0" applyNumberFormat="1" applyFont="1" applyFill="1" applyBorder="1" applyAlignment="1">
      <alignment horizontal="center" vertical="top"/>
    </xf>
    <xf numFmtId="0" fontId="2" fillId="0" borderId="2" xfId="0" applyNumberFormat="1" applyFont="1" applyBorder="1"/>
    <xf numFmtId="0" fontId="1" fillId="0" borderId="4" xfId="0" applyNumberFormat="1" applyFont="1" applyBorder="1"/>
    <xf numFmtId="43" fontId="1" fillId="0" borderId="6" xfId="0" applyNumberFormat="1" applyFont="1" applyFill="1" applyBorder="1"/>
    <xf numFmtId="43" fontId="2" fillId="0" borderId="2" xfId="0" applyNumberFormat="1" applyFont="1" applyFill="1" applyBorder="1"/>
    <xf numFmtId="14" fontId="1" fillId="0" borderId="0" xfId="0" applyNumberFormat="1" applyFont="1"/>
    <xf numFmtId="14" fontId="2" fillId="2" borderId="2" xfId="0" applyNumberFormat="1" applyFont="1" applyFill="1" applyBorder="1" applyAlignment="1">
      <alignment horizontal="center" vertical="top"/>
    </xf>
    <xf numFmtId="14" fontId="2" fillId="0" borderId="1" xfId="0" applyNumberFormat="1" applyFont="1" applyFill="1" applyBorder="1"/>
    <xf numFmtId="14" fontId="2" fillId="0" borderId="2" xfId="0" applyNumberFormat="1" applyFont="1" applyBorder="1"/>
    <xf numFmtId="14" fontId="1" fillId="0" borderId="14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3" fillId="0" borderId="1" xfId="0" applyNumberFormat="1" applyFont="1" applyFill="1" applyBorder="1"/>
    <xf numFmtId="0" fontId="3" fillId="0" borderId="6" xfId="0" applyNumberFormat="1" applyFont="1" applyFill="1" applyBorder="1" applyAlignment="1">
      <alignment horizontal="center"/>
    </xf>
    <xf numFmtId="4" fontId="3" fillId="0" borderId="0" xfId="0" applyNumberFormat="1" applyFont="1" applyFill="1" applyBorder="1"/>
    <xf numFmtId="14" fontId="3" fillId="0" borderId="1" xfId="0" applyNumberFormat="1" applyFont="1" applyFill="1" applyBorder="1"/>
    <xf numFmtId="43" fontId="3" fillId="0" borderId="6" xfId="0" applyNumberFormat="1" applyFont="1" applyFill="1" applyBorder="1"/>
    <xf numFmtId="4" fontId="1" fillId="0" borderId="0" xfId="0" applyNumberFormat="1" applyFont="1"/>
    <xf numFmtId="0" fontId="2" fillId="0" borderId="0" xfId="0" applyFont="1" applyAlignment="1">
      <alignment horizontal="center"/>
    </xf>
    <xf numFmtId="0" fontId="0" fillId="0" borderId="3" xfId="0" applyBorder="1"/>
    <xf numFmtId="4" fontId="0" fillId="0" borderId="3" xfId="0" applyNumberFormat="1" applyBorder="1"/>
    <xf numFmtId="0" fontId="0" fillId="0" borderId="1" xfId="0" applyBorder="1"/>
    <xf numFmtId="4" fontId="0" fillId="0" borderId="1" xfId="0" applyNumberFormat="1" applyBorder="1"/>
    <xf numFmtId="0" fontId="0" fillId="0" borderId="5" xfId="0" applyBorder="1"/>
    <xf numFmtId="4" fontId="0" fillId="0" borderId="5" xfId="0" applyNumberFormat="1" applyBorder="1"/>
    <xf numFmtId="0" fontId="5" fillId="0" borderId="2" xfId="0" applyFont="1" applyBorder="1" applyAlignment="1">
      <alignment horizontal="center" vertical="center" wrapText="1"/>
    </xf>
    <xf numFmtId="0" fontId="0" fillId="0" borderId="2" xfId="0" applyFill="1" applyBorder="1"/>
    <xf numFmtId="4" fontId="0" fillId="0" borderId="2" xfId="0" applyNumberFormat="1" applyBorder="1"/>
    <xf numFmtId="0" fontId="1" fillId="3" borderId="0" xfId="0" applyFont="1" applyFill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/>
    <xf numFmtId="0" fontId="1" fillId="0" borderId="13" xfId="0" applyFont="1" applyFill="1" applyBorder="1"/>
    <xf numFmtId="4" fontId="2" fillId="0" borderId="8" xfId="0" applyNumberFormat="1" applyFont="1" applyFill="1" applyBorder="1"/>
    <xf numFmtId="4" fontId="1" fillId="3" borderId="1" xfId="0" applyNumberFormat="1" applyFont="1" applyFill="1" applyBorder="1"/>
    <xf numFmtId="0" fontId="2" fillId="3" borderId="1" xfId="0" applyFont="1" applyFill="1" applyBorder="1" applyAlignment="1">
      <alignment horizontal="left" vertical="center"/>
    </xf>
    <xf numFmtId="14" fontId="2" fillId="0" borderId="6" xfId="0" applyNumberFormat="1" applyFont="1" applyFill="1" applyBorder="1"/>
    <xf numFmtId="43" fontId="2" fillId="0" borderId="6" xfId="0" applyNumberFormat="1" applyFont="1" applyFill="1" applyBorder="1"/>
    <xf numFmtId="0" fontId="2" fillId="0" borderId="0" xfId="0" applyFont="1" applyFill="1"/>
    <xf numFmtId="9" fontId="1" fillId="0" borderId="6" xfId="1" applyFont="1" applyFill="1" applyBorder="1"/>
    <xf numFmtId="9" fontId="1" fillId="0" borderId="6" xfId="1" applyNumberFormat="1" applyFont="1" applyFill="1" applyBorder="1"/>
    <xf numFmtId="4" fontId="1" fillId="4" borderId="1" xfId="0" applyNumberFormat="1" applyFont="1" applyFill="1" applyBorder="1"/>
    <xf numFmtId="4" fontId="1" fillId="5" borderId="1" xfId="0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1" fillId="6" borderId="6" xfId="0" applyFont="1" applyFill="1" applyBorder="1"/>
    <xf numFmtId="14" fontId="1" fillId="6" borderId="6" xfId="0" applyNumberFormat="1" applyFont="1" applyFill="1" applyBorder="1"/>
    <xf numFmtId="4" fontId="1" fillId="6" borderId="6" xfId="0" applyNumberFormat="1" applyFont="1" applyFill="1" applyBorder="1"/>
    <xf numFmtId="4" fontId="1" fillId="6" borderId="1" xfId="0" applyNumberFormat="1" applyFont="1" applyFill="1" applyBorder="1"/>
    <xf numFmtId="0" fontId="1" fillId="6" borderId="6" xfId="0" applyNumberFormat="1" applyFont="1" applyFill="1" applyBorder="1" applyAlignment="1">
      <alignment horizontal="center"/>
    </xf>
    <xf numFmtId="4" fontId="1" fillId="6" borderId="0" xfId="0" applyNumberFormat="1" applyFont="1" applyFill="1" applyBorder="1"/>
    <xf numFmtId="14" fontId="1" fillId="6" borderId="1" xfId="0" applyNumberFormat="1" applyFont="1" applyFill="1" applyBorder="1"/>
    <xf numFmtId="43" fontId="1" fillId="6" borderId="6" xfId="0" applyNumberFormat="1" applyFont="1" applyFill="1" applyBorder="1"/>
    <xf numFmtId="0" fontId="3" fillId="6" borderId="6" xfId="0" applyFont="1" applyFill="1" applyBorder="1"/>
    <xf numFmtId="14" fontId="3" fillId="6" borderId="6" xfId="0" applyNumberFormat="1" applyFont="1" applyFill="1" applyBorder="1"/>
    <xf numFmtId="4" fontId="3" fillId="6" borderId="6" xfId="0" applyNumberFormat="1" applyFont="1" applyFill="1" applyBorder="1"/>
    <xf numFmtId="4" fontId="1" fillId="3" borderId="0" xfId="0" applyNumberFormat="1" applyFont="1" applyFill="1" applyBorder="1"/>
    <xf numFmtId="4" fontId="3" fillId="0" borderId="0" xfId="0" applyNumberFormat="1" applyFont="1" applyFill="1"/>
    <xf numFmtId="0" fontId="2" fillId="6" borderId="6" xfId="0" applyFont="1" applyFill="1" applyBorder="1" applyAlignment="1">
      <alignment vertical="center" wrapText="1"/>
    </xf>
    <xf numFmtId="4" fontId="2" fillId="6" borderId="1" xfId="0" applyNumberFormat="1" applyFont="1" applyFill="1" applyBorder="1"/>
    <xf numFmtId="0" fontId="2" fillId="6" borderId="6" xfId="0" applyFont="1" applyFill="1" applyBorder="1" applyAlignment="1">
      <alignment horizontal="center"/>
    </xf>
    <xf numFmtId="0" fontId="2" fillId="6" borderId="6" xfId="0" applyFont="1" applyFill="1" applyBorder="1"/>
    <xf numFmtId="4" fontId="2" fillId="6" borderId="0" xfId="0" applyNumberFormat="1" applyFont="1" applyFill="1" applyBorder="1"/>
    <xf numFmtId="0" fontId="2" fillId="6" borderId="1" xfId="0" applyFont="1" applyFill="1" applyBorder="1"/>
    <xf numFmtId="4" fontId="2" fillId="6" borderId="6" xfId="0" applyNumberFormat="1" applyFont="1" applyFill="1" applyBorder="1"/>
    <xf numFmtId="0" fontId="1" fillId="6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center"/>
    </xf>
    <xf numFmtId="0" fontId="2" fillId="7" borderId="3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vertical="center" wrapText="1"/>
    </xf>
    <xf numFmtId="14" fontId="1" fillId="7" borderId="4" xfId="0" applyNumberFormat="1" applyFont="1" applyFill="1" applyBorder="1"/>
    <xf numFmtId="4" fontId="1" fillId="7" borderId="4" xfId="0" applyNumberFormat="1" applyFont="1" applyFill="1" applyBorder="1"/>
    <xf numFmtId="4" fontId="2" fillId="7" borderId="3" xfId="0" applyNumberFormat="1" applyFont="1" applyFill="1" applyBorder="1"/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4" fontId="2" fillId="7" borderId="14" xfId="0" applyNumberFormat="1" applyFont="1" applyFill="1" applyBorder="1"/>
    <xf numFmtId="0" fontId="2" fillId="7" borderId="3" xfId="0" applyFont="1" applyFill="1" applyBorder="1"/>
    <xf numFmtId="4" fontId="2" fillId="7" borderId="4" xfId="0" applyNumberFormat="1" applyFont="1" applyFill="1" applyBorder="1"/>
    <xf numFmtId="0" fontId="2" fillId="7" borderId="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 wrapText="1"/>
    </xf>
    <xf numFmtId="14" fontId="1" fillId="7" borderId="6" xfId="0" applyNumberFormat="1" applyFont="1" applyFill="1" applyBorder="1"/>
    <xf numFmtId="4" fontId="2" fillId="7" borderId="1" xfId="0" applyNumberFormat="1" applyFont="1" applyFill="1" applyBorder="1"/>
    <xf numFmtId="0" fontId="2" fillId="7" borderId="6" xfId="0" applyNumberFormat="1" applyFont="1" applyFill="1" applyBorder="1" applyAlignment="1">
      <alignment horizontal="center"/>
    </xf>
    <xf numFmtId="0" fontId="2" fillId="7" borderId="6" xfId="0" applyFont="1" applyFill="1" applyBorder="1"/>
    <xf numFmtId="4" fontId="2" fillId="7" borderId="0" xfId="0" applyNumberFormat="1" applyFont="1" applyFill="1" applyBorder="1"/>
    <xf numFmtId="0" fontId="2" fillId="7" borderId="1" xfId="0" applyFont="1" applyFill="1" applyBorder="1"/>
    <xf numFmtId="4" fontId="2" fillId="7" borderId="6" xfId="0" applyNumberFormat="1" applyFont="1" applyFill="1" applyBorder="1"/>
    <xf numFmtId="0" fontId="2" fillId="7" borderId="4" xfId="0" applyNumberFormat="1" applyFont="1" applyFill="1" applyBorder="1" applyAlignment="1">
      <alignment horizontal="center"/>
    </xf>
    <xf numFmtId="0" fontId="1" fillId="7" borderId="1" xfId="0" applyFont="1" applyFill="1" applyBorder="1"/>
    <xf numFmtId="0" fontId="1" fillId="7" borderId="1" xfId="0" applyFont="1" applyFill="1" applyBorder="1" applyAlignment="1">
      <alignment horizontal="center"/>
    </xf>
    <xf numFmtId="4" fontId="1" fillId="7" borderId="1" xfId="0" applyNumberFormat="1" applyFont="1" applyFill="1" applyBorder="1"/>
    <xf numFmtId="0" fontId="2" fillId="7" borderId="3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center"/>
    </xf>
    <xf numFmtId="0" fontId="1" fillId="7" borderId="4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14" fontId="2" fillId="7" borderId="1" xfId="0" applyNumberFormat="1" applyFont="1" applyFill="1" applyBorder="1"/>
    <xf numFmtId="0" fontId="2" fillId="7" borderId="6" xfId="0" applyNumberFormat="1" applyFont="1" applyFill="1" applyBorder="1"/>
    <xf numFmtId="14" fontId="2" fillId="7" borderId="6" xfId="0" applyNumberFormat="1" applyFont="1" applyFill="1" applyBorder="1"/>
    <xf numFmtId="43" fontId="2" fillId="7" borderId="6" xfId="0" applyNumberFormat="1" applyFont="1" applyFill="1" applyBorder="1"/>
    <xf numFmtId="14" fontId="2" fillId="7" borderId="3" xfId="0" applyNumberFormat="1" applyFont="1" applyFill="1" applyBorder="1"/>
    <xf numFmtId="0" fontId="2" fillId="7" borderId="4" xfId="0" applyNumberFormat="1" applyFont="1" applyFill="1" applyBorder="1"/>
    <xf numFmtId="9" fontId="1" fillId="0" borderId="8" xfId="1" applyFont="1" applyFill="1" applyBorder="1"/>
    <xf numFmtId="4" fontId="1" fillId="4" borderId="5" xfId="0" applyNumberFormat="1" applyFont="1" applyFill="1" applyBorder="1"/>
    <xf numFmtId="4" fontId="1" fillId="3" borderId="7" xfId="0" applyNumberFormat="1" applyFont="1" applyFill="1" applyBorder="1"/>
    <xf numFmtId="14" fontId="1" fillId="0" borderId="5" xfId="0" applyNumberFormat="1" applyFont="1" applyFill="1" applyBorder="1"/>
    <xf numFmtId="0" fontId="1" fillId="0" borderId="8" xfId="0" applyNumberFormat="1" applyFont="1" applyFill="1" applyBorder="1"/>
    <xf numFmtId="43" fontId="1" fillId="0" borderId="8" xfId="0" applyNumberFormat="1" applyFont="1" applyFill="1" applyBorder="1"/>
    <xf numFmtId="14" fontId="2" fillId="7" borderId="4" xfId="0" applyNumberFormat="1" applyFont="1" applyFill="1" applyBorder="1"/>
    <xf numFmtId="43" fontId="2" fillId="7" borderId="4" xfId="0" applyNumberFormat="1" applyFont="1" applyFill="1" applyBorder="1"/>
    <xf numFmtId="4" fontId="1" fillId="5" borderId="5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4" fontId="7" fillId="0" borderId="0" xfId="0" applyNumberFormat="1" applyFont="1" applyFill="1"/>
    <xf numFmtId="4" fontId="7" fillId="0" borderId="0" xfId="0" applyNumberFormat="1" applyFont="1" applyFill="1" applyBorder="1"/>
    <xf numFmtId="4" fontId="7" fillId="4" borderId="0" xfId="0" applyNumberFormat="1" applyFont="1" applyFill="1"/>
    <xf numFmtId="0" fontId="2" fillId="7" borderId="3" xfId="0" applyNumberFormat="1" applyFont="1" applyFill="1" applyBorder="1"/>
    <xf numFmtId="4" fontId="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7" fillId="0" borderId="0" xfId="0" applyNumberFormat="1" applyFont="1" applyFill="1" applyAlignment="1">
      <alignment horizontal="center" vertical="top"/>
    </xf>
    <xf numFmtId="4" fontId="8" fillId="0" borderId="0" xfId="0" applyNumberFormat="1" applyFont="1" applyFill="1"/>
    <xf numFmtId="43" fontId="2" fillId="7" borderId="3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7" borderId="4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2" fillId="7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0" borderId="0" xfId="0" applyNumberFormat="1" applyFont="1" applyBorder="1"/>
    <xf numFmtId="0" fontId="2" fillId="0" borderId="0" xfId="0" applyFont="1" applyFill="1" applyBorder="1"/>
    <xf numFmtId="43" fontId="2" fillId="7" borderId="1" xfId="0" applyNumberFormat="1" applyFont="1" applyFill="1" applyBorder="1"/>
    <xf numFmtId="4" fontId="1" fillId="4" borderId="0" xfId="0" applyNumberFormat="1" applyFont="1" applyFill="1" applyBorder="1"/>
    <xf numFmtId="0" fontId="6" fillId="0" borderId="1" xfId="0" applyFont="1" applyBorder="1"/>
    <xf numFmtId="4" fontId="9" fillId="0" borderId="0" xfId="0" applyNumberFormat="1" applyFont="1"/>
    <xf numFmtId="4" fontId="4" fillId="0" borderId="8" xfId="0" applyNumberFormat="1" applyFont="1" applyFill="1" applyBorder="1"/>
    <xf numFmtId="4" fontId="4" fillId="0" borderId="6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2" fillId="4" borderId="6" xfId="0" applyFont="1" applyFill="1" applyBorder="1"/>
    <xf numFmtId="14" fontId="1" fillId="4" borderId="6" xfId="0" applyNumberFormat="1" applyFont="1" applyFill="1" applyBorder="1"/>
    <xf numFmtId="4" fontId="2" fillId="4" borderId="6" xfId="0" applyNumberFormat="1" applyFont="1" applyFill="1" applyBorder="1"/>
    <xf numFmtId="4" fontId="1" fillId="4" borderId="6" xfId="0" applyNumberFormat="1" applyFont="1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1" xfId="0" applyFont="1" applyFill="1" applyBorder="1"/>
    <xf numFmtId="4" fontId="10" fillId="0" borderId="0" xfId="0" applyNumberFormat="1" applyFont="1"/>
    <xf numFmtId="14" fontId="2" fillId="4" borderId="6" xfId="0" applyNumberFormat="1" applyFont="1" applyFill="1" applyBorder="1"/>
    <xf numFmtId="4" fontId="2" fillId="4" borderId="0" xfId="0" applyNumberFormat="1" applyFont="1" applyFill="1" applyBorder="1"/>
    <xf numFmtId="14" fontId="2" fillId="4" borderId="1" xfId="0" applyNumberFormat="1" applyFont="1" applyFill="1" applyBorder="1"/>
    <xf numFmtId="0" fontId="2" fillId="4" borderId="6" xfId="0" applyNumberFormat="1" applyFont="1" applyFill="1" applyBorder="1"/>
    <xf numFmtId="43" fontId="2" fillId="4" borderId="6" xfId="0" applyNumberFormat="1" applyFont="1" applyFill="1" applyBorder="1"/>
    <xf numFmtId="0" fontId="2" fillId="4" borderId="0" xfId="0" applyFont="1" applyFill="1"/>
    <xf numFmtId="0" fontId="1" fillId="4" borderId="6" xfId="0" applyNumberFormat="1" applyFont="1" applyFill="1" applyBorder="1" applyAlignment="1">
      <alignment horizontal="center"/>
    </xf>
    <xf numFmtId="9" fontId="1" fillId="4" borderId="6" xfId="1" applyFont="1" applyFill="1" applyBorder="1"/>
    <xf numFmtId="43" fontId="1" fillId="4" borderId="6" xfId="0" applyNumberFormat="1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0" borderId="0" xfId="0" applyNumberFormat="1" applyFont="1" applyFill="1"/>
    <xf numFmtId="0" fontId="7" fillId="0" borderId="0" xfId="0" applyFont="1" applyAlignment="1">
      <alignment horizontal="center" vertical="top"/>
    </xf>
    <xf numFmtId="43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8" fillId="0" borderId="0" xfId="0" applyFont="1" applyFill="1"/>
    <xf numFmtId="4" fontId="11" fillId="0" borderId="0" xfId="0" applyNumberFormat="1" applyFont="1"/>
    <xf numFmtId="0" fontId="2" fillId="7" borderId="6" xfId="0" applyFont="1" applyFill="1" applyBorder="1" applyAlignment="1">
      <alignment horizontal="center"/>
    </xf>
    <xf numFmtId="14" fontId="1" fillId="7" borderId="3" xfId="0" applyNumberFormat="1" applyFont="1" applyFill="1" applyBorder="1"/>
    <xf numFmtId="4" fontId="1" fillId="3" borderId="5" xfId="0" applyNumberFormat="1" applyFont="1" applyFill="1" applyBorder="1"/>
    <xf numFmtId="0" fontId="1" fillId="0" borderId="8" xfId="0" applyFont="1" applyFill="1" applyBorder="1" applyAlignment="1">
      <alignment vertical="center" wrapText="1"/>
    </xf>
    <xf numFmtId="14" fontId="2" fillId="6" borderId="6" xfId="0" applyNumberFormat="1" applyFont="1" applyFill="1" applyBorder="1"/>
    <xf numFmtId="0" fontId="2" fillId="6" borderId="6" xfId="0" applyNumberFormat="1" applyFont="1" applyFill="1" applyBorder="1" applyAlignment="1">
      <alignment horizontal="center"/>
    </xf>
    <xf numFmtId="14" fontId="2" fillId="6" borderId="1" xfId="0" applyNumberFormat="1" applyFont="1" applyFill="1" applyBorder="1"/>
    <xf numFmtId="43" fontId="2" fillId="6" borderId="6" xfId="0" applyNumberFormat="1" applyFont="1" applyFill="1" applyBorder="1"/>
    <xf numFmtId="0" fontId="2" fillId="4" borderId="0" xfId="0" applyFont="1" applyFill="1" applyBorder="1" applyAlignment="1">
      <alignment horizontal="center"/>
    </xf>
    <xf numFmtId="4" fontId="1" fillId="6" borderId="3" xfId="0" applyNumberFormat="1" applyFont="1" applyFill="1" applyBorder="1"/>
    <xf numFmtId="43" fontId="1" fillId="6" borderId="5" xfId="0" applyNumberFormat="1" applyFont="1" applyFill="1" applyBorder="1"/>
    <xf numFmtId="0" fontId="1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164" fontId="7" fillId="0" borderId="0" xfId="0" applyNumberFormat="1" applyFont="1" applyAlignment="1">
      <alignment horizontal="center" vertical="top"/>
    </xf>
    <xf numFmtId="43" fontId="3" fillId="0" borderId="8" xfId="0" applyNumberFormat="1" applyFont="1" applyFill="1" applyBorder="1"/>
    <xf numFmtId="43" fontId="4" fillId="7" borderId="4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7" borderId="4" xfId="0" applyNumberFormat="1" applyFont="1" applyFill="1" applyBorder="1" applyAlignment="1">
      <alignment horizontal="center"/>
    </xf>
    <xf numFmtId="43" fontId="1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vertical="top"/>
    </xf>
    <xf numFmtId="0" fontId="1" fillId="0" borderId="1" xfId="0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 wrapText="1"/>
    </xf>
    <xf numFmtId="9" fontId="1" fillId="0" borderId="6" xfId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43" fontId="1" fillId="0" borderId="6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1" fillId="3" borderId="6" xfId="0" applyFont="1" applyFill="1" applyBorder="1"/>
    <xf numFmtId="4" fontId="0" fillId="0" borderId="0" xfId="0" applyNumberFormat="1"/>
    <xf numFmtId="10" fontId="1" fillId="0" borderId="6" xfId="1" applyNumberFormat="1" applyFont="1" applyFill="1" applyBorder="1"/>
    <xf numFmtId="0" fontId="2" fillId="8" borderId="3" xfId="0" applyFont="1" applyFill="1" applyBorder="1" applyAlignment="1">
      <alignment horizontal="left" vertical="center"/>
    </xf>
    <xf numFmtId="0" fontId="2" fillId="8" borderId="4" xfId="0" applyFont="1" applyFill="1" applyBorder="1" applyAlignment="1">
      <alignment vertical="center" wrapText="1"/>
    </xf>
    <xf numFmtId="14" fontId="2" fillId="8" borderId="3" xfId="0" applyNumberFormat="1" applyFont="1" applyFill="1" applyBorder="1"/>
    <xf numFmtId="14" fontId="2" fillId="8" borderId="4" xfId="0" applyNumberFormat="1" applyFont="1" applyFill="1" applyBorder="1"/>
    <xf numFmtId="14" fontId="2" fillId="8" borderId="4" xfId="0" applyNumberFormat="1" applyFont="1" applyFill="1" applyBorder="1" applyAlignment="1">
      <alignment horizontal="center" vertical="center"/>
    </xf>
    <xf numFmtId="4" fontId="2" fillId="8" borderId="4" xfId="0" applyNumberFormat="1" applyFont="1" applyFill="1" applyBorder="1"/>
    <xf numFmtId="4" fontId="2" fillId="8" borderId="3" xfId="0" applyNumberFormat="1" applyFont="1" applyFill="1" applyBorder="1"/>
    <xf numFmtId="0" fontId="2" fillId="8" borderId="4" xfId="0" applyFont="1" applyFill="1" applyBorder="1" applyAlignment="1">
      <alignment horizontal="center"/>
    </xf>
    <xf numFmtId="0" fontId="2" fillId="8" borderId="4" xfId="0" applyFont="1" applyFill="1" applyBorder="1"/>
    <xf numFmtId="4" fontId="2" fillId="8" borderId="14" xfId="0" applyNumberFormat="1" applyFont="1" applyFill="1" applyBorder="1"/>
    <xf numFmtId="0" fontId="2" fillId="8" borderId="4" xfId="0" applyNumberFormat="1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6" xfId="0" applyFont="1" applyFill="1" applyBorder="1"/>
    <xf numFmtId="14" fontId="1" fillId="8" borderId="6" xfId="0" applyNumberFormat="1" applyFont="1" applyFill="1" applyBorder="1"/>
    <xf numFmtId="14" fontId="1" fillId="8" borderId="6" xfId="0" applyNumberFormat="1" applyFont="1" applyFill="1" applyBorder="1" applyAlignment="1">
      <alignment horizontal="center" vertical="center"/>
    </xf>
    <xf numFmtId="9" fontId="1" fillId="8" borderId="6" xfId="1" applyFont="1" applyFill="1" applyBorder="1"/>
    <xf numFmtId="4" fontId="1" fillId="8" borderId="1" xfId="0" applyNumberFormat="1" applyFont="1" applyFill="1" applyBorder="1"/>
    <xf numFmtId="0" fontId="1" fillId="8" borderId="6" xfId="0" applyNumberFormat="1" applyFont="1" applyFill="1" applyBorder="1" applyAlignment="1">
      <alignment horizontal="center"/>
    </xf>
    <xf numFmtId="14" fontId="1" fillId="8" borderId="1" xfId="0" applyNumberFormat="1" applyFont="1" applyFill="1" applyBorder="1"/>
    <xf numFmtId="0" fontId="1" fillId="8" borderId="6" xfId="0" applyNumberFormat="1" applyFont="1" applyFill="1" applyBorder="1"/>
    <xf numFmtId="43" fontId="1" fillId="8" borderId="6" xfId="0" applyNumberFormat="1" applyFont="1" applyFill="1" applyBorder="1"/>
    <xf numFmtId="4" fontId="1" fillId="8" borderId="0" xfId="0" applyNumberFormat="1" applyFont="1" applyFill="1" applyBorder="1"/>
    <xf numFmtId="0" fontId="1" fillId="8" borderId="5" xfId="0" applyFont="1" applyFill="1" applyBorder="1" applyAlignment="1">
      <alignment horizontal="left" vertical="center"/>
    </xf>
    <xf numFmtId="0" fontId="1" fillId="8" borderId="8" xfId="0" applyFont="1" applyFill="1" applyBorder="1"/>
    <xf numFmtId="14" fontId="1" fillId="8" borderId="8" xfId="0" applyNumberFormat="1" applyFont="1" applyFill="1" applyBorder="1"/>
    <xf numFmtId="14" fontId="1" fillId="8" borderId="8" xfId="0" applyNumberFormat="1" applyFont="1" applyFill="1" applyBorder="1" applyAlignment="1">
      <alignment horizontal="center" vertical="center"/>
    </xf>
    <xf numFmtId="9" fontId="1" fillId="8" borderId="8" xfId="1" applyFont="1" applyFill="1" applyBorder="1"/>
    <xf numFmtId="4" fontId="1" fillId="8" borderId="5" xfId="0" applyNumberFormat="1" applyFont="1" applyFill="1" applyBorder="1"/>
    <xf numFmtId="0" fontId="1" fillId="8" borderId="8" xfId="0" applyNumberFormat="1" applyFont="1" applyFill="1" applyBorder="1" applyAlignment="1">
      <alignment horizontal="center"/>
    </xf>
    <xf numFmtId="4" fontId="1" fillId="8" borderId="7" xfId="0" applyNumberFormat="1" applyFont="1" applyFill="1" applyBorder="1"/>
    <xf numFmtId="14" fontId="1" fillId="8" borderId="5" xfId="0" applyNumberFormat="1" applyFont="1" applyFill="1" applyBorder="1"/>
    <xf numFmtId="0" fontId="1" fillId="8" borderId="8" xfId="0" applyNumberFormat="1" applyFont="1" applyFill="1" applyBorder="1"/>
    <xf numFmtId="44" fontId="1" fillId="8" borderId="8" xfId="0" applyNumberFormat="1" applyFont="1" applyFill="1" applyBorder="1"/>
    <xf numFmtId="43" fontId="1" fillId="8" borderId="8" xfId="0" applyNumberFormat="1" applyFont="1" applyFill="1" applyBorder="1"/>
    <xf numFmtId="10" fontId="1" fillId="4" borderId="6" xfId="1" applyNumberFormat="1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 vertical="top"/>
    </xf>
    <xf numFmtId="4" fontId="2" fillId="0" borderId="2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4" fontId="2" fillId="0" borderId="10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4" fontId="1" fillId="7" borderId="3" xfId="0" applyNumberFormat="1" applyFont="1" applyFill="1" applyBorder="1"/>
    <xf numFmtId="0" fontId="1" fillId="7" borderId="4" xfId="0" applyNumberFormat="1" applyFont="1" applyFill="1" applyBorder="1" applyAlignment="1">
      <alignment horizontal="center"/>
    </xf>
    <xf numFmtId="4" fontId="1" fillId="7" borderId="14" xfId="0" applyNumberFormat="1" applyFont="1" applyFill="1" applyBorder="1"/>
    <xf numFmtId="0" fontId="1" fillId="7" borderId="4" xfId="0" applyNumberFormat="1" applyFont="1" applyFill="1" applyBorder="1"/>
    <xf numFmtId="43" fontId="1" fillId="7" borderId="4" xfId="0" applyNumberFormat="1" applyFont="1" applyFill="1" applyBorder="1"/>
    <xf numFmtId="14" fontId="1" fillId="7" borderId="3" xfId="0" applyNumberFormat="1" applyFont="1" applyFill="1" applyBorder="1" applyAlignment="1">
      <alignment horizontal="center" vertical="center"/>
    </xf>
    <xf numFmtId="0" fontId="1" fillId="7" borderId="3" xfId="0" applyNumberFormat="1" applyFont="1" applyFill="1" applyBorder="1" applyAlignment="1">
      <alignment horizontal="center"/>
    </xf>
    <xf numFmtId="0" fontId="1" fillId="7" borderId="3" xfId="0" applyNumberFormat="1" applyFont="1" applyFill="1" applyBorder="1"/>
    <xf numFmtId="43" fontId="1" fillId="7" borderId="3" xfId="0" applyNumberFormat="1" applyFont="1" applyFill="1" applyBorder="1"/>
    <xf numFmtId="4" fontId="2" fillId="7" borderId="3" xfId="1" applyNumberFormat="1" applyFont="1" applyFill="1" applyBorder="1"/>
    <xf numFmtId="0" fontId="2" fillId="8" borderId="4" xfId="0" applyNumberFormat="1" applyFont="1" applyFill="1" applyBorder="1" applyAlignment="1">
      <alignment horizontal="center"/>
    </xf>
    <xf numFmtId="43" fontId="2" fillId="8" borderId="4" xfId="0" applyNumberFormat="1" applyFont="1" applyFill="1" applyBorder="1"/>
    <xf numFmtId="0" fontId="2" fillId="8" borderId="1" xfId="0" applyFont="1" applyFill="1" applyBorder="1" applyAlignment="1">
      <alignment horizontal="left" vertical="center"/>
    </xf>
    <xf numFmtId="0" fontId="2" fillId="8" borderId="6" xfId="0" applyFont="1" applyFill="1" applyBorder="1"/>
    <xf numFmtId="14" fontId="2" fillId="8" borderId="6" xfId="0" applyNumberFormat="1" applyFont="1" applyFill="1" applyBorder="1"/>
    <xf numFmtId="14" fontId="2" fillId="8" borderId="6" xfId="0" applyNumberFormat="1" applyFont="1" applyFill="1" applyBorder="1" applyAlignment="1">
      <alignment horizontal="center" vertical="center"/>
    </xf>
    <xf numFmtId="4" fontId="2" fillId="8" borderId="6" xfId="0" applyNumberFormat="1" applyFont="1" applyFill="1" applyBorder="1"/>
    <xf numFmtId="4" fontId="2" fillId="8" borderId="1" xfId="0" applyNumberFormat="1" applyFont="1" applyFill="1" applyBorder="1"/>
    <xf numFmtId="0" fontId="2" fillId="8" borderId="6" xfId="0" applyNumberFormat="1" applyFont="1" applyFill="1" applyBorder="1" applyAlignment="1">
      <alignment horizontal="center"/>
    </xf>
    <xf numFmtId="4" fontId="2" fillId="8" borderId="0" xfId="0" applyNumberFormat="1" applyFont="1" applyFill="1" applyBorder="1"/>
    <xf numFmtId="14" fontId="2" fillId="8" borderId="1" xfId="0" applyNumberFormat="1" applyFont="1" applyFill="1" applyBorder="1"/>
    <xf numFmtId="0" fontId="2" fillId="8" borderId="6" xfId="0" applyNumberFormat="1" applyFont="1" applyFill="1" applyBorder="1"/>
    <xf numFmtId="43" fontId="2" fillId="8" borderId="6" xfId="0" applyNumberFormat="1" applyFont="1" applyFill="1" applyBorder="1"/>
    <xf numFmtId="4" fontId="1" fillId="8" borderId="6" xfId="0" applyNumberFormat="1" applyFont="1" applyFill="1" applyBorder="1"/>
    <xf numFmtId="0" fontId="1" fillId="8" borderId="0" xfId="0" applyFont="1" applyFill="1"/>
    <xf numFmtId="14" fontId="2" fillId="6" borderId="4" xfId="0" applyNumberFormat="1" applyFont="1" applyFill="1" applyBorder="1"/>
    <xf numFmtId="4" fontId="2" fillId="6" borderId="3" xfId="0" applyNumberFormat="1" applyFont="1" applyFill="1" applyBorder="1"/>
    <xf numFmtId="0" fontId="2" fillId="6" borderId="3" xfId="0" applyFont="1" applyFill="1" applyBorder="1"/>
    <xf numFmtId="43" fontId="2" fillId="6" borderId="3" xfId="0" applyNumberFormat="1" applyFont="1" applyFill="1" applyBorder="1"/>
    <xf numFmtId="9" fontId="1" fillId="6" borderId="6" xfId="1" applyFont="1" applyFill="1" applyBorder="1"/>
    <xf numFmtId="0" fontId="1" fillId="6" borderId="6" xfId="0" applyNumberFormat="1" applyFont="1" applyFill="1" applyBorder="1"/>
    <xf numFmtId="0" fontId="2" fillId="6" borderId="3" xfId="0" applyFont="1" applyFill="1" applyBorder="1" applyAlignment="1">
      <alignment horizontal="left" vertical="center"/>
    </xf>
    <xf numFmtId="4" fontId="2" fillId="6" borderId="4" xfId="0" applyNumberFormat="1" applyFont="1" applyFill="1" applyBorder="1"/>
    <xf numFmtId="43" fontId="2" fillId="6" borderId="4" xfId="0" applyNumberFormat="1" applyFont="1" applyFill="1" applyBorder="1"/>
    <xf numFmtId="0" fontId="2" fillId="6" borderId="4" xfId="0" applyNumberFormat="1" applyFont="1" applyFill="1" applyBorder="1" applyAlignment="1">
      <alignment horizontal="center"/>
    </xf>
    <xf numFmtId="14" fontId="1" fillId="7" borderId="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3" fillId="0" borderId="4" xfId="0" applyFont="1" applyFill="1" applyBorder="1"/>
    <xf numFmtId="14" fontId="3" fillId="0" borderId="4" xfId="0" applyNumberFormat="1" applyFont="1" applyFill="1" applyBorder="1"/>
    <xf numFmtId="4" fontId="3" fillId="0" borderId="4" xfId="0" applyNumberFormat="1" applyFont="1" applyFill="1" applyBorder="1"/>
    <xf numFmtId="4" fontId="3" fillId="0" borderId="3" xfId="0" applyNumberFormat="1" applyFont="1" applyFill="1" applyBorder="1"/>
    <xf numFmtId="0" fontId="3" fillId="0" borderId="4" xfId="0" applyNumberFormat="1" applyFont="1" applyFill="1" applyBorder="1" applyAlignment="1">
      <alignment horizontal="center"/>
    </xf>
    <xf numFmtId="4" fontId="3" fillId="0" borderId="14" xfId="0" applyNumberFormat="1" applyFont="1" applyFill="1" applyBorder="1"/>
    <xf numFmtId="0" fontId="3" fillId="0" borderId="3" xfId="0" applyFont="1" applyFill="1" applyBorder="1"/>
    <xf numFmtId="43" fontId="3" fillId="0" borderId="4" xfId="0" applyNumberFormat="1" applyFont="1" applyFill="1" applyBorder="1"/>
    <xf numFmtId="0" fontId="3" fillId="8" borderId="6" xfId="0" applyFont="1" applyFill="1" applyBorder="1"/>
    <xf numFmtId="14" fontId="3" fillId="8" borderId="6" xfId="0" applyNumberFormat="1" applyFont="1" applyFill="1" applyBorder="1"/>
    <xf numFmtId="14" fontId="3" fillId="8" borderId="6" xfId="0" applyNumberFormat="1" applyFont="1" applyFill="1" applyBorder="1" applyAlignment="1">
      <alignment horizontal="center" vertical="center"/>
    </xf>
    <xf numFmtId="4" fontId="3" fillId="8" borderId="6" xfId="0" applyNumberFormat="1" applyFont="1" applyFill="1" applyBorder="1"/>
    <xf numFmtId="0" fontId="1" fillId="8" borderId="6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/>
    <xf numFmtId="4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center"/>
    </xf>
    <xf numFmtId="4" fontId="1" fillId="0" borderId="14" xfId="0" applyNumberFormat="1" applyFont="1" applyFill="1" applyBorder="1"/>
    <xf numFmtId="14" fontId="1" fillId="0" borderId="3" xfId="0" applyNumberFormat="1" applyFont="1" applyFill="1" applyBorder="1"/>
    <xf numFmtId="43" fontId="1" fillId="0" borderId="4" xfId="0" applyNumberFormat="1" applyFont="1" applyFill="1" applyBorder="1"/>
    <xf numFmtId="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2" fillId="0" borderId="6" xfId="1" applyNumberFormat="1" applyFont="1" applyFill="1" applyBorder="1"/>
    <xf numFmtId="43" fontId="1" fillId="0" borderId="0" xfId="0" applyNumberFormat="1" applyFont="1" applyFill="1" applyAlignment="1">
      <alignment horizontal="left" vertical="top"/>
    </xf>
    <xf numFmtId="0" fontId="2" fillId="9" borderId="3" xfId="0" applyFont="1" applyFill="1" applyBorder="1" applyAlignment="1">
      <alignment horizontal="left" vertical="center"/>
    </xf>
    <xf numFmtId="14" fontId="2" fillId="9" borderId="4" xfId="0" applyNumberFormat="1" applyFont="1" applyFill="1" applyBorder="1"/>
    <xf numFmtId="4" fontId="2" fillId="9" borderId="4" xfId="0" applyNumberFormat="1" applyFont="1" applyFill="1" applyBorder="1"/>
    <xf numFmtId="4" fontId="2" fillId="9" borderId="3" xfId="0" applyNumberFormat="1" applyFont="1" applyFill="1" applyBorder="1"/>
    <xf numFmtId="4" fontId="2" fillId="9" borderId="4" xfId="0" applyNumberFormat="1" applyFont="1" applyFill="1" applyBorder="1" applyAlignment="1">
      <alignment horizontal="center"/>
    </xf>
    <xf numFmtId="4" fontId="2" fillId="9" borderId="14" xfId="0" applyNumberFormat="1" applyFont="1" applyFill="1" applyBorder="1"/>
    <xf numFmtId="43" fontId="2" fillId="9" borderId="3" xfId="0" applyNumberFormat="1" applyFont="1" applyFill="1" applyBorder="1"/>
    <xf numFmtId="0" fontId="1" fillId="9" borderId="1" xfId="0" applyFont="1" applyFill="1" applyBorder="1" applyAlignment="1">
      <alignment horizontal="left" vertical="center"/>
    </xf>
    <xf numFmtId="14" fontId="3" fillId="9" borderId="6" xfId="0" applyNumberFormat="1" applyFont="1" applyFill="1" applyBorder="1"/>
    <xf numFmtId="9" fontId="1" fillId="9" borderId="6" xfId="1" applyFont="1" applyFill="1" applyBorder="1"/>
    <xf numFmtId="4" fontId="1" fillId="9" borderId="1" xfId="0" applyNumberFormat="1" applyFont="1" applyFill="1" applyBorder="1"/>
    <xf numFmtId="0" fontId="1" fillId="9" borderId="6" xfId="0" applyNumberFormat="1" applyFont="1" applyFill="1" applyBorder="1" applyAlignment="1">
      <alignment horizontal="center"/>
    </xf>
    <xf numFmtId="14" fontId="1" fillId="9" borderId="6" xfId="0" applyNumberFormat="1" applyFont="1" applyFill="1" applyBorder="1"/>
    <xf numFmtId="4" fontId="1" fillId="9" borderId="0" xfId="0" applyNumberFormat="1" applyFont="1" applyFill="1" applyBorder="1"/>
    <xf numFmtId="14" fontId="1" fillId="9" borderId="1" xfId="0" applyNumberFormat="1" applyFont="1" applyFill="1" applyBorder="1"/>
    <xf numFmtId="0" fontId="1" fillId="9" borderId="6" xfId="0" applyNumberFormat="1" applyFont="1" applyFill="1" applyBorder="1"/>
    <xf numFmtId="43" fontId="1" fillId="9" borderId="6" xfId="0" applyNumberFormat="1" applyFont="1" applyFill="1" applyBorder="1"/>
    <xf numFmtId="0" fontId="2" fillId="9" borderId="1" xfId="0" applyFont="1" applyFill="1" applyBorder="1" applyAlignment="1">
      <alignment horizontal="left" vertical="center"/>
    </xf>
    <xf numFmtId="0" fontId="2" fillId="9" borderId="6" xfId="0" applyFont="1" applyFill="1" applyBorder="1" applyAlignment="1">
      <alignment vertical="center" wrapText="1"/>
    </xf>
    <xf numFmtId="4" fontId="1" fillId="9" borderId="6" xfId="0" applyNumberFormat="1" applyFont="1" applyFill="1" applyBorder="1"/>
    <xf numFmtId="4" fontId="2" fillId="9" borderId="1" xfId="0" applyNumberFormat="1" applyFont="1" applyFill="1" applyBorder="1"/>
    <xf numFmtId="0" fontId="2" fillId="9" borderId="6" xfId="0" applyFont="1" applyFill="1" applyBorder="1" applyAlignment="1">
      <alignment horizontal="center"/>
    </xf>
    <xf numFmtId="0" fontId="2" fillId="9" borderId="6" xfId="0" applyFont="1" applyFill="1" applyBorder="1"/>
    <xf numFmtId="4" fontId="2" fillId="9" borderId="0" xfId="0" applyNumberFormat="1" applyFont="1" applyFill="1" applyBorder="1"/>
    <xf numFmtId="0" fontId="2" fillId="9" borderId="1" xfId="0" applyFont="1" applyFill="1" applyBorder="1"/>
    <xf numFmtId="4" fontId="2" fillId="9" borderId="6" xfId="0" applyNumberFormat="1" applyFont="1" applyFill="1" applyBorder="1"/>
    <xf numFmtId="0" fontId="1" fillId="9" borderId="6" xfId="0" applyFont="1" applyFill="1" applyBorder="1"/>
    <xf numFmtId="0" fontId="1" fillId="9" borderId="1" xfId="0" applyFont="1" applyFill="1" applyBorder="1"/>
    <xf numFmtId="0" fontId="3" fillId="9" borderId="6" xfId="0" applyFont="1" applyFill="1" applyBorder="1"/>
    <xf numFmtId="4" fontId="3" fillId="9" borderId="6" xfId="0" applyNumberFormat="1" applyFont="1" applyFill="1" applyBorder="1"/>
    <xf numFmtId="0" fontId="1" fillId="9" borderId="6" xfId="0" applyFont="1" applyFill="1" applyBorder="1" applyAlignment="1">
      <alignment vertical="center" wrapText="1"/>
    </xf>
    <xf numFmtId="165" fontId="1" fillId="0" borderId="6" xfId="0" applyNumberFormat="1" applyFont="1" applyBorder="1" applyAlignment="1">
      <alignment horizontal="right"/>
    </xf>
    <xf numFmtId="0" fontId="1" fillId="3" borderId="8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horizontal="left" vertical="center"/>
    </xf>
    <xf numFmtId="0" fontId="1" fillId="8" borderId="8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14" fontId="2" fillId="6" borderId="3" xfId="0" applyNumberFormat="1" applyFont="1" applyFill="1" applyBorder="1"/>
    <xf numFmtId="0" fontId="3" fillId="9" borderId="6" xfId="0" applyFont="1" applyFill="1" applyBorder="1" applyAlignment="1">
      <alignment vertical="center"/>
    </xf>
    <xf numFmtId="14" fontId="3" fillId="9" borderId="6" xfId="0" applyNumberFormat="1" applyFont="1" applyFill="1" applyBorder="1" applyAlignment="1">
      <alignment vertical="center"/>
    </xf>
    <xf numFmtId="14" fontId="1" fillId="9" borderId="6" xfId="0" applyNumberFormat="1" applyFont="1" applyFill="1" applyBorder="1" applyAlignment="1">
      <alignment vertical="center" wrapText="1"/>
    </xf>
    <xf numFmtId="14" fontId="1" fillId="9" borderId="6" xfId="0" applyNumberFormat="1" applyFont="1" applyFill="1" applyBorder="1" applyAlignment="1">
      <alignment vertical="center"/>
    </xf>
    <xf numFmtId="9" fontId="1" fillId="9" borderId="6" xfId="1" applyFont="1" applyFill="1" applyBorder="1" applyAlignment="1">
      <alignment vertical="center"/>
    </xf>
    <xf numFmtId="4" fontId="1" fillId="9" borderId="1" xfId="0" applyNumberFormat="1" applyFont="1" applyFill="1" applyBorder="1" applyAlignment="1">
      <alignment vertical="center"/>
    </xf>
    <xf numFmtId="0" fontId="1" fillId="9" borderId="6" xfId="0" applyNumberFormat="1" applyFont="1" applyFill="1" applyBorder="1" applyAlignment="1">
      <alignment horizontal="center" vertical="center"/>
    </xf>
    <xf numFmtId="4" fontId="1" fillId="9" borderId="0" xfId="0" applyNumberFormat="1" applyFont="1" applyFill="1" applyBorder="1" applyAlignment="1">
      <alignment vertical="center"/>
    </xf>
    <xf numFmtId="14" fontId="1" fillId="9" borderId="1" xfId="0" applyNumberFormat="1" applyFont="1" applyFill="1" applyBorder="1" applyAlignment="1">
      <alignment vertical="center"/>
    </xf>
    <xf numFmtId="0" fontId="1" fillId="9" borderId="6" xfId="0" applyFont="1" applyFill="1" applyBorder="1" applyAlignment="1">
      <alignment vertical="center"/>
    </xf>
    <xf numFmtId="43" fontId="1" fillId="9" borderId="6" xfId="0" applyNumberFormat="1" applyFont="1" applyFill="1" applyBorder="1" applyAlignment="1">
      <alignment vertical="center"/>
    </xf>
    <xf numFmtId="0" fontId="2" fillId="10" borderId="3" xfId="0" applyFont="1" applyFill="1" applyBorder="1" applyAlignment="1">
      <alignment horizontal="left" vertical="center"/>
    </xf>
    <xf numFmtId="14" fontId="2" fillId="10" borderId="4" xfId="0" applyNumberFormat="1" applyFont="1" applyFill="1" applyBorder="1"/>
    <xf numFmtId="4" fontId="2" fillId="10" borderId="4" xfId="0" applyNumberFormat="1" applyFont="1" applyFill="1" applyBorder="1"/>
    <xf numFmtId="4" fontId="2" fillId="10" borderId="3" xfId="0" applyNumberFormat="1" applyFont="1" applyFill="1" applyBorder="1"/>
    <xf numFmtId="0" fontId="2" fillId="10" borderId="4" xfId="0" applyNumberFormat="1" applyFont="1" applyFill="1" applyBorder="1" applyAlignment="1">
      <alignment horizontal="center"/>
    </xf>
    <xf numFmtId="4" fontId="2" fillId="10" borderId="14" xfId="0" applyNumberFormat="1" applyFont="1" applyFill="1" applyBorder="1"/>
    <xf numFmtId="14" fontId="2" fillId="10" borderId="3" xfId="0" applyNumberFormat="1" applyFont="1" applyFill="1" applyBorder="1"/>
    <xf numFmtId="0" fontId="2" fillId="10" borderId="4" xfId="0" applyFont="1" applyFill="1" applyBorder="1"/>
    <xf numFmtId="43" fontId="2" fillId="10" borderId="4" xfId="0" applyNumberFormat="1" applyFont="1" applyFill="1" applyBorder="1"/>
    <xf numFmtId="0" fontId="1" fillId="10" borderId="1" xfId="0" applyFont="1" applyFill="1" applyBorder="1" applyAlignment="1">
      <alignment horizontal="left" vertical="center"/>
    </xf>
    <xf numFmtId="0" fontId="1" fillId="10" borderId="6" xfId="0" applyFont="1" applyFill="1" applyBorder="1" applyAlignment="1">
      <alignment vertical="center" wrapText="1"/>
    </xf>
    <xf numFmtId="14" fontId="1" fillId="10" borderId="6" xfId="0" applyNumberFormat="1" applyFont="1" applyFill="1" applyBorder="1" applyAlignment="1">
      <alignment vertical="center"/>
    </xf>
    <xf numFmtId="14" fontId="1" fillId="10" borderId="6" xfId="0" applyNumberFormat="1" applyFont="1" applyFill="1" applyBorder="1" applyAlignment="1">
      <alignment vertical="center" wrapText="1"/>
    </xf>
    <xf numFmtId="9" fontId="1" fillId="10" borderId="6" xfId="1" applyFont="1" applyFill="1" applyBorder="1" applyAlignment="1">
      <alignment vertical="center"/>
    </xf>
    <xf numFmtId="4" fontId="1" fillId="10" borderId="1" xfId="0" applyNumberFormat="1" applyFont="1" applyFill="1" applyBorder="1" applyAlignment="1">
      <alignment vertical="center"/>
    </xf>
    <xf numFmtId="0" fontId="1" fillId="10" borderId="6" xfId="0" applyNumberFormat="1" applyFont="1" applyFill="1" applyBorder="1" applyAlignment="1">
      <alignment horizontal="center" vertical="center"/>
    </xf>
    <xf numFmtId="4" fontId="1" fillId="10" borderId="0" xfId="0" applyNumberFormat="1" applyFont="1" applyFill="1" applyBorder="1" applyAlignment="1">
      <alignment vertical="center"/>
    </xf>
    <xf numFmtId="14" fontId="1" fillId="10" borderId="1" xfId="0" applyNumberFormat="1" applyFont="1" applyFill="1" applyBorder="1" applyAlignment="1">
      <alignment vertical="center"/>
    </xf>
    <xf numFmtId="0" fontId="1" fillId="10" borderId="6" xfId="0" applyFont="1" applyFill="1" applyBorder="1" applyAlignment="1">
      <alignment vertical="center"/>
    </xf>
    <xf numFmtId="4" fontId="2" fillId="10" borderId="6" xfId="0" applyNumberFormat="1" applyFont="1" applyFill="1" applyBorder="1" applyAlignment="1">
      <alignment vertical="center"/>
    </xf>
    <xf numFmtId="43" fontId="1" fillId="10" borderId="6" xfId="0" applyNumberFormat="1" applyFont="1" applyFill="1" applyBorder="1" applyAlignment="1">
      <alignment vertical="center"/>
    </xf>
    <xf numFmtId="4" fontId="1" fillId="10" borderId="6" xfId="0" applyNumberFormat="1" applyFont="1" applyFill="1" applyBorder="1" applyAlignment="1">
      <alignment vertical="center"/>
    </xf>
    <xf numFmtId="14" fontId="1" fillId="10" borderId="6" xfId="0" applyNumberFormat="1" applyFont="1" applyFill="1" applyBorder="1"/>
    <xf numFmtId="9" fontId="1" fillId="10" borderId="6" xfId="1" applyFont="1" applyFill="1" applyBorder="1"/>
    <xf numFmtId="4" fontId="1" fillId="10" borderId="1" xfId="0" applyNumberFormat="1" applyFont="1" applyFill="1" applyBorder="1"/>
    <xf numFmtId="0" fontId="1" fillId="10" borderId="6" xfId="0" applyNumberFormat="1" applyFont="1" applyFill="1" applyBorder="1" applyAlignment="1">
      <alignment horizontal="center"/>
    </xf>
    <xf numFmtId="4" fontId="1" fillId="10" borderId="0" xfId="0" applyNumberFormat="1" applyFont="1" applyFill="1" applyBorder="1"/>
    <xf numFmtId="14" fontId="1" fillId="10" borderId="1" xfId="0" applyNumberFormat="1" applyFont="1" applyFill="1" applyBorder="1"/>
    <xf numFmtId="0" fontId="1" fillId="10" borderId="6" xfId="0" applyFont="1" applyFill="1" applyBorder="1"/>
    <xf numFmtId="43" fontId="1" fillId="10" borderId="6" xfId="0" applyNumberFormat="1" applyFont="1" applyFill="1" applyBorder="1"/>
    <xf numFmtId="4" fontId="1" fillId="10" borderId="6" xfId="0" applyNumberFormat="1" applyFont="1" applyFill="1" applyBorder="1"/>
    <xf numFmtId="0" fontId="1" fillId="10" borderId="5" xfId="0" applyFont="1" applyFill="1" applyBorder="1" applyAlignment="1">
      <alignment horizontal="left" vertical="center"/>
    </xf>
    <xf numFmtId="0" fontId="1" fillId="10" borderId="8" xfId="0" applyFont="1" applyFill="1" applyBorder="1" applyAlignment="1">
      <alignment vertical="center" wrapText="1"/>
    </xf>
    <xf numFmtId="14" fontId="1" fillId="10" borderId="8" xfId="0" applyNumberFormat="1" applyFont="1" applyFill="1" applyBorder="1"/>
    <xf numFmtId="4" fontId="1" fillId="10" borderId="5" xfId="0" applyNumberFormat="1" applyFont="1" applyFill="1" applyBorder="1"/>
    <xf numFmtId="0" fontId="1" fillId="10" borderId="8" xfId="0" applyNumberFormat="1" applyFont="1" applyFill="1" applyBorder="1" applyAlignment="1">
      <alignment horizontal="center"/>
    </xf>
    <xf numFmtId="4" fontId="1" fillId="10" borderId="7" xfId="0" applyNumberFormat="1" applyFont="1" applyFill="1" applyBorder="1"/>
    <xf numFmtId="14" fontId="1" fillId="10" borderId="5" xfId="0" applyNumberFormat="1" applyFont="1" applyFill="1" applyBorder="1"/>
    <xf numFmtId="0" fontId="1" fillId="10" borderId="8" xfId="0" applyFont="1" applyFill="1" applyBorder="1"/>
    <xf numFmtId="43" fontId="1" fillId="10" borderId="8" xfId="0" applyNumberFormat="1" applyFont="1" applyFill="1" applyBorder="1"/>
    <xf numFmtId="4" fontId="1" fillId="10" borderId="8" xfId="0" applyNumberFormat="1" applyFont="1" applyFill="1" applyBorder="1"/>
    <xf numFmtId="43" fontId="1" fillId="9" borderId="6" xfId="0" applyNumberFormat="1" applyFont="1" applyFill="1" applyBorder="1" applyAlignment="1">
      <alignment wrapText="1"/>
    </xf>
    <xf numFmtId="43" fontId="1" fillId="0" borderId="0" xfId="0" applyNumberFormat="1" applyFont="1" applyFill="1" applyBorder="1"/>
    <xf numFmtId="43" fontId="1" fillId="0" borderId="1" xfId="0" applyNumberFormat="1" applyFont="1" applyFill="1" applyBorder="1"/>
    <xf numFmtId="14" fontId="1" fillId="5" borderId="6" xfId="0" applyNumberFormat="1" applyFont="1" applyFill="1" applyBorder="1"/>
    <xf numFmtId="4" fontId="2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4" fontId="2" fillId="3" borderId="9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165" fontId="1" fillId="0" borderId="0" xfId="0" applyNumberFormat="1" applyFont="1"/>
    <xf numFmtId="17" fontId="14" fillId="0" borderId="0" xfId="0" applyNumberFormat="1" applyFont="1"/>
    <xf numFmtId="165" fontId="14" fillId="0" borderId="0" xfId="0" applyNumberFormat="1" applyFont="1"/>
  </cellXfs>
  <cellStyles count="2">
    <cellStyle name="Normal" xfId="0" builtinId="0"/>
    <cellStyle name="Pourcentage" xfId="1" builtinId="5"/>
  </cellStyles>
  <dxfs count="9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K37" sqref="K37"/>
    </sheetView>
  </sheetViews>
  <sheetFormatPr baseColWidth="10" defaultRowHeight="12.9" x14ac:dyDescent="0.2"/>
  <cols>
    <col min="1" max="1" width="14.375" customWidth="1"/>
    <col min="2" max="2" width="15.125" customWidth="1"/>
    <col min="3" max="3" width="15.375" customWidth="1"/>
    <col min="4" max="4" width="14" customWidth="1"/>
    <col min="5" max="5" width="16.375" customWidth="1"/>
    <col min="6" max="6" width="15" customWidth="1"/>
  </cols>
  <sheetData>
    <row r="1" spans="1:6" ht="27.2" x14ac:dyDescent="0.2">
      <c r="B1" s="106" t="s">
        <v>109</v>
      </c>
      <c r="C1" s="106" t="s">
        <v>110</v>
      </c>
      <c r="D1" s="106" t="s">
        <v>128</v>
      </c>
      <c r="E1" s="106" t="s">
        <v>19</v>
      </c>
    </row>
    <row r="2" spans="1:6" ht="21.75" customHeight="1" x14ac:dyDescent="0.2">
      <c r="A2" s="100" t="s">
        <v>102</v>
      </c>
      <c r="B2" s="101">
        <f>'ST LEU'!D38+'ST LEU'!D40</f>
        <v>4270508.33</v>
      </c>
      <c r="C2" s="101">
        <f>'ST LEU'!H38+'ST LEU'!H46</f>
        <v>2457435.9300000002</v>
      </c>
      <c r="D2" s="101">
        <f>'ST LEU'!K38+'ST LEU'!K46</f>
        <v>1882230.74</v>
      </c>
      <c r="E2" s="101">
        <f>'ST LEU'!L38+'ST LEU'!L46</f>
        <v>108390.5</v>
      </c>
      <c r="F2" s="233">
        <f>B2-(C2+D2+E2)</f>
        <v>-177548.83999999985</v>
      </c>
    </row>
    <row r="3" spans="1:6" ht="21.75" customHeight="1" x14ac:dyDescent="0.2">
      <c r="A3" s="102" t="s">
        <v>242</v>
      </c>
      <c r="B3" s="103">
        <f>'ST JOSEPH'!D17</f>
        <v>510715.38</v>
      </c>
      <c r="C3" s="103">
        <f>'ST JOSEPH'!H17</f>
        <v>81375</v>
      </c>
      <c r="D3" s="103">
        <f>'ST JOSEPH'!K17</f>
        <v>109246.79000000001</v>
      </c>
      <c r="E3" s="103">
        <f>'ST JOSEPH'!L17</f>
        <v>401468.99</v>
      </c>
      <c r="F3" s="233">
        <f>B3-(C3+D3+E3)</f>
        <v>-81375.400000000023</v>
      </c>
    </row>
    <row r="4" spans="1:6" ht="21.75" customHeight="1" x14ac:dyDescent="0.2">
      <c r="A4" s="102" t="s">
        <v>103</v>
      </c>
      <c r="B4" s="103">
        <f>'PETITE ILE'!C14</f>
        <v>1832197</v>
      </c>
      <c r="C4" s="103">
        <f>'PETITE ILE'!G14</f>
        <v>1826414</v>
      </c>
      <c r="D4" s="103">
        <f>'PETITE ILE'!J14</f>
        <v>0</v>
      </c>
      <c r="E4" s="103">
        <f>'PETITE ILE'!K14</f>
        <v>0</v>
      </c>
      <c r="F4" s="233">
        <f t="shared" ref="F4:F12" si="0">B4-(C4+D4+E4)</f>
        <v>5783</v>
      </c>
    </row>
    <row r="5" spans="1:6" ht="21.75" customHeight="1" x14ac:dyDescent="0.2">
      <c r="A5" s="221" t="s">
        <v>125</v>
      </c>
      <c r="B5" s="103">
        <f>'LBU DEAL'!H262</f>
        <v>23691187</v>
      </c>
      <c r="C5" s="103">
        <f>'LBU DEAL'!L262</f>
        <v>13393075.020000001</v>
      </c>
      <c r="D5" s="103">
        <f>'LBU DEAL'!O262</f>
        <v>1198815.3999999999</v>
      </c>
      <c r="E5" s="103">
        <f>'LBU DEAL'!P262</f>
        <v>9203278.4800000004</v>
      </c>
      <c r="F5" s="233">
        <f t="shared" si="0"/>
        <v>-103981.90000000224</v>
      </c>
    </row>
    <row r="6" spans="1:6" ht="21.75" customHeight="1" x14ac:dyDescent="0.2">
      <c r="A6" s="221" t="s">
        <v>126</v>
      </c>
      <c r="B6" s="103">
        <f>'FRAFU DEAL'!H133</f>
        <v>24001524.539999999</v>
      </c>
      <c r="C6" s="103">
        <f>'FRAFU DEAL'!L133</f>
        <v>12203276.630000001</v>
      </c>
      <c r="D6" s="103">
        <f>'FRAFU DEAL'!O133</f>
        <v>1193159.01</v>
      </c>
      <c r="E6" s="103">
        <f>'FRAFU DEAL'!P133</f>
        <v>10304171.748000002</v>
      </c>
      <c r="F6" s="233">
        <f t="shared" si="0"/>
        <v>300917.15199999511</v>
      </c>
    </row>
    <row r="7" spans="1:6" ht="21.75" customHeight="1" x14ac:dyDescent="0.2">
      <c r="A7" s="102" t="s">
        <v>104</v>
      </c>
      <c r="B7" s="103">
        <f>CAF!E38</f>
        <v>1210000</v>
      </c>
      <c r="C7" s="103">
        <f>CAF!I38</f>
        <v>629500</v>
      </c>
      <c r="D7" s="103">
        <f>CAF!L38</f>
        <v>33000</v>
      </c>
      <c r="E7" s="103">
        <f>CAF!M38</f>
        <v>547500</v>
      </c>
      <c r="F7" s="233">
        <f t="shared" si="0"/>
        <v>0</v>
      </c>
    </row>
    <row r="8" spans="1:6" ht="21.75" customHeight="1" x14ac:dyDescent="0.2">
      <c r="A8" s="102" t="s">
        <v>105</v>
      </c>
      <c r="B8" s="103">
        <f>FEDER!G14</f>
        <v>1712805.26</v>
      </c>
      <c r="C8" s="103">
        <f>FEDER!K14</f>
        <v>1492522.4</v>
      </c>
      <c r="D8" s="103">
        <f>FEDER!N14</f>
        <v>0</v>
      </c>
      <c r="E8" s="103">
        <f>FEDER!O14</f>
        <v>40066.929999999993</v>
      </c>
      <c r="F8" s="233">
        <f t="shared" si="0"/>
        <v>180215.93000000017</v>
      </c>
    </row>
    <row r="9" spans="1:6" ht="21.75" customHeight="1" x14ac:dyDescent="0.2">
      <c r="A9" s="102" t="s">
        <v>106</v>
      </c>
      <c r="B9" s="103">
        <f>DIECCTE!D10</f>
        <v>105248.64</v>
      </c>
      <c r="C9" s="103">
        <f>DIECCTE!H10</f>
        <v>0</v>
      </c>
      <c r="D9" s="103">
        <f>DIECCTE!K10</f>
        <v>38400</v>
      </c>
      <c r="E9" s="103">
        <f>DIECCTE!L10</f>
        <v>66848.639999999999</v>
      </c>
      <c r="F9" s="233">
        <f t="shared" si="0"/>
        <v>0</v>
      </c>
    </row>
    <row r="10" spans="1:6" ht="21.75" customHeight="1" x14ac:dyDescent="0.2">
      <c r="A10" s="102" t="s">
        <v>107</v>
      </c>
      <c r="B10" s="103">
        <f>REGION!G21</f>
        <v>1946182.42</v>
      </c>
      <c r="C10" s="103">
        <f>REGION!K21</f>
        <v>1516371.65</v>
      </c>
      <c r="D10" s="103">
        <f>REGION!N21</f>
        <v>105000</v>
      </c>
      <c r="E10" s="103">
        <f>REGION!O21</f>
        <v>144565.76000000001</v>
      </c>
      <c r="F10" s="233">
        <f t="shared" si="0"/>
        <v>180245.01</v>
      </c>
    </row>
    <row r="11" spans="1:6" ht="21.75" customHeight="1" x14ac:dyDescent="0.2">
      <c r="A11" s="104" t="s">
        <v>108</v>
      </c>
      <c r="B11" s="105">
        <f>TCO!E16</f>
        <v>500814.33231938235</v>
      </c>
      <c r="C11" s="105">
        <f>TCO!I16</f>
        <v>359788.59</v>
      </c>
      <c r="D11" s="105">
        <f>TCO!L16</f>
        <v>90808.98</v>
      </c>
      <c r="E11" s="105">
        <f>TCO!M16</f>
        <v>50211.41</v>
      </c>
      <c r="F11" s="233">
        <f t="shared" si="0"/>
        <v>5.3523193823639303</v>
      </c>
    </row>
    <row r="12" spans="1:6" x14ac:dyDescent="0.2">
      <c r="A12" s="107" t="s">
        <v>111</v>
      </c>
      <c r="B12" s="108">
        <f>SUM(B2:B11)</f>
        <v>59781182.902319379</v>
      </c>
      <c r="C12" s="108">
        <f t="shared" ref="C12:E12" si="1">SUM(C2:C11)</f>
        <v>33959759.220000006</v>
      </c>
      <c r="D12" s="108">
        <f t="shared" si="1"/>
        <v>4650660.92</v>
      </c>
      <c r="E12" s="108">
        <f t="shared" si="1"/>
        <v>20866502.458000004</v>
      </c>
      <c r="F12" s="222">
        <f t="shared" si="0"/>
        <v>304260.30431936681</v>
      </c>
    </row>
    <row r="14" spans="1:6" x14ac:dyDescent="0.2">
      <c r="E14" s="222">
        <v>26105888.269999996</v>
      </c>
      <c r="F14" t="s">
        <v>153</v>
      </c>
    </row>
    <row r="15" spans="1:6" x14ac:dyDescent="0.2">
      <c r="F15" s="285"/>
    </row>
    <row r="20" spans="4:4" x14ac:dyDescent="0.2">
      <c r="D20" s="28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R54"/>
  <sheetViews>
    <sheetView view="pageBreakPreview" zoomScaleNormal="70" zoomScaleSheetLayoutView="100" workbookViewId="0">
      <selection activeCell="I45" sqref="I45"/>
    </sheetView>
  </sheetViews>
  <sheetFormatPr baseColWidth="10" defaultColWidth="11.375" defaultRowHeight="12.25" x14ac:dyDescent="0.25"/>
  <cols>
    <col min="1" max="1" width="13.375" style="6" bestFit="1" customWidth="1"/>
    <col min="2" max="2" width="30.375" style="1" bestFit="1" customWidth="1"/>
    <col min="3" max="3" width="11.375" style="1" bestFit="1" customWidth="1"/>
    <col min="4" max="4" width="13.375" style="1" bestFit="1" customWidth="1"/>
    <col min="5" max="5" width="14.375" style="1" customWidth="1"/>
    <col min="6" max="6" width="4.125" style="6" bestFit="1" customWidth="1"/>
    <col min="7" max="7" width="10.375" style="1" bestFit="1" customWidth="1"/>
    <col min="8" max="8" width="13.375" style="1" customWidth="1"/>
    <col min="9" max="9" width="10.375" style="1" bestFit="1" customWidth="1"/>
    <col min="10" max="10" width="18.625" style="1" bestFit="1" customWidth="1"/>
    <col min="11" max="11" width="14.375" style="1" customWidth="1"/>
    <col min="12" max="13" width="14.375" style="1" bestFit="1" customWidth="1"/>
    <col min="14" max="14" width="14.25" style="1" customWidth="1"/>
    <col min="15" max="15" width="14.375" style="1" bestFit="1" customWidth="1"/>
    <col min="16" max="16" width="13.375" style="1" bestFit="1" customWidth="1"/>
    <col min="17" max="16384" width="11.375" style="1"/>
  </cols>
  <sheetData>
    <row r="1" spans="1:17" x14ac:dyDescent="0.25">
      <c r="O1" s="7" t="s">
        <v>25</v>
      </c>
      <c r="P1" s="8" t="s">
        <v>24</v>
      </c>
    </row>
    <row r="2" spans="1:17" x14ac:dyDescent="0.25">
      <c r="A2" s="510" t="s">
        <v>5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v>42155</v>
      </c>
      <c r="M2" s="9"/>
      <c r="P2" s="63">
        <v>2.9399999999999999E-2</v>
      </c>
    </row>
    <row r="4" spans="1:17" s="2" customFormat="1" x14ac:dyDescent="0.2">
      <c r="A4" s="511" t="s">
        <v>2</v>
      </c>
      <c r="B4" s="513" t="s">
        <v>0</v>
      </c>
      <c r="C4" s="513" t="s">
        <v>21</v>
      </c>
      <c r="D4" s="513" t="s">
        <v>12</v>
      </c>
      <c r="E4" s="507" t="s">
        <v>4</v>
      </c>
      <c r="F4" s="508"/>
      <c r="G4" s="508"/>
      <c r="H4" s="508"/>
      <c r="I4" s="508"/>
      <c r="J4" s="509"/>
      <c r="K4" s="515" t="s">
        <v>13</v>
      </c>
      <c r="L4" s="513"/>
      <c r="M4" s="3" t="s">
        <v>116</v>
      </c>
      <c r="P4" s="65">
        <v>41967</v>
      </c>
      <c r="Q4" s="65">
        <v>42185</v>
      </c>
    </row>
    <row r="5" spans="1:17" s="13" customFormat="1" ht="14.3" customHeight="1" x14ac:dyDescent="0.2">
      <c r="A5" s="512"/>
      <c r="B5" s="514"/>
      <c r="C5" s="514"/>
      <c r="D5" s="5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  <c r="M5" s="3"/>
    </row>
    <row r="6" spans="1:17" ht="13.75" customHeight="1" x14ac:dyDescent="0.25">
      <c r="A6" s="152" t="s">
        <v>7</v>
      </c>
      <c r="B6" s="153" t="s">
        <v>16</v>
      </c>
      <c r="C6" s="154">
        <v>40870</v>
      </c>
      <c r="D6" s="161">
        <f>341529.23+0.02</f>
        <v>341529.25</v>
      </c>
      <c r="E6" s="156"/>
      <c r="F6" s="157"/>
      <c r="G6" s="158"/>
      <c r="H6" s="159">
        <f>SUM(H7:H11)</f>
        <v>273223.40000000002</v>
      </c>
      <c r="I6" s="160"/>
      <c r="J6" s="158"/>
      <c r="K6" s="161">
        <f>SUM(K7:K11)</f>
        <v>68305.850000000006</v>
      </c>
      <c r="L6" s="161">
        <f>SUM(L7:L11)</f>
        <v>0</v>
      </c>
      <c r="M6" s="161"/>
      <c r="N6" s="201">
        <f>D6-(H6+K6+L6)</f>
        <v>0</v>
      </c>
    </row>
    <row r="7" spans="1:17" s="26" customFormat="1" ht="13.75" customHeight="1" x14ac:dyDescent="0.25">
      <c r="A7" s="47" t="s">
        <v>7</v>
      </c>
      <c r="B7" s="4"/>
      <c r="C7" s="15"/>
      <c r="D7" s="22"/>
      <c r="E7" s="23">
        <v>68305.850000000006</v>
      </c>
      <c r="F7" s="43">
        <v>1</v>
      </c>
      <c r="G7" s="15">
        <v>40968</v>
      </c>
      <c r="H7" s="24">
        <v>68305.850000000006</v>
      </c>
      <c r="I7" s="31">
        <v>42051</v>
      </c>
      <c r="J7" s="4">
        <f>$L$2-G7</f>
        <v>1187</v>
      </c>
      <c r="K7" s="16">
        <f>E7-H7</f>
        <v>0</v>
      </c>
      <c r="L7" s="16" t="str">
        <f t="shared" ref="L7:L36" si="0">IF(G7="",E7,"")</f>
        <v/>
      </c>
      <c r="M7" s="16"/>
      <c r="O7" s="27">
        <f t="shared" ref="O7:O12" si="1">K7</f>
        <v>0</v>
      </c>
      <c r="P7" s="27">
        <f>O7*$P$2*J7/365</f>
        <v>0</v>
      </c>
    </row>
    <row r="8" spans="1:17" s="26" customFormat="1" ht="13.75" customHeight="1" x14ac:dyDescent="0.25">
      <c r="A8" s="47" t="s">
        <v>7</v>
      </c>
      <c r="B8" s="4"/>
      <c r="C8" s="15"/>
      <c r="D8" s="22"/>
      <c r="E8" s="23">
        <v>68305.850000000006</v>
      </c>
      <c r="F8" s="43">
        <v>2</v>
      </c>
      <c r="G8" s="15">
        <v>41040</v>
      </c>
      <c r="H8" s="24">
        <v>68305.850000000006</v>
      </c>
      <c r="I8" s="31">
        <v>42051</v>
      </c>
      <c r="J8" s="4">
        <f>$L$2-G8</f>
        <v>1115</v>
      </c>
      <c r="K8" s="16">
        <f>E8-H8</f>
        <v>0</v>
      </c>
      <c r="L8" s="16" t="str">
        <f t="shared" si="0"/>
        <v/>
      </c>
      <c r="M8" s="16"/>
      <c r="O8" s="27">
        <f t="shared" si="1"/>
        <v>0</v>
      </c>
      <c r="P8" s="27">
        <f t="shared" ref="P8:P11" si="2">O8*$P$2*J8/365</f>
        <v>0</v>
      </c>
    </row>
    <row r="9" spans="1:17" s="26" customFormat="1" ht="13.75" customHeight="1" x14ac:dyDescent="0.25">
      <c r="A9" s="47" t="s">
        <v>7</v>
      </c>
      <c r="B9" s="4"/>
      <c r="C9" s="15"/>
      <c r="D9" s="22"/>
      <c r="E9" s="23">
        <v>68305.850000000006</v>
      </c>
      <c r="F9" s="43">
        <v>3</v>
      </c>
      <c r="G9" s="15">
        <v>41134</v>
      </c>
      <c r="H9" s="24">
        <v>68305.850000000006</v>
      </c>
      <c r="I9" s="31">
        <v>42051</v>
      </c>
      <c r="J9" s="4">
        <f>$L$2-G9</f>
        <v>1021</v>
      </c>
      <c r="K9" s="16">
        <f>E9-H9</f>
        <v>0</v>
      </c>
      <c r="L9" s="16" t="str">
        <f t="shared" si="0"/>
        <v/>
      </c>
      <c r="M9" s="16"/>
      <c r="O9" s="27">
        <f t="shared" si="1"/>
        <v>0</v>
      </c>
      <c r="P9" s="27">
        <f t="shared" si="2"/>
        <v>0</v>
      </c>
    </row>
    <row r="10" spans="1:17" s="26" customFormat="1" ht="14.3" customHeight="1" x14ac:dyDescent="0.25">
      <c r="A10" s="47" t="s">
        <v>7</v>
      </c>
      <c r="B10" s="4"/>
      <c r="C10" s="15"/>
      <c r="D10" s="22"/>
      <c r="E10" s="23">
        <v>68305.850000000006</v>
      </c>
      <c r="F10" s="43">
        <v>4</v>
      </c>
      <c r="G10" s="15">
        <v>41192</v>
      </c>
      <c r="H10" s="24">
        <v>68305.850000000006</v>
      </c>
      <c r="I10" s="31">
        <v>42051</v>
      </c>
      <c r="J10" s="4">
        <f>$L$2-G10</f>
        <v>963</v>
      </c>
      <c r="K10" s="16">
        <f>E10-H10</f>
        <v>0</v>
      </c>
      <c r="L10" s="16" t="str">
        <f t="shared" si="0"/>
        <v/>
      </c>
      <c r="M10" s="16"/>
      <c r="O10" s="27">
        <f t="shared" si="1"/>
        <v>0</v>
      </c>
      <c r="P10" s="27">
        <f t="shared" si="2"/>
        <v>0</v>
      </c>
    </row>
    <row r="11" spans="1:17" s="26" customFormat="1" ht="14.3" customHeight="1" x14ac:dyDescent="0.25">
      <c r="A11" s="151" t="s">
        <v>7</v>
      </c>
      <c r="B11" s="33"/>
      <c r="C11" s="34"/>
      <c r="D11" s="223"/>
      <c r="E11" s="36">
        <v>68305.850000000006</v>
      </c>
      <c r="F11" s="45">
        <v>5</v>
      </c>
      <c r="G11" s="37">
        <v>42037</v>
      </c>
      <c r="H11" s="188" t="s">
        <v>113</v>
      </c>
      <c r="I11" s="39"/>
      <c r="J11" s="40">
        <f>$L$2-G11</f>
        <v>118</v>
      </c>
      <c r="K11" s="41">
        <f>E11</f>
        <v>68305.850000000006</v>
      </c>
      <c r="L11" s="41" t="str">
        <f t="shared" si="0"/>
        <v/>
      </c>
      <c r="M11" s="41"/>
      <c r="O11" s="27">
        <f t="shared" si="1"/>
        <v>68305.850000000006</v>
      </c>
      <c r="P11" s="26">
        <f t="shared" si="2"/>
        <v>649.22371183561643</v>
      </c>
    </row>
    <row r="12" spans="1:17" ht="14.3" customHeight="1" x14ac:dyDescent="0.25">
      <c r="A12" s="162" t="s">
        <v>11</v>
      </c>
      <c r="B12" s="163" t="s">
        <v>16</v>
      </c>
      <c r="C12" s="164">
        <v>40984</v>
      </c>
      <c r="D12" s="170">
        <f>119894.04+0.01</f>
        <v>119894.04999999999</v>
      </c>
      <c r="E12" s="165"/>
      <c r="F12" s="166"/>
      <c r="G12" s="167"/>
      <c r="H12" s="168">
        <f>SUM(H13:H17)</f>
        <v>95915.24</v>
      </c>
      <c r="I12" s="169"/>
      <c r="J12" s="167"/>
      <c r="K12" s="170">
        <f>SUM(K13:K17)</f>
        <v>23978.81</v>
      </c>
      <c r="L12" s="170">
        <f>SUM(L13:L17)</f>
        <v>0</v>
      </c>
      <c r="M12" s="170"/>
      <c r="N12" s="201">
        <f>D12-(H12+K12+L12)</f>
        <v>0</v>
      </c>
      <c r="O12" s="1">
        <f t="shared" si="1"/>
        <v>23978.81</v>
      </c>
    </row>
    <row r="13" spans="1:17" x14ac:dyDescent="0.25">
      <c r="A13" s="47" t="s">
        <v>11</v>
      </c>
      <c r="B13" s="4"/>
      <c r="C13" s="15"/>
      <c r="D13" s="22"/>
      <c r="E13" s="23">
        <v>23978.81</v>
      </c>
      <c r="F13" s="43">
        <v>1</v>
      </c>
      <c r="G13" s="15">
        <v>40989</v>
      </c>
      <c r="H13" s="24">
        <v>23978.81</v>
      </c>
      <c r="I13" s="31">
        <v>41059</v>
      </c>
      <c r="J13" s="4">
        <f>I13-G13</f>
        <v>70</v>
      </c>
      <c r="K13" s="16">
        <f>E13-H13</f>
        <v>0</v>
      </c>
      <c r="L13" s="16" t="str">
        <f t="shared" si="0"/>
        <v/>
      </c>
      <c r="M13" s="16"/>
      <c r="O13" s="27">
        <f>E13</f>
        <v>23978.81</v>
      </c>
      <c r="P13" s="27">
        <f>O13*$P$2*J13/365</f>
        <v>135.2010711780822</v>
      </c>
    </row>
    <row r="14" spans="1:17" ht="14.3" customHeight="1" x14ac:dyDescent="0.25">
      <c r="A14" s="47" t="s">
        <v>11</v>
      </c>
      <c r="B14" s="4"/>
      <c r="C14" s="15"/>
      <c r="D14" s="22"/>
      <c r="E14" s="23">
        <v>23978.81</v>
      </c>
      <c r="F14" s="43">
        <v>2</v>
      </c>
      <c r="G14" s="15">
        <v>41040</v>
      </c>
      <c r="H14" s="24">
        <v>23978.81</v>
      </c>
      <c r="I14" s="31">
        <v>41652</v>
      </c>
      <c r="J14" s="4">
        <f>I14-G14</f>
        <v>612</v>
      </c>
      <c r="K14" s="16">
        <f>E14-H14</f>
        <v>0</v>
      </c>
      <c r="L14" s="16" t="str">
        <f t="shared" si="0"/>
        <v/>
      </c>
      <c r="M14" s="16"/>
      <c r="O14" s="27">
        <f t="shared" ref="O14:O16" si="3">E14</f>
        <v>23978.81</v>
      </c>
      <c r="P14" s="27">
        <f t="shared" ref="P14:P16" si="4">O14*$P$2*J14/365</f>
        <v>1182.043650871233</v>
      </c>
    </row>
    <row r="15" spans="1:17" ht="14.3" customHeight="1" x14ac:dyDescent="0.25">
      <c r="A15" s="47" t="s">
        <v>11</v>
      </c>
      <c r="B15" s="4"/>
      <c r="C15" s="15"/>
      <c r="D15" s="22"/>
      <c r="E15" s="23">
        <v>23978.81</v>
      </c>
      <c r="F15" s="43">
        <v>3</v>
      </c>
      <c r="G15" s="15">
        <v>41134</v>
      </c>
      <c r="H15" s="24">
        <v>23978.81</v>
      </c>
      <c r="I15" s="31">
        <v>41652</v>
      </c>
      <c r="J15" s="4">
        <f>I15-G15</f>
        <v>518</v>
      </c>
      <c r="K15" s="16">
        <f>E15-H15</f>
        <v>0</v>
      </c>
      <c r="L15" s="16" t="str">
        <f t="shared" si="0"/>
        <v/>
      </c>
      <c r="M15" s="16"/>
      <c r="O15" s="27">
        <f t="shared" si="3"/>
        <v>23978.81</v>
      </c>
      <c r="P15" s="27">
        <f t="shared" si="4"/>
        <v>1000.4879267178084</v>
      </c>
    </row>
    <row r="16" spans="1:17" ht="14.3" customHeight="1" x14ac:dyDescent="0.25">
      <c r="A16" s="47" t="s">
        <v>11</v>
      </c>
      <c r="B16" s="4"/>
      <c r="C16" s="15"/>
      <c r="D16" s="22"/>
      <c r="E16" s="23">
        <v>23978.81</v>
      </c>
      <c r="F16" s="43">
        <v>4</v>
      </c>
      <c r="G16" s="15">
        <v>41192</v>
      </c>
      <c r="H16" s="24">
        <v>23978.81</v>
      </c>
      <c r="I16" s="31">
        <v>41652</v>
      </c>
      <c r="J16" s="4">
        <f>I16-G16</f>
        <v>460</v>
      </c>
      <c r="K16" s="16">
        <f>E16-H16</f>
        <v>0</v>
      </c>
      <c r="L16" s="16" t="str">
        <f t="shared" si="0"/>
        <v/>
      </c>
      <c r="M16" s="16"/>
      <c r="O16" s="27">
        <f t="shared" si="3"/>
        <v>23978.81</v>
      </c>
      <c r="P16" s="27">
        <f t="shared" si="4"/>
        <v>888.46418202739733</v>
      </c>
    </row>
    <row r="17" spans="1:16" s="26" customFormat="1" ht="14.3" customHeight="1" x14ac:dyDescent="0.25">
      <c r="A17" s="47" t="s">
        <v>11</v>
      </c>
      <c r="B17" s="28"/>
      <c r="C17" s="29"/>
      <c r="D17" s="224"/>
      <c r="E17" s="23">
        <v>23978.81</v>
      </c>
      <c r="F17" s="43">
        <v>5</v>
      </c>
      <c r="G17" s="15">
        <v>42037</v>
      </c>
      <c r="H17" s="137" t="s">
        <v>113</v>
      </c>
      <c r="I17" s="25"/>
      <c r="J17" s="4"/>
      <c r="K17" s="16">
        <f>E17</f>
        <v>23978.81</v>
      </c>
      <c r="L17" s="16" t="str">
        <f t="shared" si="0"/>
        <v/>
      </c>
      <c r="M17" s="16"/>
      <c r="O17" s="27"/>
    </row>
    <row r="18" spans="1:16" ht="14.3" customHeight="1" x14ac:dyDescent="0.25">
      <c r="A18" s="152" t="s">
        <v>8</v>
      </c>
      <c r="B18" s="158" t="s">
        <v>17</v>
      </c>
      <c r="C18" s="154">
        <v>41145</v>
      </c>
      <c r="D18" s="161">
        <f>150077.39+0.01</f>
        <v>150077.40000000002</v>
      </c>
      <c r="E18" s="156"/>
      <c r="F18" s="171"/>
      <c r="G18" s="158"/>
      <c r="H18" s="159">
        <f>SUM(H19:H23)</f>
        <v>120061.92</v>
      </c>
      <c r="I18" s="160"/>
      <c r="J18" s="158"/>
      <c r="K18" s="161">
        <f>SUM(K19:K23)</f>
        <v>0</v>
      </c>
      <c r="L18" s="161">
        <f>SUM(L19:L23)</f>
        <v>30015.48</v>
      </c>
      <c r="M18" s="161"/>
      <c r="N18" s="201">
        <f>D18-(H18+K18+L18)</f>
        <v>0</v>
      </c>
    </row>
    <row r="19" spans="1:16" s="26" customFormat="1" ht="14.3" customHeight="1" x14ac:dyDescent="0.25">
      <c r="A19" s="47" t="s">
        <v>8</v>
      </c>
      <c r="B19" s="4"/>
      <c r="C19" s="15"/>
      <c r="D19" s="22"/>
      <c r="E19" s="23">
        <v>30015.48</v>
      </c>
      <c r="F19" s="43">
        <v>1</v>
      </c>
      <c r="G19" s="15">
        <v>41317</v>
      </c>
      <c r="H19" s="24">
        <v>30015.48</v>
      </c>
      <c r="I19" s="31">
        <v>42073</v>
      </c>
      <c r="J19" s="4">
        <f>I19-G19</f>
        <v>756</v>
      </c>
      <c r="K19" s="16">
        <f t="shared" ref="K19:K22" si="5">E19-H19</f>
        <v>0</v>
      </c>
      <c r="L19" s="16" t="str">
        <f t="shared" si="0"/>
        <v/>
      </c>
      <c r="M19" s="16"/>
      <c r="O19" s="27">
        <f t="shared" ref="O19:O23" si="6">K19</f>
        <v>0</v>
      </c>
      <c r="P19" s="27">
        <f t="shared" ref="P19:P22" si="7">O19*$P$2*J19/365</f>
        <v>0</v>
      </c>
    </row>
    <row r="20" spans="1:16" s="26" customFormat="1" ht="14.3" customHeight="1" x14ac:dyDescent="0.25">
      <c r="A20" s="47" t="s">
        <v>8</v>
      </c>
      <c r="B20" s="4"/>
      <c r="C20" s="15"/>
      <c r="D20" s="22"/>
      <c r="E20" s="23">
        <v>30015.48</v>
      </c>
      <c r="F20" s="43">
        <v>2</v>
      </c>
      <c r="G20" s="15">
        <v>41387</v>
      </c>
      <c r="H20" s="24">
        <v>30015.48</v>
      </c>
      <c r="I20" s="31">
        <v>42073</v>
      </c>
      <c r="J20" s="4">
        <f>I20-G20</f>
        <v>686</v>
      </c>
      <c r="K20" s="16">
        <f t="shared" si="5"/>
        <v>0</v>
      </c>
      <c r="L20" s="16" t="str">
        <f t="shared" si="0"/>
        <v/>
      </c>
      <c r="M20" s="16"/>
      <c r="O20" s="27">
        <f t="shared" si="6"/>
        <v>0</v>
      </c>
      <c r="P20" s="27">
        <f t="shared" si="7"/>
        <v>0</v>
      </c>
    </row>
    <row r="21" spans="1:16" s="26" customFormat="1" ht="14.3" customHeight="1" x14ac:dyDescent="0.25">
      <c r="A21" s="47" t="s">
        <v>8</v>
      </c>
      <c r="B21" s="4"/>
      <c r="C21" s="15"/>
      <c r="D21" s="22"/>
      <c r="E21" s="23">
        <v>30015.48</v>
      </c>
      <c r="F21" s="43">
        <v>3</v>
      </c>
      <c r="G21" s="15">
        <v>41423</v>
      </c>
      <c r="H21" s="24">
        <v>30015.48</v>
      </c>
      <c r="I21" s="31">
        <v>42073</v>
      </c>
      <c r="J21" s="4">
        <f>I21-G21</f>
        <v>650</v>
      </c>
      <c r="K21" s="16">
        <f t="shared" si="5"/>
        <v>0</v>
      </c>
      <c r="L21" s="16" t="str">
        <f t="shared" si="0"/>
        <v/>
      </c>
      <c r="M21" s="16"/>
      <c r="O21" s="27">
        <f t="shared" si="6"/>
        <v>0</v>
      </c>
      <c r="P21" s="27">
        <f t="shared" si="7"/>
        <v>0</v>
      </c>
    </row>
    <row r="22" spans="1:16" s="26" customFormat="1" ht="14.3" customHeight="1" x14ac:dyDescent="0.25">
      <c r="A22" s="47" t="s">
        <v>8</v>
      </c>
      <c r="B22" s="4"/>
      <c r="C22" s="15"/>
      <c r="D22" s="22"/>
      <c r="E22" s="23">
        <v>30015.48</v>
      </c>
      <c r="F22" s="43">
        <v>4</v>
      </c>
      <c r="G22" s="15">
        <v>41466</v>
      </c>
      <c r="H22" s="24">
        <v>30015.48</v>
      </c>
      <c r="I22" s="31">
        <v>42073</v>
      </c>
      <c r="J22" s="4">
        <f>I22-G22</f>
        <v>607</v>
      </c>
      <c r="K22" s="16">
        <f t="shared" si="5"/>
        <v>0</v>
      </c>
      <c r="L22" s="16" t="str">
        <f t="shared" si="0"/>
        <v/>
      </c>
      <c r="M22" s="16"/>
      <c r="O22" s="27">
        <f t="shared" si="6"/>
        <v>0</v>
      </c>
      <c r="P22" s="27">
        <f t="shared" si="7"/>
        <v>0</v>
      </c>
    </row>
    <row r="23" spans="1:16" s="32" customFormat="1" ht="14.3" customHeight="1" x14ac:dyDescent="0.25">
      <c r="A23" s="151" t="s">
        <v>8</v>
      </c>
      <c r="B23" s="33"/>
      <c r="C23" s="34"/>
      <c r="D23" s="223"/>
      <c r="E23" s="36">
        <v>30015.48</v>
      </c>
      <c r="F23" s="45">
        <v>5</v>
      </c>
      <c r="G23" s="40"/>
      <c r="H23" s="38"/>
      <c r="I23" s="39"/>
      <c r="J23" s="40"/>
      <c r="K23" s="41"/>
      <c r="L23" s="41">
        <f t="shared" si="0"/>
        <v>30015.48</v>
      </c>
      <c r="M23" s="41"/>
      <c r="O23" s="27">
        <f t="shared" si="6"/>
        <v>0</v>
      </c>
    </row>
    <row r="24" spans="1:16" ht="14.3" customHeight="1" x14ac:dyDescent="0.25">
      <c r="A24" s="162" t="s">
        <v>154</v>
      </c>
      <c r="B24" s="167" t="s">
        <v>6</v>
      </c>
      <c r="C24" s="164">
        <v>41145</v>
      </c>
      <c r="D24" s="170">
        <v>114200</v>
      </c>
      <c r="E24" s="172"/>
      <c r="F24" s="173"/>
      <c r="G24" s="172"/>
      <c r="H24" s="165">
        <f>SUM(H25)</f>
        <v>114200</v>
      </c>
      <c r="I24" s="169"/>
      <c r="J24" s="172"/>
      <c r="K24" s="165">
        <f>SUM(K25)</f>
        <v>0</v>
      </c>
      <c r="L24" s="165">
        <f>SUM(L25)</f>
        <v>0</v>
      </c>
      <c r="M24" s="174"/>
      <c r="N24" s="201">
        <f>D24-(H24+K24+L24)</f>
        <v>0</v>
      </c>
      <c r="O24" s="27">
        <f>K25</f>
        <v>0</v>
      </c>
      <c r="P24" s="27">
        <f>O24*$P$2*J25/365</f>
        <v>0</v>
      </c>
    </row>
    <row r="25" spans="1:16" ht="14.3" customHeight="1" x14ac:dyDescent="0.25">
      <c r="A25" s="47" t="s">
        <v>154</v>
      </c>
      <c r="B25" s="4"/>
      <c r="C25" s="15"/>
      <c r="D25" s="22"/>
      <c r="E25" s="23">
        <v>114200</v>
      </c>
      <c r="F25" s="43">
        <v>1</v>
      </c>
      <c r="G25" s="15">
        <v>41554</v>
      </c>
      <c r="H25" s="24">
        <v>114200</v>
      </c>
      <c r="I25" s="87">
        <v>42234</v>
      </c>
      <c r="J25" s="4">
        <f>$L$2-G25</f>
        <v>601</v>
      </c>
      <c r="K25" s="16">
        <f>E25-H24</f>
        <v>0</v>
      </c>
      <c r="L25" s="22" t="str">
        <f t="shared" si="0"/>
        <v/>
      </c>
      <c r="M25" s="22"/>
    </row>
    <row r="26" spans="1:16" ht="14.3" customHeight="1" x14ac:dyDescent="0.25">
      <c r="A26" s="152" t="s">
        <v>9</v>
      </c>
      <c r="B26" s="153" t="s">
        <v>16</v>
      </c>
      <c r="C26" s="154">
        <v>41047</v>
      </c>
      <c r="D26" s="161">
        <f>184958.11+0.04</f>
        <v>184958.15</v>
      </c>
      <c r="E26" s="156"/>
      <c r="F26" s="171"/>
      <c r="G26" s="158"/>
      <c r="H26" s="159">
        <f>SUM(H27:H31)</f>
        <v>0</v>
      </c>
      <c r="I26" s="160"/>
      <c r="J26" s="158"/>
      <c r="K26" s="161">
        <f>SUM(K27:K31)</f>
        <v>147966.51999999999</v>
      </c>
      <c r="L26" s="161">
        <f>SUM(L27:L31)</f>
        <v>36991.629999999997</v>
      </c>
      <c r="M26" s="161"/>
      <c r="N26" s="201">
        <f>D26-(H26+K26+L26)</f>
        <v>0</v>
      </c>
    </row>
    <row r="27" spans="1:16" s="26" customFormat="1" ht="14.3" customHeight="1" x14ac:dyDescent="0.25">
      <c r="A27" s="47" t="s">
        <v>9</v>
      </c>
      <c r="B27" s="4"/>
      <c r="C27" s="15"/>
      <c r="D27" s="22"/>
      <c r="E27" s="23">
        <v>36991.629999999997</v>
      </c>
      <c r="F27" s="43">
        <v>1</v>
      </c>
      <c r="G27" s="15">
        <v>41715</v>
      </c>
      <c r="H27" s="137" t="s">
        <v>113</v>
      </c>
      <c r="I27" s="25"/>
      <c r="J27" s="4">
        <f>$L$2-G27</f>
        <v>440</v>
      </c>
      <c r="K27" s="16">
        <f>E27</f>
        <v>36991.629999999997</v>
      </c>
      <c r="L27" s="16" t="str">
        <f t="shared" si="0"/>
        <v/>
      </c>
      <c r="M27" s="16"/>
      <c r="O27" s="27">
        <f t="shared" ref="O27:O30" si="8">K27</f>
        <v>36991.629999999997</v>
      </c>
      <c r="P27" s="27">
        <f t="shared" ref="P27:P30" si="9">O27*$P$2*J27/365</f>
        <v>1311.0239059726025</v>
      </c>
    </row>
    <row r="28" spans="1:16" s="26" customFormat="1" ht="14.3" customHeight="1" x14ac:dyDescent="0.25">
      <c r="A28" s="47" t="s">
        <v>9</v>
      </c>
      <c r="B28" s="4"/>
      <c r="C28" s="15"/>
      <c r="D28" s="22"/>
      <c r="E28" s="23">
        <v>36991.629999999997</v>
      </c>
      <c r="F28" s="43">
        <v>2</v>
      </c>
      <c r="G28" s="15">
        <v>41715</v>
      </c>
      <c r="H28" s="137" t="s">
        <v>113</v>
      </c>
      <c r="I28" s="25"/>
      <c r="J28" s="4">
        <f>$L$2-G28</f>
        <v>440</v>
      </c>
      <c r="K28" s="16">
        <f>E28</f>
        <v>36991.629999999997</v>
      </c>
      <c r="L28" s="16" t="str">
        <f t="shared" si="0"/>
        <v/>
      </c>
      <c r="M28" s="16"/>
      <c r="O28" s="27">
        <f t="shared" si="8"/>
        <v>36991.629999999997</v>
      </c>
      <c r="P28" s="27">
        <f t="shared" si="9"/>
        <v>1311.0239059726025</v>
      </c>
    </row>
    <row r="29" spans="1:16" s="26" customFormat="1" ht="14.3" customHeight="1" x14ac:dyDescent="0.25">
      <c r="A29" s="47" t="s">
        <v>9</v>
      </c>
      <c r="B29" s="4"/>
      <c r="C29" s="15"/>
      <c r="D29" s="22"/>
      <c r="E29" s="23">
        <v>36991.629999999997</v>
      </c>
      <c r="F29" s="43">
        <v>3</v>
      </c>
      <c r="G29" s="15">
        <v>41715</v>
      </c>
      <c r="H29" s="137" t="s">
        <v>113</v>
      </c>
      <c r="I29" s="25"/>
      <c r="J29" s="4">
        <f>$L$2-G29</f>
        <v>440</v>
      </c>
      <c r="K29" s="16">
        <f>E29</f>
        <v>36991.629999999997</v>
      </c>
      <c r="L29" s="16" t="str">
        <f t="shared" si="0"/>
        <v/>
      </c>
      <c r="M29" s="16"/>
      <c r="O29" s="27">
        <f t="shared" si="8"/>
        <v>36991.629999999997</v>
      </c>
      <c r="P29" s="27">
        <f t="shared" si="9"/>
        <v>1311.0239059726025</v>
      </c>
    </row>
    <row r="30" spans="1:16" s="26" customFormat="1" ht="14.3" customHeight="1" x14ac:dyDescent="0.25">
      <c r="A30" s="47" t="s">
        <v>9</v>
      </c>
      <c r="B30" s="4"/>
      <c r="C30" s="15"/>
      <c r="D30" s="22"/>
      <c r="E30" s="23">
        <v>36991.629999999997</v>
      </c>
      <c r="F30" s="43">
        <v>4</v>
      </c>
      <c r="G30" s="15">
        <v>41715</v>
      </c>
      <c r="H30" s="137" t="s">
        <v>113</v>
      </c>
      <c r="I30" s="25"/>
      <c r="J30" s="4">
        <f>$L$2-G30</f>
        <v>440</v>
      </c>
      <c r="K30" s="16">
        <f>E30</f>
        <v>36991.629999999997</v>
      </c>
      <c r="L30" s="16" t="str">
        <f t="shared" si="0"/>
        <v/>
      </c>
      <c r="M30" s="16"/>
      <c r="O30" s="27">
        <f t="shared" si="8"/>
        <v>36991.629999999997</v>
      </c>
      <c r="P30" s="27">
        <f t="shared" si="9"/>
        <v>1311.0239059726025</v>
      </c>
    </row>
    <row r="31" spans="1:16" s="32" customFormat="1" ht="14.3" customHeight="1" x14ac:dyDescent="0.25">
      <c r="A31" s="151" t="s">
        <v>9</v>
      </c>
      <c r="B31" s="33"/>
      <c r="C31" s="34"/>
      <c r="D31" s="223"/>
      <c r="E31" s="36">
        <v>36991.629999999997</v>
      </c>
      <c r="F31" s="45">
        <v>5</v>
      </c>
      <c r="G31" s="37"/>
      <c r="H31" s="38"/>
      <c r="I31" s="39"/>
      <c r="J31" s="40"/>
      <c r="K31" s="41"/>
      <c r="L31" s="41">
        <f t="shared" si="0"/>
        <v>36991.629999999997</v>
      </c>
      <c r="M31" s="41"/>
    </row>
    <row r="32" spans="1:16" ht="14.3" customHeight="1" x14ac:dyDescent="0.25">
      <c r="A32" s="162" t="s">
        <v>10</v>
      </c>
      <c r="B32" s="163" t="s">
        <v>17</v>
      </c>
      <c r="C32" s="164">
        <v>41150</v>
      </c>
      <c r="D32" s="170">
        <f>206916.91+0.04</f>
        <v>206916.95</v>
      </c>
      <c r="E32" s="165"/>
      <c r="F32" s="166"/>
      <c r="G32" s="167"/>
      <c r="H32" s="168">
        <f>SUM(H33:H37)</f>
        <v>0</v>
      </c>
      <c r="I32" s="169"/>
      <c r="J32" s="167"/>
      <c r="K32" s="170">
        <f>SUM(K33:K37)</f>
        <v>165533.56</v>
      </c>
      <c r="L32" s="170">
        <f>SUM(L33:L37)</f>
        <v>41383.39</v>
      </c>
      <c r="M32" s="170"/>
      <c r="N32" s="201">
        <f>D32-(H32+K32+L32)</f>
        <v>0</v>
      </c>
    </row>
    <row r="33" spans="1:18" s="26" customFormat="1" ht="14.3" customHeight="1" x14ac:dyDescent="0.25">
      <c r="A33" s="47" t="s">
        <v>10</v>
      </c>
      <c r="B33" s="4"/>
      <c r="C33" s="15"/>
      <c r="D33" s="16"/>
      <c r="E33" s="23">
        <v>41383.39</v>
      </c>
      <c r="F33" s="43">
        <v>1</v>
      </c>
      <c r="G33" s="15">
        <v>41561</v>
      </c>
      <c r="H33" s="137" t="s">
        <v>113</v>
      </c>
      <c r="I33" s="25"/>
      <c r="J33" s="4">
        <f>$L$2-G33</f>
        <v>594</v>
      </c>
      <c r="K33" s="16">
        <f>E33</f>
        <v>41383.39</v>
      </c>
      <c r="L33" s="16" t="str">
        <f t="shared" si="0"/>
        <v/>
      </c>
      <c r="M33" s="16"/>
      <c r="O33" s="27">
        <f t="shared" ref="O33:O36" si="10">K33</f>
        <v>41383.39</v>
      </c>
      <c r="P33" s="27">
        <f t="shared" ref="P33:P36" si="11">O33*$P$2*J33/365</f>
        <v>1980.0081359013698</v>
      </c>
    </row>
    <row r="34" spans="1:18" s="26" customFormat="1" ht="14.3" customHeight="1" x14ac:dyDescent="0.25">
      <c r="A34" s="47" t="s">
        <v>10</v>
      </c>
      <c r="B34" s="4"/>
      <c r="C34" s="15"/>
      <c r="D34" s="16"/>
      <c r="E34" s="23">
        <v>41383.39</v>
      </c>
      <c r="F34" s="43">
        <v>2</v>
      </c>
      <c r="G34" s="15">
        <v>41561</v>
      </c>
      <c r="H34" s="137" t="s">
        <v>113</v>
      </c>
      <c r="I34" s="25"/>
      <c r="J34" s="4">
        <f>$L$2-G34</f>
        <v>594</v>
      </c>
      <c r="K34" s="16">
        <f t="shared" ref="K34:K36" si="12">E34</f>
        <v>41383.39</v>
      </c>
      <c r="L34" s="16" t="str">
        <f t="shared" si="0"/>
        <v/>
      </c>
      <c r="M34" s="16"/>
      <c r="O34" s="27">
        <f t="shared" si="10"/>
        <v>41383.39</v>
      </c>
      <c r="P34" s="27">
        <f t="shared" si="11"/>
        <v>1980.0081359013698</v>
      </c>
    </row>
    <row r="35" spans="1:18" s="26" customFormat="1" ht="14.3" customHeight="1" x14ac:dyDescent="0.25">
      <c r="A35" s="47" t="s">
        <v>10</v>
      </c>
      <c r="B35" s="4"/>
      <c r="C35" s="15"/>
      <c r="D35" s="16"/>
      <c r="E35" s="23">
        <v>41383.39</v>
      </c>
      <c r="F35" s="43">
        <v>3</v>
      </c>
      <c r="G35" s="15">
        <v>41582</v>
      </c>
      <c r="H35" s="137" t="s">
        <v>113</v>
      </c>
      <c r="I35" s="25"/>
      <c r="J35" s="4">
        <f>$L$2-G35</f>
        <v>573</v>
      </c>
      <c r="K35" s="16">
        <f t="shared" si="12"/>
        <v>41383.39</v>
      </c>
      <c r="L35" s="16" t="str">
        <f t="shared" si="0"/>
        <v/>
      </c>
      <c r="M35" s="16"/>
      <c r="O35" s="27">
        <f t="shared" si="10"/>
        <v>41383.39</v>
      </c>
      <c r="P35" s="27">
        <f t="shared" si="11"/>
        <v>1910.007848268493</v>
      </c>
    </row>
    <row r="36" spans="1:18" s="26" customFormat="1" ht="14.3" customHeight="1" x14ac:dyDescent="0.25">
      <c r="A36" s="47" t="s">
        <v>10</v>
      </c>
      <c r="B36" s="4"/>
      <c r="C36" s="15"/>
      <c r="D36" s="16"/>
      <c r="E36" s="23">
        <v>41383.39</v>
      </c>
      <c r="F36" s="43">
        <v>4</v>
      </c>
      <c r="G36" s="15">
        <v>41646</v>
      </c>
      <c r="H36" s="137" t="s">
        <v>113</v>
      </c>
      <c r="I36" s="25"/>
      <c r="J36" s="4">
        <f>$L$2-G36</f>
        <v>509</v>
      </c>
      <c r="K36" s="16">
        <f t="shared" si="12"/>
        <v>41383.39</v>
      </c>
      <c r="L36" s="16" t="str">
        <f t="shared" si="0"/>
        <v/>
      </c>
      <c r="M36" s="16"/>
      <c r="O36" s="27">
        <f t="shared" si="10"/>
        <v>41383.39</v>
      </c>
      <c r="P36" s="27">
        <f t="shared" si="11"/>
        <v>1696.673638339726</v>
      </c>
    </row>
    <row r="37" spans="1:18" s="5" customFormat="1" x14ac:dyDescent="0.25">
      <c r="A37" s="151" t="s">
        <v>10</v>
      </c>
      <c r="B37" s="33"/>
      <c r="C37" s="34"/>
      <c r="D37" s="35"/>
      <c r="E37" s="36">
        <v>41383.39</v>
      </c>
      <c r="F37" s="45">
        <v>5</v>
      </c>
      <c r="G37" s="37"/>
      <c r="H37" s="38"/>
      <c r="I37" s="39"/>
      <c r="J37" s="40"/>
      <c r="K37" s="41"/>
      <c r="L37" s="41">
        <f>IF(G37="",E37,"")</f>
        <v>41383.39</v>
      </c>
      <c r="M37" s="41"/>
    </row>
    <row r="38" spans="1:18" s="8" customFormat="1" x14ac:dyDescent="0.25">
      <c r="A38" s="50"/>
      <c r="B38" s="50"/>
      <c r="C38" s="50"/>
      <c r="D38" s="42">
        <f>SUM(D6:D37)</f>
        <v>1117575.8</v>
      </c>
      <c r="E38" s="42">
        <f>SUM(E6:E37)</f>
        <v>1117575.7999999998</v>
      </c>
      <c r="F38" s="51"/>
      <c r="G38" s="52"/>
      <c r="H38" s="42">
        <f>H6+H12+H18+H24+H26+H32</f>
        <v>603400.56000000006</v>
      </c>
      <c r="I38" s="52"/>
      <c r="J38" s="52"/>
      <c r="K38" s="42">
        <f>K6+K12+K18+K24+K26+K32</f>
        <v>405784.74</v>
      </c>
      <c r="L38" s="42">
        <f>L6+L12+L18+L24+L26+L32</f>
        <v>108390.5</v>
      </c>
      <c r="M38" s="42"/>
      <c r="O38" s="42">
        <f>SUM(O6:O37)</f>
        <v>501699.98000000004</v>
      </c>
      <c r="P38" s="42">
        <f>SUM(P6:P37)</f>
        <v>16666.213924931504</v>
      </c>
    </row>
    <row r="39" spans="1:18" x14ac:dyDescent="0.25">
      <c r="A39" s="66"/>
      <c r="B39" s="67"/>
      <c r="C39" s="67"/>
      <c r="D39" s="67"/>
      <c r="E39" s="67"/>
      <c r="F39" s="66"/>
      <c r="G39" s="67"/>
      <c r="H39" s="67"/>
      <c r="I39" s="67"/>
      <c r="J39" s="67"/>
      <c r="K39" s="502">
        <f>SUM(K38:L38)</f>
        <v>514175.24</v>
      </c>
      <c r="L39" s="503"/>
      <c r="M39" s="178"/>
    </row>
    <row r="40" spans="1:18" s="49" customFormat="1" x14ac:dyDescent="0.25">
      <c r="A40" s="175" t="s">
        <v>22</v>
      </c>
      <c r="B40" s="158" t="s">
        <v>23</v>
      </c>
      <c r="C40" s="154">
        <v>41131</v>
      </c>
      <c r="D40" s="161">
        <v>3152932.53</v>
      </c>
      <c r="E40" s="155"/>
      <c r="F40" s="176"/>
      <c r="G40" s="154"/>
      <c r="H40" s="155"/>
      <c r="I40" s="154"/>
      <c r="J40" s="177">
        <f>I40-G40</f>
        <v>0</v>
      </c>
      <c r="K40" s="161"/>
      <c r="L40" s="161"/>
      <c r="M40" s="177"/>
      <c r="N40" s="201"/>
      <c r="O40" s="27">
        <f>H40</f>
        <v>0</v>
      </c>
      <c r="P40" s="27">
        <f t="shared" ref="P40" si="13">O40*$P$2*J40/365</f>
        <v>0</v>
      </c>
    </row>
    <row r="41" spans="1:18" s="49" customFormat="1" x14ac:dyDescent="0.25">
      <c r="A41" s="225" t="s">
        <v>22</v>
      </c>
      <c r="B41" s="226"/>
      <c r="C41" s="227"/>
      <c r="D41" s="228"/>
      <c r="E41" s="229">
        <v>91990.6</v>
      </c>
      <c r="F41" s="230">
        <v>1</v>
      </c>
      <c r="G41" s="227">
        <v>41443</v>
      </c>
      <c r="H41" s="23">
        <v>91990.6</v>
      </c>
      <c r="I41" s="227">
        <v>41548</v>
      </c>
      <c r="J41" s="232">
        <f>I41-G41</f>
        <v>105</v>
      </c>
      <c r="K41" s="16">
        <f t="shared" ref="K41:K42" si="14">E41-H41</f>
        <v>0</v>
      </c>
      <c r="L41" s="228"/>
      <c r="M41" s="231"/>
      <c r="O41" s="27"/>
      <c r="P41" s="27"/>
    </row>
    <row r="42" spans="1:18" x14ac:dyDescent="0.25">
      <c r="A42" s="71" t="s">
        <v>22</v>
      </c>
      <c r="B42" s="68"/>
      <c r="C42" s="68"/>
      <c r="D42" s="68"/>
      <c r="E42" s="16">
        <v>319852</v>
      </c>
      <c r="F42" s="70">
        <v>2</v>
      </c>
      <c r="G42" s="69">
        <v>41939</v>
      </c>
      <c r="H42" s="432">
        <v>319852</v>
      </c>
      <c r="I42" s="69">
        <v>42277</v>
      </c>
      <c r="J42" s="4">
        <f>$L$2-G42</f>
        <v>216</v>
      </c>
      <c r="K42" s="16">
        <f t="shared" si="14"/>
        <v>0</v>
      </c>
      <c r="L42" s="68"/>
      <c r="M42" s="68"/>
      <c r="O42" s="27">
        <f>K42</f>
        <v>0</v>
      </c>
      <c r="P42" s="27"/>
      <c r="Q42" s="27">
        <f>O42*P2*180/365</f>
        <v>0</v>
      </c>
    </row>
    <row r="43" spans="1:18" x14ac:dyDescent="0.25">
      <c r="A43" s="71" t="s">
        <v>22</v>
      </c>
      <c r="B43" s="68" t="s">
        <v>26</v>
      </c>
      <c r="C43" s="68"/>
      <c r="D43" s="68"/>
      <c r="E43" s="229">
        <v>1442192.77</v>
      </c>
      <c r="F43" s="70">
        <v>3</v>
      </c>
      <c r="G43" s="69">
        <v>41960</v>
      </c>
      <c r="H43" s="16">
        <v>1442192.77</v>
      </c>
      <c r="I43" s="69">
        <v>42387</v>
      </c>
      <c r="J43" s="4">
        <f>$L$2-G43</f>
        <v>195</v>
      </c>
      <c r="K43" s="16">
        <v>0</v>
      </c>
      <c r="L43" s="74" t="str">
        <f t="shared" ref="L43:L45" si="15">IF(G43="",E43,"")</f>
        <v/>
      </c>
      <c r="M43" s="74"/>
      <c r="O43" s="27"/>
      <c r="P43" s="27"/>
      <c r="Q43" s="27"/>
      <c r="R43" s="109" t="s">
        <v>112</v>
      </c>
    </row>
    <row r="44" spans="1:18" x14ac:dyDescent="0.25">
      <c r="A44" s="71" t="s">
        <v>22</v>
      </c>
      <c r="B44" s="68" t="s">
        <v>27</v>
      </c>
      <c r="C44" s="68"/>
      <c r="D44" s="68"/>
      <c r="E44" s="16">
        <v>1125615</v>
      </c>
      <c r="F44" s="70">
        <v>4</v>
      </c>
      <c r="G44" s="69">
        <v>41960</v>
      </c>
      <c r="H44" s="284" t="s">
        <v>113</v>
      </c>
      <c r="I44" s="68"/>
      <c r="J44" s="4"/>
      <c r="K44" s="16">
        <f>E44</f>
        <v>1125615</v>
      </c>
      <c r="L44" s="74" t="str">
        <f t="shared" si="15"/>
        <v/>
      </c>
      <c r="M44" s="74"/>
      <c r="O44" s="27"/>
      <c r="P44" s="27"/>
      <c r="Q44" s="27"/>
      <c r="R44" s="109" t="s">
        <v>112</v>
      </c>
    </row>
    <row r="45" spans="1:18" x14ac:dyDescent="0.25">
      <c r="A45" s="57"/>
      <c r="B45" s="53"/>
      <c r="C45" s="53"/>
      <c r="D45" s="53"/>
      <c r="E45" s="41">
        <v>350831</v>
      </c>
      <c r="F45" s="56">
        <v>5</v>
      </c>
      <c r="G45" s="55">
        <v>42355</v>
      </c>
      <c r="H45" s="433" t="s">
        <v>113</v>
      </c>
      <c r="I45" s="53"/>
      <c r="J45" s="4"/>
      <c r="K45" s="16">
        <f>E45</f>
        <v>350831</v>
      </c>
      <c r="L45" s="74" t="str">
        <f t="shared" si="15"/>
        <v/>
      </c>
      <c r="M45" s="74"/>
      <c r="O45" s="27"/>
      <c r="P45" s="27"/>
      <c r="Q45" s="27"/>
      <c r="R45" s="109" t="s">
        <v>112</v>
      </c>
    </row>
    <row r="46" spans="1:18" x14ac:dyDescent="0.25">
      <c r="A46" s="57"/>
      <c r="B46" s="53"/>
      <c r="C46" s="53"/>
      <c r="D46" s="53"/>
      <c r="E46" s="60">
        <f>SUM(E41:E45)</f>
        <v>3330481.37</v>
      </c>
      <c r="F46" s="72"/>
      <c r="G46" s="73"/>
      <c r="H46" s="60">
        <f>SUM(H41:H45)</f>
        <v>1854035.37</v>
      </c>
      <c r="I46" s="73"/>
      <c r="J46" s="52"/>
      <c r="K46" s="64">
        <f>SUM(K41:K45)</f>
        <v>1476446</v>
      </c>
      <c r="L46" s="64">
        <f>SUM(L41:L45)</f>
        <v>0</v>
      </c>
      <c r="M46" s="64"/>
      <c r="N46" s="201">
        <f>D40-(H46+K46+L46)</f>
        <v>-177548.84000000032</v>
      </c>
      <c r="O46" s="64">
        <f>SUM(O40:O42)</f>
        <v>0</v>
      </c>
      <c r="P46" s="64">
        <f>SUM(P40:P42)</f>
        <v>0</v>
      </c>
      <c r="Q46" s="64">
        <f>SUM(Q40:Q42)</f>
        <v>0</v>
      </c>
    </row>
    <row r="47" spans="1:18" x14ac:dyDescent="0.25">
      <c r="A47" s="61"/>
      <c r="B47" s="62"/>
      <c r="C47" s="62"/>
      <c r="D47" s="62"/>
      <c r="E47" s="42">
        <f>D40+E38</f>
        <v>4270508.33</v>
      </c>
      <c r="F47" s="110"/>
      <c r="G47" s="111"/>
      <c r="H47" s="42">
        <f>H46+H38</f>
        <v>2457435.9300000002</v>
      </c>
      <c r="I47" s="111"/>
      <c r="J47" s="111"/>
      <c r="K47" s="504">
        <f>SUM(K46:L46)</f>
        <v>1476446</v>
      </c>
      <c r="L47" s="505"/>
      <c r="M47" s="178"/>
    </row>
    <row r="48" spans="1:18" x14ac:dyDescent="0.25">
      <c r="E48" s="26"/>
      <c r="F48" s="112"/>
      <c r="G48" s="26"/>
      <c r="H48" s="26"/>
      <c r="I48" s="26"/>
      <c r="J48" s="26"/>
      <c r="K48" s="502">
        <f>K47+K39</f>
        <v>1990621.24</v>
      </c>
      <c r="L48" s="506"/>
      <c r="M48" s="179"/>
      <c r="N48" s="201">
        <f>E47-(H47+K48)</f>
        <v>-177548.83999999985</v>
      </c>
    </row>
    <row r="49" spans="1:18" x14ac:dyDescent="0.25">
      <c r="E49" s="26"/>
      <c r="F49" s="112"/>
      <c r="G49" s="26"/>
      <c r="H49" s="26"/>
      <c r="I49" s="26"/>
      <c r="J49" s="113" t="s">
        <v>20</v>
      </c>
      <c r="K49" s="58">
        <f>K38</f>
        <v>405784.74</v>
      </c>
      <c r="L49" s="59" t="s">
        <v>127</v>
      </c>
      <c r="M49" s="59"/>
    </row>
    <row r="50" spans="1:18" x14ac:dyDescent="0.25">
      <c r="E50" s="26"/>
      <c r="F50" s="112"/>
      <c r="G50" s="26"/>
      <c r="H50" s="26"/>
      <c r="I50" s="26"/>
      <c r="J50" s="25" t="s">
        <v>20</v>
      </c>
      <c r="K50" s="16">
        <f>K46</f>
        <v>1476446</v>
      </c>
      <c r="L50" s="4" t="s">
        <v>30</v>
      </c>
      <c r="M50" s="4"/>
    </row>
    <row r="51" spans="1:18" x14ac:dyDescent="0.25">
      <c r="A51" s="1"/>
      <c r="E51" s="26"/>
      <c r="F51" s="112"/>
      <c r="G51" s="26"/>
      <c r="H51" s="26"/>
      <c r="I51" s="26"/>
      <c r="J51" s="114"/>
      <c r="K51" s="42">
        <f>SUM(K49:K50)</f>
        <v>1882230.74</v>
      </c>
      <c r="L51" s="40"/>
      <c r="M51" s="40"/>
    </row>
    <row r="52" spans="1:18" x14ac:dyDescent="0.25">
      <c r="A52" s="1"/>
      <c r="E52" s="26"/>
      <c r="F52" s="112"/>
      <c r="G52" s="26"/>
      <c r="H52" s="26"/>
      <c r="I52" s="26"/>
      <c r="J52" s="25" t="s">
        <v>28</v>
      </c>
      <c r="K52" s="16">
        <f>L38</f>
        <v>108390.5</v>
      </c>
      <c r="L52" s="4" t="s">
        <v>127</v>
      </c>
      <c r="M52" s="4"/>
    </row>
    <row r="53" spans="1:18" x14ac:dyDescent="0.25">
      <c r="A53" s="1"/>
      <c r="E53" s="26"/>
      <c r="F53" s="112"/>
      <c r="G53" s="26"/>
      <c r="H53" s="26"/>
      <c r="I53" s="26"/>
      <c r="J53" s="39" t="s">
        <v>29</v>
      </c>
      <c r="K53" s="41">
        <f>L46</f>
        <v>0</v>
      </c>
      <c r="L53" s="40" t="s">
        <v>30</v>
      </c>
      <c r="M53" s="40"/>
    </row>
    <row r="54" spans="1:18" s="6" customFormat="1" x14ac:dyDescent="0.25">
      <c r="B54" s="1"/>
      <c r="C54" s="1"/>
      <c r="D54" s="1"/>
      <c r="E54" s="26"/>
      <c r="F54" s="112"/>
      <c r="G54" s="26"/>
      <c r="H54" s="26"/>
      <c r="I54" s="26"/>
      <c r="J54" s="39"/>
      <c r="K54" s="115">
        <f>SUM(K51:K53)</f>
        <v>1990621.24</v>
      </c>
      <c r="L54" s="40"/>
      <c r="M54" s="40"/>
      <c r="N54" s="1"/>
      <c r="O54" s="1"/>
      <c r="P54" s="1"/>
      <c r="Q54" s="1"/>
      <c r="R54" s="1"/>
    </row>
  </sheetData>
  <mergeCells count="10">
    <mergeCell ref="K39:L39"/>
    <mergeCell ref="K47:L47"/>
    <mergeCell ref="K48:L48"/>
    <mergeCell ref="E4:J4"/>
    <mergeCell ref="A2:K2"/>
    <mergeCell ref="A4:A5"/>
    <mergeCell ref="B4:B5"/>
    <mergeCell ref="C4:C5"/>
    <mergeCell ref="D4:D5"/>
    <mergeCell ref="K4:L4"/>
  </mergeCells>
  <conditionalFormatting sqref="A6:L6">
    <cfRule type="expression" dxfId="95" priority="6">
      <formula>$H$6:$H$37="en attente"</formula>
    </cfRule>
  </conditionalFormatting>
  <conditionalFormatting sqref="A7:L37">
    <cfRule type="expression" dxfId="94" priority="5">
      <formula>$H$6:$H$37="en attente"</formula>
    </cfRule>
  </conditionalFormatting>
  <conditionalFormatting sqref="M6">
    <cfRule type="expression" dxfId="93" priority="4">
      <formula>$H$6:$H$37="en attente"</formula>
    </cfRule>
  </conditionalFormatting>
  <conditionalFormatting sqref="M7:M37">
    <cfRule type="expression" dxfId="92" priority="3">
      <formula>$H$6:$H$37="en attente"</formula>
    </cfRule>
  </conditionalFormatting>
  <conditionalFormatting sqref="K41:K42">
    <cfRule type="expression" dxfId="91" priority="2">
      <formula>$H$6:$H$37="en attente"</formula>
    </cfRule>
  </conditionalFormatting>
  <conditionalFormatting sqref="H41">
    <cfRule type="expression" dxfId="90" priority="1">
      <formula>$H$6:$H$37="en attente"</formula>
    </cfRule>
  </conditionalFormatting>
  <pageMargins left="0.19685039370078741" right="0" top="0.15748031496062992" bottom="0.15748031496062992" header="0.15748031496062992" footer="0.15748031496062992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2:S267"/>
  <sheetViews>
    <sheetView zoomScaleNormal="100" zoomScaleSheetLayoutView="100" workbookViewId="0">
      <pane xSplit="2" ySplit="5" topLeftCell="D102" activePane="bottomRight" state="frozen"/>
      <selection pane="topRight" activeCell="C1" sqref="C1"/>
      <selection pane="bottomLeft" activeCell="A6" sqref="A6"/>
      <selection pane="bottomRight" activeCell="B222" sqref="B222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customWidth="1" outlineLevel="1"/>
    <col min="3" max="3" width="18.25" style="1" customWidth="1"/>
    <col min="4" max="4" width="15.125" style="1" customWidth="1"/>
    <col min="5" max="5" width="16" style="216" customWidth="1"/>
    <col min="6" max="7" width="16.125" style="1" customWidth="1"/>
    <col min="8" max="8" width="17.625" style="1" customWidth="1"/>
    <col min="9" max="9" width="14.375" style="1" customWidth="1"/>
    <col min="10" max="10" width="4.125" style="6" bestFit="1" customWidth="1"/>
    <col min="11" max="11" width="10.375" style="1" bestFit="1" customWidth="1"/>
    <col min="12" max="12" width="16" style="1" customWidth="1"/>
    <col min="13" max="13" width="10.375" style="85" bestFit="1" customWidth="1"/>
    <col min="14" max="14" width="18.625" style="79" bestFit="1" customWidth="1"/>
    <col min="15" max="15" width="17.625" style="1" customWidth="1"/>
    <col min="16" max="17" width="18.75" style="1" customWidth="1"/>
    <col min="18" max="18" width="11.375" style="201"/>
    <col min="19" max="16384" width="11.375" style="1"/>
  </cols>
  <sheetData>
    <row r="2" spans="1:19" x14ac:dyDescent="0.25">
      <c r="A2" s="510" t="s">
        <v>118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9">
        <f ca="1">TODAY()</f>
        <v>42435</v>
      </c>
      <c r="Q2" s="9"/>
    </row>
    <row r="4" spans="1:19" s="2" customFormat="1" ht="23.95" customHeight="1" x14ac:dyDescent="0.2">
      <c r="A4" s="511" t="s">
        <v>2</v>
      </c>
      <c r="B4" s="513" t="s">
        <v>0</v>
      </c>
      <c r="C4" s="513" t="s">
        <v>21</v>
      </c>
      <c r="D4" s="511" t="s">
        <v>147</v>
      </c>
      <c r="E4" s="206" t="s">
        <v>119</v>
      </c>
      <c r="F4" s="511" t="s">
        <v>124</v>
      </c>
      <c r="G4" s="147" t="s">
        <v>120</v>
      </c>
      <c r="H4" s="513" t="s">
        <v>12</v>
      </c>
      <c r="I4" s="507" t="s">
        <v>4</v>
      </c>
      <c r="J4" s="508"/>
      <c r="K4" s="508"/>
      <c r="L4" s="508"/>
      <c r="M4" s="508"/>
      <c r="N4" s="509"/>
      <c r="O4" s="515" t="s">
        <v>13</v>
      </c>
      <c r="P4" s="513"/>
      <c r="Q4" s="3" t="s">
        <v>116</v>
      </c>
      <c r="R4" s="202"/>
      <c r="S4" s="65"/>
    </row>
    <row r="5" spans="1:19" s="13" customFormat="1" x14ac:dyDescent="0.2">
      <c r="A5" s="512"/>
      <c r="B5" s="514"/>
      <c r="C5" s="514"/>
      <c r="D5" s="512"/>
      <c r="E5" s="207"/>
      <c r="F5" s="512"/>
      <c r="G5" s="148"/>
      <c r="H5" s="514"/>
      <c r="I5" s="10" t="s">
        <v>1</v>
      </c>
      <c r="J5" s="11" t="s">
        <v>3</v>
      </c>
      <c r="K5" s="11" t="s">
        <v>15</v>
      </c>
      <c r="L5" s="12" t="s">
        <v>14</v>
      </c>
      <c r="M5" s="86" t="s">
        <v>15</v>
      </c>
      <c r="N5" s="80" t="s">
        <v>18</v>
      </c>
      <c r="O5" s="3" t="s">
        <v>20</v>
      </c>
      <c r="P5" s="3" t="s">
        <v>19</v>
      </c>
      <c r="Q5" s="3"/>
      <c r="R5" s="203"/>
    </row>
    <row r="6" spans="1:19" s="8" customFormat="1" x14ac:dyDescent="0.25">
      <c r="A6" s="287" t="s">
        <v>43</v>
      </c>
      <c r="B6" s="288"/>
      <c r="C6" s="289">
        <v>40389</v>
      </c>
      <c r="D6" s="290">
        <f>DATE(YEAR(C6),MONTH(C6)+18,DAY(C6))</f>
        <v>40938</v>
      </c>
      <c r="E6" s="291">
        <v>40499</v>
      </c>
      <c r="F6" s="290">
        <f>DATE(YEAR(C6)+4,MONTH(C6),DAY(C6))</f>
        <v>41850</v>
      </c>
      <c r="G6" s="290">
        <v>40910</v>
      </c>
      <c r="H6" s="292">
        <v>832014</v>
      </c>
      <c r="I6" s="293"/>
      <c r="J6" s="294"/>
      <c r="K6" s="295"/>
      <c r="L6" s="296">
        <f>SUM(L7:L12)</f>
        <v>832014</v>
      </c>
      <c r="M6" s="289"/>
      <c r="N6" s="297"/>
      <c r="O6" s="292">
        <f>SUM(O7:O12)</f>
        <v>0</v>
      </c>
      <c r="P6" s="292">
        <f>SUM(P7:P12)</f>
        <v>0</v>
      </c>
      <c r="Q6" s="292"/>
      <c r="R6" s="197">
        <f>H6-(L6+O6+P6)</f>
        <v>0</v>
      </c>
    </row>
    <row r="7" spans="1:19" s="26" customFormat="1" x14ac:dyDescent="0.25">
      <c r="A7" s="298" t="s">
        <v>43</v>
      </c>
      <c r="B7" s="299"/>
      <c r="C7" s="300"/>
      <c r="D7" s="300"/>
      <c r="E7" s="301"/>
      <c r="F7" s="300"/>
      <c r="G7" s="300"/>
      <c r="H7" s="302">
        <f>I7/$H$6</f>
        <v>0.3</v>
      </c>
      <c r="I7" s="303">
        <v>249604.2</v>
      </c>
      <c r="J7" s="304">
        <v>1</v>
      </c>
      <c r="K7" s="305">
        <v>40519</v>
      </c>
      <c r="L7" s="303">
        <v>249604.2</v>
      </c>
      <c r="M7" s="305">
        <v>40632</v>
      </c>
      <c r="N7" s="306">
        <f>IF(M7="",$P$2-K7,M7-K7)</f>
        <v>113</v>
      </c>
      <c r="O7" s="307" t="str">
        <f t="shared" ref="O7:O11" si="0">IF(L7="en attente",I7,"")</f>
        <v/>
      </c>
      <c r="P7" s="307">
        <f>IF(K7="",I7-L7,0)</f>
        <v>0</v>
      </c>
      <c r="Q7" s="307"/>
      <c r="R7" s="197"/>
    </row>
    <row r="8" spans="1:19" s="26" customFormat="1" x14ac:dyDescent="0.25">
      <c r="A8" s="298" t="s">
        <v>43</v>
      </c>
      <c r="B8" s="299"/>
      <c r="C8" s="300"/>
      <c r="D8" s="300"/>
      <c r="E8" s="301"/>
      <c r="F8" s="300"/>
      <c r="G8" s="300"/>
      <c r="H8" s="302">
        <f>I8/$H$6+H7</f>
        <v>0.41229999735581369</v>
      </c>
      <c r="I8" s="303">
        <v>93435.17</v>
      </c>
      <c r="J8" s="304">
        <v>2</v>
      </c>
      <c r="K8" s="300">
        <v>40711</v>
      </c>
      <c r="L8" s="303">
        <v>93435.17</v>
      </c>
      <c r="M8" s="305">
        <v>40779</v>
      </c>
      <c r="N8" s="306">
        <f t="shared" ref="N8:N95" si="1">IF(M8="",$P$2-K8,M8-K8)</f>
        <v>68</v>
      </c>
      <c r="O8" s="307" t="str">
        <f t="shared" si="0"/>
        <v/>
      </c>
      <c r="P8" s="307">
        <f t="shared" ref="P8:P12" si="2">IF(K8="",I8-L8,0)</f>
        <v>0</v>
      </c>
      <c r="Q8" s="307"/>
      <c r="R8" s="197"/>
    </row>
    <row r="9" spans="1:19" s="26" customFormat="1" x14ac:dyDescent="0.25">
      <c r="A9" s="298" t="s">
        <v>43</v>
      </c>
      <c r="B9" s="299"/>
      <c r="C9" s="300"/>
      <c r="D9" s="300"/>
      <c r="E9" s="301"/>
      <c r="F9" s="300"/>
      <c r="G9" s="300"/>
      <c r="H9" s="302">
        <f t="shared" ref="H9:H12" si="3">I9/$H$6+H8</f>
        <v>0.60449999639429142</v>
      </c>
      <c r="I9" s="303">
        <v>159913.09</v>
      </c>
      <c r="J9" s="304">
        <v>3</v>
      </c>
      <c r="K9" s="300">
        <v>40799</v>
      </c>
      <c r="L9" s="308">
        <v>159913.09</v>
      </c>
      <c r="M9" s="305">
        <v>40969</v>
      </c>
      <c r="N9" s="306">
        <f t="shared" si="1"/>
        <v>170</v>
      </c>
      <c r="O9" s="307" t="str">
        <f t="shared" si="0"/>
        <v/>
      </c>
      <c r="P9" s="307">
        <f t="shared" si="2"/>
        <v>0</v>
      </c>
      <c r="Q9" s="307"/>
      <c r="R9" s="197"/>
    </row>
    <row r="10" spans="1:19" s="26" customFormat="1" x14ac:dyDescent="0.25">
      <c r="A10" s="298" t="s">
        <v>43</v>
      </c>
      <c r="B10" s="299"/>
      <c r="C10" s="300"/>
      <c r="D10" s="300"/>
      <c r="E10" s="301"/>
      <c r="F10" s="300"/>
      <c r="G10" s="300"/>
      <c r="H10" s="302">
        <f t="shared" si="3"/>
        <v>0.66970000504799199</v>
      </c>
      <c r="I10" s="303">
        <v>54247.319999999992</v>
      </c>
      <c r="J10" s="304">
        <v>4</v>
      </c>
      <c r="K10" s="300">
        <v>40826</v>
      </c>
      <c r="L10" s="308">
        <v>54247.319999999992</v>
      </c>
      <c r="M10" s="305">
        <v>40969</v>
      </c>
      <c r="N10" s="306">
        <f>IF(M10="",$P$2-K10,M10-K10)</f>
        <v>143</v>
      </c>
      <c r="O10" s="307" t="str">
        <f t="shared" si="0"/>
        <v/>
      </c>
      <c r="P10" s="307">
        <f t="shared" si="2"/>
        <v>0</v>
      </c>
      <c r="Q10" s="307"/>
      <c r="R10" s="197"/>
    </row>
    <row r="11" spans="1:19" s="26" customFormat="1" x14ac:dyDescent="0.25">
      <c r="A11" s="298" t="s">
        <v>43</v>
      </c>
      <c r="B11" s="299"/>
      <c r="C11" s="300"/>
      <c r="D11" s="300"/>
      <c r="E11" s="301"/>
      <c r="F11" s="300"/>
      <c r="G11" s="300"/>
      <c r="H11" s="302">
        <f t="shared" si="3"/>
        <v>0.8</v>
      </c>
      <c r="I11" s="303">
        <v>108411.42</v>
      </c>
      <c r="J11" s="304">
        <v>5</v>
      </c>
      <c r="K11" s="300">
        <v>40947</v>
      </c>
      <c r="L11" s="308">
        <v>108411.42</v>
      </c>
      <c r="M11" s="305">
        <v>40994</v>
      </c>
      <c r="N11" s="306">
        <f t="shared" si="1"/>
        <v>47</v>
      </c>
      <c r="O11" s="307" t="str">
        <f t="shared" si="0"/>
        <v/>
      </c>
      <c r="P11" s="307">
        <f t="shared" si="2"/>
        <v>0</v>
      </c>
      <c r="Q11" s="307"/>
      <c r="R11" s="197"/>
    </row>
    <row r="12" spans="1:19" s="26" customFormat="1" x14ac:dyDescent="0.25">
      <c r="A12" s="309" t="s">
        <v>43</v>
      </c>
      <c r="B12" s="310"/>
      <c r="C12" s="311"/>
      <c r="D12" s="311"/>
      <c r="E12" s="312"/>
      <c r="F12" s="311"/>
      <c r="G12" s="311"/>
      <c r="H12" s="313">
        <f t="shared" si="3"/>
        <v>1</v>
      </c>
      <c r="I12" s="314">
        <v>166402.79999999999</v>
      </c>
      <c r="J12" s="315">
        <v>5</v>
      </c>
      <c r="K12" s="311">
        <v>42179</v>
      </c>
      <c r="L12" s="316">
        <v>166402.79999999999</v>
      </c>
      <c r="M12" s="317">
        <v>42254</v>
      </c>
      <c r="N12" s="318">
        <f t="shared" si="1"/>
        <v>75</v>
      </c>
      <c r="O12" s="319" t="str">
        <f>IF(L12="en attente",I12,"")</f>
        <v/>
      </c>
      <c r="P12" s="320">
        <f t="shared" si="2"/>
        <v>0</v>
      </c>
      <c r="Q12" s="320"/>
      <c r="R12" s="197"/>
    </row>
    <row r="13" spans="1:19" s="26" customFormat="1" x14ac:dyDescent="0.25">
      <c r="A13" s="352" t="s">
        <v>44</v>
      </c>
      <c r="B13" s="299"/>
      <c r="C13" s="300">
        <v>40361</v>
      </c>
      <c r="D13" s="300"/>
      <c r="E13" s="301"/>
      <c r="F13" s="300"/>
      <c r="G13" s="300"/>
      <c r="H13" s="363">
        <v>1425198</v>
      </c>
      <c r="I13" s="303"/>
      <c r="J13" s="304"/>
      <c r="K13" s="300"/>
      <c r="L13" s="308"/>
      <c r="M13" s="305"/>
      <c r="N13" s="306"/>
      <c r="O13" s="307">
        <f t="shared" ref="O13" si="4">+IF(K13="",0,I13-L13)</f>
        <v>0</v>
      </c>
      <c r="P13" s="307">
        <f t="shared" ref="P13:P115" si="5">IF(K13="",I13-L13,0)</f>
        <v>0</v>
      </c>
      <c r="Q13" s="307"/>
      <c r="R13" s="197"/>
    </row>
    <row r="14" spans="1:19" s="26" customFormat="1" x14ac:dyDescent="0.25">
      <c r="A14" s="298" t="s">
        <v>44</v>
      </c>
      <c r="B14" s="385"/>
      <c r="C14" s="386"/>
      <c r="D14" s="386"/>
      <c r="E14" s="387"/>
      <c r="F14" s="386"/>
      <c r="G14" s="386"/>
      <c r="H14" s="388"/>
      <c r="I14" s="303">
        <v>427559.4</v>
      </c>
      <c r="J14" s="304">
        <v>1</v>
      </c>
      <c r="K14" s="300">
        <v>40484</v>
      </c>
      <c r="L14" s="308">
        <v>427559.4</v>
      </c>
      <c r="M14" s="305">
        <v>40613</v>
      </c>
      <c r="N14" s="306">
        <f t="shared" si="1"/>
        <v>129</v>
      </c>
      <c r="O14" s="307">
        <f t="shared" ref="O14:O22" si="6">+IF(K14="",0,I14-L14)</f>
        <v>0</v>
      </c>
      <c r="P14" s="307">
        <f t="shared" ref="P14:P22" si="7">IF(K14="",I14-L14,0)</f>
        <v>0</v>
      </c>
      <c r="Q14" s="307"/>
      <c r="R14" s="197"/>
    </row>
    <row r="15" spans="1:19" x14ac:dyDescent="0.25">
      <c r="A15" s="298" t="s">
        <v>44</v>
      </c>
      <c r="B15" s="389"/>
      <c r="C15" s="300"/>
      <c r="D15" s="300"/>
      <c r="E15" s="301"/>
      <c r="F15" s="300"/>
      <c r="G15" s="300"/>
      <c r="H15" s="363"/>
      <c r="I15" s="303">
        <v>94205.59</v>
      </c>
      <c r="J15" s="304">
        <v>2</v>
      </c>
      <c r="K15" s="300">
        <v>40763</v>
      </c>
      <c r="L15" s="308">
        <v>94205.59</v>
      </c>
      <c r="M15" s="305">
        <v>40828</v>
      </c>
      <c r="N15" s="306">
        <f t="shared" si="1"/>
        <v>65</v>
      </c>
      <c r="O15" s="307">
        <f t="shared" si="6"/>
        <v>0</v>
      </c>
      <c r="P15" s="307">
        <f t="shared" si="7"/>
        <v>0</v>
      </c>
      <c r="Q15" s="307"/>
      <c r="R15" s="197"/>
    </row>
    <row r="16" spans="1:19" x14ac:dyDescent="0.25">
      <c r="A16" s="298" t="s">
        <v>44</v>
      </c>
      <c r="B16" s="299"/>
      <c r="C16" s="300"/>
      <c r="D16" s="300"/>
      <c r="E16" s="301"/>
      <c r="F16" s="300"/>
      <c r="G16" s="300"/>
      <c r="H16" s="363"/>
      <c r="I16" s="303">
        <v>65131.54</v>
      </c>
      <c r="J16" s="304">
        <v>3</v>
      </c>
      <c r="K16" s="300">
        <v>40800</v>
      </c>
      <c r="L16" s="308">
        <v>65131.54</v>
      </c>
      <c r="M16" s="305">
        <v>40868</v>
      </c>
      <c r="N16" s="306">
        <f t="shared" si="1"/>
        <v>68</v>
      </c>
      <c r="O16" s="307">
        <f t="shared" si="6"/>
        <v>0</v>
      </c>
      <c r="P16" s="307">
        <f t="shared" si="7"/>
        <v>0</v>
      </c>
      <c r="Q16" s="307"/>
      <c r="R16" s="197"/>
    </row>
    <row r="17" spans="1:18" x14ac:dyDescent="0.25">
      <c r="A17" s="298" t="s">
        <v>44</v>
      </c>
      <c r="B17" s="299"/>
      <c r="C17" s="300"/>
      <c r="D17" s="300"/>
      <c r="E17" s="301"/>
      <c r="F17" s="300"/>
      <c r="G17" s="300"/>
      <c r="H17" s="363"/>
      <c r="I17" s="303">
        <v>151213.51</v>
      </c>
      <c r="J17" s="304">
        <v>4</v>
      </c>
      <c r="K17" s="300">
        <v>40826</v>
      </c>
      <c r="L17" s="308">
        <v>151213.51</v>
      </c>
      <c r="M17" s="305">
        <v>40871</v>
      </c>
      <c r="N17" s="306">
        <f t="shared" si="1"/>
        <v>45</v>
      </c>
      <c r="O17" s="307">
        <f t="shared" si="6"/>
        <v>0</v>
      </c>
      <c r="P17" s="307">
        <f t="shared" si="7"/>
        <v>0</v>
      </c>
      <c r="Q17" s="307"/>
      <c r="R17" s="197"/>
    </row>
    <row r="18" spans="1:18" x14ac:dyDescent="0.25">
      <c r="A18" s="298" t="s">
        <v>44</v>
      </c>
      <c r="B18" s="299"/>
      <c r="C18" s="300"/>
      <c r="D18" s="300"/>
      <c r="E18" s="301"/>
      <c r="F18" s="300"/>
      <c r="G18" s="300"/>
      <c r="H18" s="363"/>
      <c r="I18" s="303">
        <v>97483.55</v>
      </c>
      <c r="J18" s="304">
        <v>5</v>
      </c>
      <c r="K18" s="300">
        <v>40883</v>
      </c>
      <c r="L18" s="308">
        <v>97483.55</v>
      </c>
      <c r="M18" s="305">
        <v>40995</v>
      </c>
      <c r="N18" s="306">
        <f t="shared" si="1"/>
        <v>112</v>
      </c>
      <c r="O18" s="307">
        <f t="shared" si="6"/>
        <v>0</v>
      </c>
      <c r="P18" s="307">
        <f t="shared" si="7"/>
        <v>0</v>
      </c>
      <c r="Q18" s="307"/>
      <c r="R18" s="197"/>
    </row>
    <row r="19" spans="1:18" x14ac:dyDescent="0.25">
      <c r="A19" s="298" t="s">
        <v>44</v>
      </c>
      <c r="B19" s="299"/>
      <c r="C19" s="300"/>
      <c r="D19" s="300"/>
      <c r="E19" s="301"/>
      <c r="F19" s="300"/>
      <c r="G19" s="300"/>
      <c r="H19" s="363"/>
      <c r="I19" s="303">
        <v>99193.78</v>
      </c>
      <c r="J19" s="304">
        <v>6</v>
      </c>
      <c r="K19" s="300">
        <v>40945</v>
      </c>
      <c r="L19" s="308">
        <v>99193.78</v>
      </c>
      <c r="M19" s="305">
        <v>41023</v>
      </c>
      <c r="N19" s="306">
        <f t="shared" si="1"/>
        <v>78</v>
      </c>
      <c r="O19" s="307">
        <f t="shared" si="6"/>
        <v>0</v>
      </c>
      <c r="P19" s="307">
        <f t="shared" si="7"/>
        <v>0</v>
      </c>
      <c r="Q19" s="307"/>
      <c r="R19" s="197"/>
    </row>
    <row r="20" spans="1:18" x14ac:dyDescent="0.25">
      <c r="A20" s="298" t="s">
        <v>44</v>
      </c>
      <c r="B20" s="299"/>
      <c r="C20" s="300"/>
      <c r="D20" s="300"/>
      <c r="E20" s="301"/>
      <c r="F20" s="300"/>
      <c r="G20" s="300"/>
      <c r="H20" s="363"/>
      <c r="I20" s="303">
        <v>129693.01999999999</v>
      </c>
      <c r="J20" s="304">
        <v>7</v>
      </c>
      <c r="K20" s="300">
        <v>41038</v>
      </c>
      <c r="L20" s="308">
        <v>129693.01999999999</v>
      </c>
      <c r="M20" s="305">
        <v>41093</v>
      </c>
      <c r="N20" s="306">
        <f t="shared" si="1"/>
        <v>55</v>
      </c>
      <c r="O20" s="307">
        <f t="shared" si="6"/>
        <v>0</v>
      </c>
      <c r="P20" s="307">
        <f t="shared" si="7"/>
        <v>0</v>
      </c>
      <c r="Q20" s="307"/>
      <c r="R20" s="197"/>
    </row>
    <row r="21" spans="1:18" x14ac:dyDescent="0.25">
      <c r="A21" s="298" t="s">
        <v>44</v>
      </c>
      <c r="B21" s="299"/>
      <c r="C21" s="300"/>
      <c r="D21" s="300"/>
      <c r="E21" s="301"/>
      <c r="F21" s="300"/>
      <c r="G21" s="300"/>
      <c r="H21" s="363"/>
      <c r="I21" s="303">
        <v>75678.009999999995</v>
      </c>
      <c r="J21" s="304">
        <v>8</v>
      </c>
      <c r="K21" s="300">
        <v>41129</v>
      </c>
      <c r="L21" s="308">
        <v>75678.009999999995</v>
      </c>
      <c r="M21" s="305">
        <v>41185</v>
      </c>
      <c r="N21" s="306">
        <f t="shared" si="1"/>
        <v>56</v>
      </c>
      <c r="O21" s="307">
        <f t="shared" si="6"/>
        <v>0</v>
      </c>
      <c r="P21" s="307">
        <f t="shared" si="7"/>
        <v>0</v>
      </c>
      <c r="Q21" s="307"/>
      <c r="R21" s="197"/>
    </row>
    <row r="22" spans="1:18" x14ac:dyDescent="0.25">
      <c r="A22" s="298" t="s">
        <v>44</v>
      </c>
      <c r="B22" s="299"/>
      <c r="C22" s="300"/>
      <c r="D22" s="300"/>
      <c r="E22" s="301"/>
      <c r="F22" s="300"/>
      <c r="G22" s="300"/>
      <c r="H22" s="363"/>
      <c r="I22" s="303">
        <v>285039.59999999998</v>
      </c>
      <c r="J22" s="304">
        <v>9</v>
      </c>
      <c r="K22" s="300">
        <v>41969</v>
      </c>
      <c r="L22" s="308">
        <v>285039.59999999998</v>
      </c>
      <c r="M22" s="305">
        <v>42153</v>
      </c>
      <c r="N22" s="306">
        <f t="shared" si="1"/>
        <v>184</v>
      </c>
      <c r="O22" s="307">
        <f t="shared" si="6"/>
        <v>0</v>
      </c>
      <c r="P22" s="307">
        <f t="shared" si="7"/>
        <v>0</v>
      </c>
      <c r="Q22" s="307"/>
      <c r="R22" s="197"/>
    </row>
    <row r="23" spans="1:18" s="120" customFormat="1" x14ac:dyDescent="0.25">
      <c r="A23" s="287" t="s">
        <v>45</v>
      </c>
      <c r="B23" s="295"/>
      <c r="C23" s="290">
        <v>39818</v>
      </c>
      <c r="D23" s="290">
        <f>DATE(YEAR(C23),MONTH(C23)+18,DAY(C23))</f>
        <v>40364</v>
      </c>
      <c r="E23" s="291">
        <v>39986</v>
      </c>
      <c r="F23" s="290">
        <f>DATE(YEAR(C23)+4,MONTH(C23),DAY(C23))</f>
        <v>41279</v>
      </c>
      <c r="G23" s="290">
        <v>40749</v>
      </c>
      <c r="H23" s="292">
        <v>2766905</v>
      </c>
      <c r="I23" s="293"/>
      <c r="J23" s="350"/>
      <c r="K23" s="290"/>
      <c r="L23" s="296">
        <f>SUM(L24:L33)</f>
        <v>2766905</v>
      </c>
      <c r="M23" s="289"/>
      <c r="N23" s="297"/>
      <c r="O23" s="351">
        <f>SUM(O24:O33)</f>
        <v>0</v>
      </c>
      <c r="P23" s="351">
        <f>SUM(P24:P33)</f>
        <v>0</v>
      </c>
      <c r="Q23" s="351"/>
      <c r="R23" s="197">
        <f>H23-(L23+O23+P23)</f>
        <v>0</v>
      </c>
    </row>
    <row r="24" spans="1:18" s="26" customFormat="1" x14ac:dyDescent="0.25">
      <c r="A24" s="298" t="s">
        <v>45</v>
      </c>
      <c r="B24" s="299"/>
      <c r="C24" s="300"/>
      <c r="D24" s="300"/>
      <c r="E24" s="301"/>
      <c r="F24" s="300"/>
      <c r="G24" s="300"/>
      <c r="H24" s="302">
        <f>I24/$H$23</f>
        <v>0.3</v>
      </c>
      <c r="I24" s="303">
        <v>830071.5</v>
      </c>
      <c r="J24" s="304">
        <v>1</v>
      </c>
      <c r="K24" s="300"/>
      <c r="L24" s="308">
        <v>830071.5</v>
      </c>
      <c r="M24" s="305">
        <v>40038</v>
      </c>
      <c r="N24" s="306"/>
      <c r="O24" s="307" t="str">
        <f t="shared" ref="O24:O98" si="8">IF(L24="en attente",I24,"")</f>
        <v/>
      </c>
      <c r="P24" s="307">
        <f t="shared" si="5"/>
        <v>0</v>
      </c>
      <c r="Q24" s="307"/>
      <c r="R24" s="197"/>
    </row>
    <row r="25" spans="1:18" s="26" customFormat="1" x14ac:dyDescent="0.25">
      <c r="A25" s="298" t="s">
        <v>45</v>
      </c>
      <c r="B25" s="299"/>
      <c r="C25" s="300"/>
      <c r="D25" s="300"/>
      <c r="E25" s="301"/>
      <c r="F25" s="300"/>
      <c r="G25" s="300"/>
      <c r="H25" s="302">
        <f>I25/$H$23+H24</f>
        <v>0.32679999855434139</v>
      </c>
      <c r="I25" s="303">
        <v>74153.05</v>
      </c>
      <c r="J25" s="304">
        <v>2</v>
      </c>
      <c r="K25" s="300"/>
      <c r="L25" s="308">
        <v>74153.05</v>
      </c>
      <c r="M25" s="305">
        <v>40315</v>
      </c>
      <c r="N25" s="306"/>
      <c r="O25" s="307" t="str">
        <f t="shared" si="8"/>
        <v/>
      </c>
      <c r="P25" s="307">
        <f t="shared" si="5"/>
        <v>0</v>
      </c>
      <c r="Q25" s="307"/>
      <c r="R25" s="197"/>
    </row>
    <row r="26" spans="1:18" s="26" customFormat="1" x14ac:dyDescent="0.25">
      <c r="A26" s="298" t="s">
        <v>45</v>
      </c>
      <c r="B26" s="385"/>
      <c r="C26" s="386"/>
      <c r="D26" s="386"/>
      <c r="E26" s="387"/>
      <c r="F26" s="386"/>
      <c r="G26" s="386"/>
      <c r="H26" s="302">
        <f t="shared" ref="H26:H33" si="9">I26/$H$23+H25</f>
        <v>0.35899999819292672</v>
      </c>
      <c r="I26" s="303">
        <v>89094.34</v>
      </c>
      <c r="J26" s="304">
        <v>3</v>
      </c>
      <c r="K26" s="300"/>
      <c r="L26" s="308">
        <v>89094.34</v>
      </c>
      <c r="M26" s="305">
        <v>40347</v>
      </c>
      <c r="N26" s="306"/>
      <c r="O26" s="307" t="str">
        <f t="shared" si="8"/>
        <v/>
      </c>
      <c r="P26" s="307">
        <f t="shared" si="5"/>
        <v>0</v>
      </c>
      <c r="Q26" s="307"/>
      <c r="R26" s="197"/>
    </row>
    <row r="27" spans="1:18" s="26" customFormat="1" x14ac:dyDescent="0.25">
      <c r="A27" s="298" t="s">
        <v>45</v>
      </c>
      <c r="B27" s="385"/>
      <c r="C27" s="386"/>
      <c r="D27" s="386"/>
      <c r="E27" s="387"/>
      <c r="F27" s="386"/>
      <c r="G27" s="386"/>
      <c r="H27" s="302">
        <f t="shared" si="9"/>
        <v>0.41320000144565855</v>
      </c>
      <c r="I27" s="303">
        <v>149966.26</v>
      </c>
      <c r="J27" s="304">
        <v>4</v>
      </c>
      <c r="K27" s="300"/>
      <c r="L27" s="308">
        <v>149966.26</v>
      </c>
      <c r="M27" s="305">
        <v>40366</v>
      </c>
      <c r="N27" s="306"/>
      <c r="O27" s="307" t="str">
        <f t="shared" si="8"/>
        <v/>
      </c>
      <c r="P27" s="307">
        <f t="shared" si="5"/>
        <v>0</v>
      </c>
      <c r="Q27" s="307"/>
      <c r="R27" s="197"/>
    </row>
    <row r="28" spans="1:18" s="26" customFormat="1" x14ac:dyDescent="0.25">
      <c r="A28" s="298" t="s">
        <v>45</v>
      </c>
      <c r="B28" s="385"/>
      <c r="C28" s="386"/>
      <c r="D28" s="386"/>
      <c r="E28" s="387"/>
      <c r="F28" s="386"/>
      <c r="G28" s="386"/>
      <c r="H28" s="302">
        <f t="shared" si="9"/>
        <v>0.4773000012649512</v>
      </c>
      <c r="I28" s="303">
        <v>177358.61000000002</v>
      </c>
      <c r="J28" s="304">
        <v>5</v>
      </c>
      <c r="K28" s="300"/>
      <c r="L28" s="308">
        <v>177358.61000000002</v>
      </c>
      <c r="M28" s="305">
        <v>40396</v>
      </c>
      <c r="N28" s="306"/>
      <c r="O28" s="307" t="str">
        <f t="shared" si="8"/>
        <v/>
      </c>
      <c r="P28" s="307">
        <f t="shared" si="5"/>
        <v>0</v>
      </c>
      <c r="Q28" s="307"/>
      <c r="R28" s="197"/>
    </row>
    <row r="29" spans="1:18" s="26" customFormat="1" x14ac:dyDescent="0.25">
      <c r="A29" s="298" t="s">
        <v>45</v>
      </c>
      <c r="B29" s="385"/>
      <c r="C29" s="386"/>
      <c r="D29" s="386"/>
      <c r="E29" s="387"/>
      <c r="F29" s="386"/>
      <c r="G29" s="386"/>
      <c r="H29" s="302">
        <f t="shared" si="9"/>
        <v>0.61120000144565845</v>
      </c>
      <c r="I29" s="303">
        <v>370488.57999999996</v>
      </c>
      <c r="J29" s="304">
        <v>6</v>
      </c>
      <c r="K29" s="300"/>
      <c r="L29" s="308">
        <v>370488.57999999996</v>
      </c>
      <c r="M29" s="305">
        <v>40497</v>
      </c>
      <c r="N29" s="306"/>
      <c r="O29" s="307" t="str">
        <f t="shared" si="8"/>
        <v/>
      </c>
      <c r="P29" s="307">
        <f t="shared" si="5"/>
        <v>0</v>
      </c>
      <c r="Q29" s="307"/>
      <c r="R29" s="197"/>
    </row>
    <row r="30" spans="1:18" s="26" customFormat="1" x14ac:dyDescent="0.25">
      <c r="A30" s="298" t="s">
        <v>45</v>
      </c>
      <c r="B30" s="385"/>
      <c r="C30" s="386"/>
      <c r="D30" s="386"/>
      <c r="E30" s="387"/>
      <c r="F30" s="386"/>
      <c r="G30" s="386"/>
      <c r="H30" s="302">
        <f t="shared" si="9"/>
        <v>0.68710000162636575</v>
      </c>
      <c r="I30" s="303">
        <v>210008.09</v>
      </c>
      <c r="J30" s="304">
        <v>7</v>
      </c>
      <c r="K30" s="300"/>
      <c r="L30" s="308">
        <v>210008.09</v>
      </c>
      <c r="M30" s="305">
        <v>40528</v>
      </c>
      <c r="N30" s="306"/>
      <c r="O30" s="307" t="str">
        <f t="shared" si="8"/>
        <v/>
      </c>
      <c r="P30" s="307">
        <f t="shared" si="5"/>
        <v>0</v>
      </c>
      <c r="Q30" s="307"/>
      <c r="R30" s="197"/>
    </row>
    <row r="31" spans="1:18" s="26" customFormat="1" x14ac:dyDescent="0.25">
      <c r="A31" s="298" t="s">
        <v>45</v>
      </c>
      <c r="B31" s="385"/>
      <c r="C31" s="386"/>
      <c r="D31" s="386"/>
      <c r="E31" s="387"/>
      <c r="F31" s="386"/>
      <c r="G31" s="386"/>
      <c r="H31" s="302">
        <f t="shared" si="9"/>
        <v>0.78140000108424379</v>
      </c>
      <c r="I31" s="303">
        <v>260919.13999999998</v>
      </c>
      <c r="J31" s="304">
        <v>8</v>
      </c>
      <c r="K31" s="300">
        <v>40591</v>
      </c>
      <c r="L31" s="308">
        <v>260919.13999999998</v>
      </c>
      <c r="M31" s="305">
        <v>40687</v>
      </c>
      <c r="N31" s="306">
        <f t="shared" si="1"/>
        <v>96</v>
      </c>
      <c r="O31" s="307" t="str">
        <f t="shared" si="8"/>
        <v/>
      </c>
      <c r="P31" s="307">
        <f t="shared" si="5"/>
        <v>0</v>
      </c>
      <c r="Q31" s="307"/>
      <c r="R31" s="197"/>
    </row>
    <row r="32" spans="1:18" s="26" customFormat="1" x14ac:dyDescent="0.25">
      <c r="A32" s="298" t="s">
        <v>45</v>
      </c>
      <c r="B32" s="385"/>
      <c r="C32" s="386"/>
      <c r="D32" s="386"/>
      <c r="E32" s="387"/>
      <c r="F32" s="386"/>
      <c r="G32" s="386"/>
      <c r="H32" s="302">
        <f t="shared" si="9"/>
        <v>0.79999999999999982</v>
      </c>
      <c r="I32" s="303">
        <v>51464.43</v>
      </c>
      <c r="J32" s="304">
        <v>9</v>
      </c>
      <c r="K32" s="300">
        <v>40641</v>
      </c>
      <c r="L32" s="308">
        <v>51464.43</v>
      </c>
      <c r="M32" s="305">
        <v>40716</v>
      </c>
      <c r="N32" s="306">
        <f>IF(M32="",$P$2-K32,M32-K32)</f>
        <v>75</v>
      </c>
      <c r="O32" s="307" t="str">
        <f t="shared" si="8"/>
        <v/>
      </c>
      <c r="P32" s="307">
        <f t="shared" si="5"/>
        <v>0</v>
      </c>
      <c r="Q32" s="307"/>
      <c r="R32" s="197"/>
    </row>
    <row r="33" spans="1:18" s="26" customFormat="1" x14ac:dyDescent="0.25">
      <c r="A33" s="298" t="s">
        <v>45</v>
      </c>
      <c r="B33" s="385"/>
      <c r="C33" s="386"/>
      <c r="D33" s="386"/>
      <c r="E33" s="387"/>
      <c r="F33" s="386"/>
      <c r="G33" s="386"/>
      <c r="H33" s="302">
        <f t="shared" si="9"/>
        <v>0.99999999999999978</v>
      </c>
      <c r="I33" s="303">
        <v>553381</v>
      </c>
      <c r="J33" s="304">
        <v>10</v>
      </c>
      <c r="K33" s="300">
        <v>42149</v>
      </c>
      <c r="L33" s="308">
        <v>553381</v>
      </c>
      <c r="M33" s="305">
        <v>42222</v>
      </c>
      <c r="N33" s="306">
        <f>IF(M33="",$P$2-K33,M33-K33)</f>
        <v>73</v>
      </c>
      <c r="O33" s="307" t="str">
        <f t="shared" si="8"/>
        <v/>
      </c>
      <c r="P33" s="307">
        <f t="shared" si="5"/>
        <v>0</v>
      </c>
      <c r="Q33" s="307"/>
      <c r="R33" s="197"/>
    </row>
    <row r="34" spans="1:18" s="120" customFormat="1" x14ac:dyDescent="0.25">
      <c r="A34" s="287" t="s">
        <v>49</v>
      </c>
      <c r="B34" s="295"/>
      <c r="C34" s="290">
        <v>40491</v>
      </c>
      <c r="D34" s="290">
        <f>DATE(YEAR(C34),MONTH(C34)+18,DAY(C34))</f>
        <v>41038</v>
      </c>
      <c r="E34" s="291">
        <v>40945</v>
      </c>
      <c r="F34" s="290">
        <f>DATE(YEAR(C34)+4,MONTH(C34),DAY(C34))</f>
        <v>41952</v>
      </c>
      <c r="G34" s="290">
        <v>41670</v>
      </c>
      <c r="H34" s="292">
        <v>1269605</v>
      </c>
      <c r="I34" s="293"/>
      <c r="J34" s="350"/>
      <c r="K34" s="290"/>
      <c r="L34" s="296">
        <f>SUM(L35:L43)</f>
        <v>1269605</v>
      </c>
      <c r="M34" s="289"/>
      <c r="N34" s="297"/>
      <c r="O34" s="351">
        <f>SUM(O35:O43)</f>
        <v>0</v>
      </c>
      <c r="P34" s="351">
        <f>SUM(P35:P43)</f>
        <v>0</v>
      </c>
      <c r="Q34" s="351"/>
      <c r="R34" s="197">
        <f>H34-(L34+O34+P34)</f>
        <v>0</v>
      </c>
    </row>
    <row r="35" spans="1:18" s="26" customFormat="1" x14ac:dyDescent="0.25">
      <c r="A35" s="298" t="s">
        <v>49</v>
      </c>
      <c r="B35" s="299"/>
      <c r="C35" s="300"/>
      <c r="D35" s="300"/>
      <c r="E35" s="301"/>
      <c r="F35" s="300"/>
      <c r="G35" s="300"/>
      <c r="H35" s="302">
        <f>I35/$H$34</f>
        <v>0.3</v>
      </c>
      <c r="I35" s="303">
        <v>380881.5</v>
      </c>
      <c r="J35" s="304">
        <v>1</v>
      </c>
      <c r="K35" s="300">
        <v>40966</v>
      </c>
      <c r="L35" s="308">
        <v>380881.5</v>
      </c>
      <c r="M35" s="305">
        <v>41092</v>
      </c>
      <c r="N35" s="306">
        <f t="shared" ref="N35:N43" si="10">IF(M35="",$P$2-K35,M35-K35)</f>
        <v>126</v>
      </c>
      <c r="O35" s="307" t="str">
        <f t="shared" ref="O35:O43" si="11">IF(L35="en attente",I35,"")</f>
        <v/>
      </c>
      <c r="P35" s="307">
        <f t="shared" ref="P35:P43" si="12">IF(K35="",I35-L35,0)</f>
        <v>0</v>
      </c>
      <c r="Q35" s="307"/>
      <c r="R35" s="197"/>
    </row>
    <row r="36" spans="1:18" s="26" customFormat="1" x14ac:dyDescent="0.25">
      <c r="A36" s="298" t="s">
        <v>49</v>
      </c>
      <c r="B36" s="299"/>
      <c r="C36" s="300"/>
      <c r="D36" s="300"/>
      <c r="E36" s="301"/>
      <c r="F36" s="300"/>
      <c r="G36" s="300"/>
      <c r="H36" s="302">
        <f t="shared" ref="H36:H43" si="13">I36/$H$34+H35</f>
        <v>0.33439999842470691</v>
      </c>
      <c r="I36" s="303">
        <v>43674.409999999996</v>
      </c>
      <c r="J36" s="304">
        <v>2</v>
      </c>
      <c r="K36" s="300">
        <v>41211</v>
      </c>
      <c r="L36" s="308">
        <v>43674.409999999996</v>
      </c>
      <c r="M36" s="305">
        <v>41243</v>
      </c>
      <c r="N36" s="306">
        <f t="shared" si="10"/>
        <v>32</v>
      </c>
      <c r="O36" s="307" t="str">
        <f t="shared" si="11"/>
        <v/>
      </c>
      <c r="P36" s="307">
        <f t="shared" si="12"/>
        <v>0</v>
      </c>
      <c r="Q36" s="307"/>
      <c r="R36" s="197"/>
    </row>
    <row r="37" spans="1:18" s="26" customFormat="1" x14ac:dyDescent="0.25">
      <c r="A37" s="298" t="s">
        <v>49</v>
      </c>
      <c r="B37" s="299"/>
      <c r="C37" s="300"/>
      <c r="D37" s="300"/>
      <c r="E37" s="301"/>
      <c r="F37" s="300"/>
      <c r="G37" s="300"/>
      <c r="H37" s="302">
        <f t="shared" si="13"/>
        <v>0.40370000118146987</v>
      </c>
      <c r="I37" s="303">
        <v>87983.63</v>
      </c>
      <c r="J37" s="304">
        <v>3</v>
      </c>
      <c r="K37" s="300">
        <v>41240</v>
      </c>
      <c r="L37" s="308">
        <v>87983.63</v>
      </c>
      <c r="M37" s="305">
        <v>41391</v>
      </c>
      <c r="N37" s="306">
        <f t="shared" si="10"/>
        <v>151</v>
      </c>
      <c r="O37" s="307" t="str">
        <f t="shared" si="11"/>
        <v/>
      </c>
      <c r="P37" s="307">
        <f t="shared" si="12"/>
        <v>0</v>
      </c>
      <c r="Q37" s="307"/>
      <c r="R37" s="197"/>
    </row>
    <row r="38" spans="1:18" s="26" customFormat="1" x14ac:dyDescent="0.25">
      <c r="A38" s="298" t="s">
        <v>49</v>
      </c>
      <c r="B38" s="299"/>
      <c r="C38" s="300"/>
      <c r="D38" s="300"/>
      <c r="E38" s="301"/>
      <c r="F38" s="300"/>
      <c r="G38" s="300"/>
      <c r="H38" s="302">
        <f t="shared" si="13"/>
        <v>0.47900000393823278</v>
      </c>
      <c r="I38" s="303">
        <v>95601.26</v>
      </c>
      <c r="J38" s="304">
        <v>4</v>
      </c>
      <c r="K38" s="300">
        <v>41313</v>
      </c>
      <c r="L38" s="308">
        <v>95601.26</v>
      </c>
      <c r="M38" s="305">
        <v>41416</v>
      </c>
      <c r="N38" s="306">
        <f t="shared" si="10"/>
        <v>103</v>
      </c>
      <c r="O38" s="307" t="str">
        <f t="shared" si="11"/>
        <v/>
      </c>
      <c r="P38" s="307">
        <f t="shared" si="12"/>
        <v>0</v>
      </c>
      <c r="Q38" s="307"/>
      <c r="R38" s="197"/>
    </row>
    <row r="39" spans="1:18" s="26" customFormat="1" x14ac:dyDescent="0.25">
      <c r="A39" s="298" t="s">
        <v>49</v>
      </c>
      <c r="B39" s="299"/>
      <c r="C39" s="300"/>
      <c r="D39" s="300"/>
      <c r="E39" s="301"/>
      <c r="F39" s="300"/>
      <c r="G39" s="300"/>
      <c r="H39" s="302">
        <f t="shared" si="13"/>
        <v>0.54780000078764657</v>
      </c>
      <c r="I39" s="303">
        <v>87348.819999999992</v>
      </c>
      <c r="J39" s="304">
        <v>5</v>
      </c>
      <c r="K39" s="300">
        <v>41360</v>
      </c>
      <c r="L39" s="308">
        <v>87348.819999999992</v>
      </c>
      <c r="M39" s="305">
        <v>41430</v>
      </c>
      <c r="N39" s="306">
        <f t="shared" si="10"/>
        <v>70</v>
      </c>
      <c r="O39" s="307" t="str">
        <f t="shared" si="11"/>
        <v/>
      </c>
      <c r="P39" s="307">
        <f t="shared" si="12"/>
        <v>0</v>
      </c>
      <c r="Q39" s="307"/>
      <c r="R39" s="197"/>
    </row>
    <row r="40" spans="1:18" s="26" customFormat="1" x14ac:dyDescent="0.25">
      <c r="A40" s="298" t="s">
        <v>49</v>
      </c>
      <c r="B40" s="299"/>
      <c r="C40" s="300"/>
      <c r="D40" s="300"/>
      <c r="E40" s="301"/>
      <c r="F40" s="300"/>
      <c r="G40" s="300"/>
      <c r="H40" s="302">
        <f t="shared" si="13"/>
        <v>0.61859999763706042</v>
      </c>
      <c r="I40" s="303">
        <v>89888.03</v>
      </c>
      <c r="J40" s="304">
        <v>6</v>
      </c>
      <c r="K40" s="300">
        <v>41422</v>
      </c>
      <c r="L40" s="308">
        <v>89888.03</v>
      </c>
      <c r="M40" s="305">
        <v>41473</v>
      </c>
      <c r="N40" s="306">
        <f t="shared" si="10"/>
        <v>51</v>
      </c>
      <c r="O40" s="307" t="str">
        <f t="shared" si="11"/>
        <v/>
      </c>
      <c r="P40" s="307">
        <f t="shared" si="12"/>
        <v>0</v>
      </c>
      <c r="Q40" s="307"/>
      <c r="R40" s="197"/>
    </row>
    <row r="41" spans="1:18" s="26" customFormat="1" x14ac:dyDescent="0.25">
      <c r="A41" s="298" t="s">
        <v>49</v>
      </c>
      <c r="B41" s="299"/>
      <c r="C41" s="300"/>
      <c r="D41" s="300"/>
      <c r="E41" s="301"/>
      <c r="F41" s="300"/>
      <c r="G41" s="300"/>
      <c r="H41" s="302">
        <f t="shared" si="13"/>
        <v>0.7272000031505863</v>
      </c>
      <c r="I41" s="303">
        <v>137879.11000000002</v>
      </c>
      <c r="J41" s="304">
        <v>7</v>
      </c>
      <c r="K41" s="300">
        <v>41466</v>
      </c>
      <c r="L41" s="308">
        <v>137879.11000000002</v>
      </c>
      <c r="M41" s="305">
        <v>41533</v>
      </c>
      <c r="N41" s="306">
        <f t="shared" si="10"/>
        <v>67</v>
      </c>
      <c r="O41" s="307" t="str">
        <f t="shared" si="11"/>
        <v/>
      </c>
      <c r="P41" s="307">
        <f t="shared" si="12"/>
        <v>0</v>
      </c>
      <c r="Q41" s="307"/>
      <c r="R41" s="197"/>
    </row>
    <row r="42" spans="1:18" s="26" customFormat="1" x14ac:dyDescent="0.25">
      <c r="A42" s="298" t="s">
        <v>49</v>
      </c>
      <c r="B42" s="299"/>
      <c r="C42" s="300"/>
      <c r="D42" s="300"/>
      <c r="E42" s="301"/>
      <c r="F42" s="300"/>
      <c r="G42" s="300"/>
      <c r="H42" s="302">
        <f t="shared" si="13"/>
        <v>0.8</v>
      </c>
      <c r="I42" s="303">
        <v>92427.24</v>
      </c>
      <c r="J42" s="304">
        <v>8</v>
      </c>
      <c r="K42" s="300">
        <v>41547</v>
      </c>
      <c r="L42" s="308">
        <v>92427.24</v>
      </c>
      <c r="M42" s="305">
        <v>41584</v>
      </c>
      <c r="N42" s="306">
        <f t="shared" si="10"/>
        <v>37</v>
      </c>
      <c r="O42" s="307" t="str">
        <f t="shared" si="11"/>
        <v/>
      </c>
      <c r="P42" s="307">
        <f t="shared" si="12"/>
        <v>0</v>
      </c>
      <c r="Q42" s="307"/>
      <c r="R42" s="197"/>
    </row>
    <row r="43" spans="1:18" s="26" customFormat="1" x14ac:dyDescent="0.25">
      <c r="A43" s="298" t="s">
        <v>49</v>
      </c>
      <c r="B43" s="299"/>
      <c r="C43" s="300"/>
      <c r="D43" s="300"/>
      <c r="E43" s="301"/>
      <c r="F43" s="300"/>
      <c r="G43" s="300"/>
      <c r="H43" s="302">
        <f t="shared" si="13"/>
        <v>1</v>
      </c>
      <c r="I43" s="303">
        <v>253921</v>
      </c>
      <c r="J43" s="304">
        <v>9</v>
      </c>
      <c r="K43" s="300">
        <v>42262</v>
      </c>
      <c r="L43" s="308">
        <v>253921</v>
      </c>
      <c r="M43" s="305">
        <v>42325</v>
      </c>
      <c r="N43" s="306">
        <f t="shared" si="10"/>
        <v>63</v>
      </c>
      <c r="O43" s="307" t="str">
        <f t="shared" si="11"/>
        <v/>
      </c>
      <c r="P43" s="307">
        <f t="shared" si="12"/>
        <v>0</v>
      </c>
      <c r="Q43" s="307"/>
      <c r="R43" s="197"/>
    </row>
    <row r="44" spans="1:18" s="120" customFormat="1" x14ac:dyDescent="0.25">
      <c r="A44" s="152" t="s">
        <v>50</v>
      </c>
      <c r="B44" s="158"/>
      <c r="C44" s="192">
        <v>40491</v>
      </c>
      <c r="D44" s="192">
        <f>DATE(YEAR(C44),MONTH(C44)+18,DAY(C44))</f>
        <v>41038</v>
      </c>
      <c r="E44" s="208">
        <v>40721</v>
      </c>
      <c r="F44" s="192">
        <f>DATE(YEAR(C44)+4,MONTH(C44),DAY(C44))</f>
        <v>41952</v>
      </c>
      <c r="G44" s="192">
        <v>41479</v>
      </c>
      <c r="H44" s="161">
        <v>1173028</v>
      </c>
      <c r="I44" s="156"/>
      <c r="J44" s="171"/>
      <c r="K44" s="192"/>
      <c r="L44" s="159">
        <f>SUM(L45:L53)</f>
        <v>938422.4</v>
      </c>
      <c r="M44" s="184"/>
      <c r="N44" s="185"/>
      <c r="O44" s="193">
        <f>SUM(O45:O53)</f>
        <v>234605.6</v>
      </c>
      <c r="P44" s="193">
        <f>SUM(P45:P53)</f>
        <v>0</v>
      </c>
      <c r="Q44" s="193"/>
      <c r="R44" s="201">
        <f>H44-(L44+O44+P44)</f>
        <v>0</v>
      </c>
    </row>
    <row r="45" spans="1:18" s="26" customFormat="1" x14ac:dyDescent="0.25">
      <c r="A45" s="47" t="s">
        <v>50</v>
      </c>
      <c r="B45" s="4"/>
      <c r="C45" s="15"/>
      <c r="D45" s="15"/>
      <c r="E45" s="209"/>
      <c r="F45" s="15"/>
      <c r="G45" s="15"/>
      <c r="H45" s="121">
        <f>I45/$H$44</f>
        <v>0.30000000000000004</v>
      </c>
      <c r="I45" s="23">
        <v>351908.4</v>
      </c>
      <c r="J45" s="43">
        <v>1</v>
      </c>
      <c r="K45" s="15">
        <v>40756</v>
      </c>
      <c r="L45" s="24">
        <v>351908.4</v>
      </c>
      <c r="M45" s="31">
        <v>40836</v>
      </c>
      <c r="N45" s="44">
        <f t="shared" ref="N45:N53" si="14">IF(M45="",$P$2-K45,M45-K45)</f>
        <v>80</v>
      </c>
      <c r="O45" s="83" t="str">
        <f t="shared" ref="O45:O53" si="15">IF(L45="en attente",I45,"")</f>
        <v/>
      </c>
      <c r="P45" s="83">
        <f t="shared" ref="P45:P53" si="16">IF(K45="",I45-L45,0)</f>
        <v>0</v>
      </c>
      <c r="Q45" s="83"/>
      <c r="R45" s="197"/>
    </row>
    <row r="46" spans="1:18" s="26" customFormat="1" x14ac:dyDescent="0.25">
      <c r="A46" s="47" t="s">
        <v>50</v>
      </c>
      <c r="B46" s="4"/>
      <c r="C46" s="15"/>
      <c r="D46" s="15"/>
      <c r="E46" s="209"/>
      <c r="F46" s="15"/>
      <c r="G46" s="15"/>
      <c r="H46" s="121">
        <f t="shared" ref="H46:H53" si="17">I46/$H$44+H45</f>
        <v>0.36240000238698483</v>
      </c>
      <c r="I46" s="23">
        <v>73196.95</v>
      </c>
      <c r="J46" s="43">
        <v>2</v>
      </c>
      <c r="K46" s="15">
        <v>41038</v>
      </c>
      <c r="L46" s="24">
        <v>73196.95</v>
      </c>
      <c r="M46" s="31">
        <v>41142</v>
      </c>
      <c r="N46" s="44">
        <f t="shared" si="14"/>
        <v>104</v>
      </c>
      <c r="O46" s="83" t="str">
        <f t="shared" si="15"/>
        <v/>
      </c>
      <c r="P46" s="83">
        <f t="shared" si="16"/>
        <v>0</v>
      </c>
      <c r="Q46" s="83"/>
      <c r="R46" s="197"/>
    </row>
    <row r="47" spans="1:18" s="26" customFormat="1" x14ac:dyDescent="0.25">
      <c r="A47" s="47" t="s">
        <v>50</v>
      </c>
      <c r="B47" s="4"/>
      <c r="C47" s="15"/>
      <c r="D47" s="15"/>
      <c r="E47" s="209"/>
      <c r="F47" s="15"/>
      <c r="G47" s="15"/>
      <c r="H47" s="121">
        <f t="shared" si="17"/>
        <v>0.42009999761301525</v>
      </c>
      <c r="I47" s="23">
        <v>67683.709999999992</v>
      </c>
      <c r="J47" s="43">
        <v>3</v>
      </c>
      <c r="K47" s="15">
        <v>41072</v>
      </c>
      <c r="L47" s="24">
        <v>67683.709999999992</v>
      </c>
      <c r="M47" s="31">
        <v>41142</v>
      </c>
      <c r="N47" s="44">
        <f t="shared" si="14"/>
        <v>70</v>
      </c>
      <c r="O47" s="83" t="str">
        <f t="shared" si="15"/>
        <v/>
      </c>
      <c r="P47" s="83">
        <f t="shared" si="16"/>
        <v>0</v>
      </c>
      <c r="Q47" s="83"/>
      <c r="R47" s="197"/>
    </row>
    <row r="48" spans="1:18" s="26" customFormat="1" x14ac:dyDescent="0.25">
      <c r="A48" s="47" t="s">
        <v>50</v>
      </c>
      <c r="B48" s="4"/>
      <c r="C48" s="15"/>
      <c r="D48" s="15"/>
      <c r="E48" s="209"/>
      <c r="F48" s="15"/>
      <c r="G48" s="15"/>
      <c r="H48" s="121">
        <f t="shared" si="17"/>
        <v>0.50420000204598703</v>
      </c>
      <c r="I48" s="23">
        <v>98651.66</v>
      </c>
      <c r="J48" s="43">
        <v>4</v>
      </c>
      <c r="K48" s="15">
        <v>41129</v>
      </c>
      <c r="L48" s="24">
        <v>98651.66</v>
      </c>
      <c r="M48" s="31">
        <v>41170</v>
      </c>
      <c r="N48" s="44">
        <f t="shared" si="14"/>
        <v>41</v>
      </c>
      <c r="O48" s="83" t="str">
        <f t="shared" si="15"/>
        <v/>
      </c>
      <c r="P48" s="83">
        <f t="shared" si="16"/>
        <v>0</v>
      </c>
      <c r="Q48" s="83"/>
      <c r="R48" s="197"/>
    </row>
    <row r="49" spans="1:18" s="26" customFormat="1" x14ac:dyDescent="0.25">
      <c r="A49" s="47" t="s">
        <v>50</v>
      </c>
      <c r="B49" s="4"/>
      <c r="C49" s="15"/>
      <c r="D49" s="15"/>
      <c r="E49" s="209"/>
      <c r="F49" s="15"/>
      <c r="G49" s="15"/>
      <c r="H49" s="121">
        <f t="shared" si="17"/>
        <v>0.57100000170498921</v>
      </c>
      <c r="I49" s="23">
        <v>78358.26999999999</v>
      </c>
      <c r="J49" s="43">
        <v>5</v>
      </c>
      <c r="K49" s="15">
        <v>41190</v>
      </c>
      <c r="L49" s="24">
        <v>78358.26999999999</v>
      </c>
      <c r="M49" s="31">
        <v>41219</v>
      </c>
      <c r="N49" s="44">
        <f t="shared" si="14"/>
        <v>29</v>
      </c>
      <c r="O49" s="83" t="str">
        <f t="shared" si="15"/>
        <v/>
      </c>
      <c r="P49" s="83">
        <f t="shared" si="16"/>
        <v>0</v>
      </c>
      <c r="Q49" s="83"/>
      <c r="R49" s="197"/>
    </row>
    <row r="50" spans="1:18" s="26" customFormat="1" x14ac:dyDescent="0.25">
      <c r="A50" s="47" t="s">
        <v>50</v>
      </c>
      <c r="B50" s="4"/>
      <c r="C50" s="15"/>
      <c r="D50" s="15"/>
      <c r="E50" s="209"/>
      <c r="F50" s="15"/>
      <c r="G50" s="15"/>
      <c r="H50" s="121">
        <f t="shared" si="17"/>
        <v>0.6235000017049892</v>
      </c>
      <c r="I50" s="23">
        <v>61583.969999999994</v>
      </c>
      <c r="J50" s="43">
        <v>6</v>
      </c>
      <c r="K50" s="15">
        <v>41360</v>
      </c>
      <c r="L50" s="24">
        <v>61583.969999999994</v>
      </c>
      <c r="M50" s="31">
        <v>41430</v>
      </c>
      <c r="N50" s="44">
        <f t="shared" si="14"/>
        <v>70</v>
      </c>
      <c r="O50" s="83" t="str">
        <f t="shared" si="15"/>
        <v/>
      </c>
      <c r="P50" s="83">
        <f t="shared" si="16"/>
        <v>0</v>
      </c>
      <c r="Q50" s="83"/>
      <c r="R50" s="197"/>
    </row>
    <row r="51" spans="1:18" s="26" customFormat="1" x14ac:dyDescent="0.25">
      <c r="A51" s="47" t="s">
        <v>50</v>
      </c>
      <c r="B51" s="4"/>
      <c r="C51" s="15"/>
      <c r="D51" s="15"/>
      <c r="E51" s="209"/>
      <c r="F51" s="15"/>
      <c r="G51" s="15"/>
      <c r="H51" s="121">
        <f t="shared" si="17"/>
        <v>0.7225999976130153</v>
      </c>
      <c r="I51" s="23">
        <v>116247.06999999999</v>
      </c>
      <c r="J51" s="43">
        <v>7</v>
      </c>
      <c r="K51" s="15">
        <v>41305</v>
      </c>
      <c r="L51" s="24">
        <v>116247.06999999999</v>
      </c>
      <c r="M51" s="31">
        <v>41444</v>
      </c>
      <c r="N51" s="44">
        <f t="shared" si="14"/>
        <v>139</v>
      </c>
      <c r="O51" s="83" t="str">
        <f t="shared" si="15"/>
        <v/>
      </c>
      <c r="P51" s="83">
        <f t="shared" si="16"/>
        <v>0</v>
      </c>
      <c r="Q51" s="83"/>
      <c r="R51" s="197"/>
    </row>
    <row r="52" spans="1:18" s="26" customFormat="1" x14ac:dyDescent="0.25">
      <c r="A52" s="47" t="s">
        <v>50</v>
      </c>
      <c r="B52" s="4"/>
      <c r="C52" s="15"/>
      <c r="D52" s="15"/>
      <c r="E52" s="209"/>
      <c r="F52" s="15"/>
      <c r="G52" s="15"/>
      <c r="H52" s="121">
        <f t="shared" si="17"/>
        <v>0.8</v>
      </c>
      <c r="I52" s="23">
        <v>90792.37</v>
      </c>
      <c r="J52" s="43">
        <v>8</v>
      </c>
      <c r="K52" s="15">
        <v>41463</v>
      </c>
      <c r="L52" s="24">
        <v>90792.37</v>
      </c>
      <c r="M52" s="31">
        <v>41505</v>
      </c>
      <c r="N52" s="44">
        <f t="shared" si="14"/>
        <v>42</v>
      </c>
      <c r="O52" s="83" t="str">
        <f t="shared" si="15"/>
        <v/>
      </c>
      <c r="P52" s="83">
        <f t="shared" si="16"/>
        <v>0</v>
      </c>
      <c r="Q52" s="83"/>
      <c r="R52" s="197"/>
    </row>
    <row r="53" spans="1:18" s="26" customFormat="1" x14ac:dyDescent="0.25">
      <c r="A53" s="151" t="s">
        <v>50</v>
      </c>
      <c r="B53" s="40"/>
      <c r="C53" s="37"/>
      <c r="D53" s="37"/>
      <c r="E53" s="210"/>
      <c r="F53" s="37"/>
      <c r="G53" s="37"/>
      <c r="H53" s="186">
        <f t="shared" si="17"/>
        <v>1</v>
      </c>
      <c r="I53" s="187">
        <v>234605.6</v>
      </c>
      <c r="J53" s="45">
        <v>9</v>
      </c>
      <c r="K53" s="37">
        <v>42166</v>
      </c>
      <c r="L53" s="188" t="s">
        <v>113</v>
      </c>
      <c r="M53" s="189"/>
      <c r="N53" s="44">
        <f t="shared" ca="1" si="14"/>
        <v>269</v>
      </c>
      <c r="O53" s="191">
        <f t="shared" si="15"/>
        <v>234605.6</v>
      </c>
      <c r="P53" s="191">
        <f t="shared" si="16"/>
        <v>0</v>
      </c>
      <c r="Q53" s="191"/>
      <c r="R53" s="197"/>
    </row>
    <row r="54" spans="1:18" s="120" customFormat="1" x14ac:dyDescent="0.25">
      <c r="A54" s="162" t="s">
        <v>48</v>
      </c>
      <c r="B54" s="167"/>
      <c r="C54" s="182">
        <v>40817</v>
      </c>
      <c r="D54" s="192">
        <f>DATE(YEAR(C54),MONTH(C54)+18,DAY(C54))</f>
        <v>41365</v>
      </c>
      <c r="E54" s="212">
        <v>40939</v>
      </c>
      <c r="F54" s="192">
        <f>DATE(YEAR(C54)+4,MONTH(C54),DAY(C54))</f>
        <v>42278</v>
      </c>
      <c r="G54" s="192">
        <v>41689</v>
      </c>
      <c r="H54" s="170">
        <v>119398</v>
      </c>
      <c r="I54" s="165"/>
      <c r="J54" s="166"/>
      <c r="K54" s="182"/>
      <c r="L54" s="168">
        <f>SUM(L55:L61)</f>
        <v>95518.400000000009</v>
      </c>
      <c r="M54" s="180"/>
      <c r="N54" s="200"/>
      <c r="O54" s="183">
        <f>SUM(O55:O61)</f>
        <v>23879.599999999991</v>
      </c>
      <c r="P54" s="183">
        <f>SUM(P55:P61)</f>
        <v>0</v>
      </c>
      <c r="Q54" s="183"/>
      <c r="R54" s="197">
        <f>H54-(L54+O54+P54)</f>
        <v>0</v>
      </c>
    </row>
    <row r="55" spans="1:18" s="32" customFormat="1" x14ac:dyDescent="0.25">
      <c r="A55" s="47" t="s">
        <v>48</v>
      </c>
      <c r="B55" s="28"/>
      <c r="C55" s="29"/>
      <c r="D55" s="29"/>
      <c r="E55" s="211"/>
      <c r="F55" s="29"/>
      <c r="G55" s="29"/>
      <c r="H55" s="121">
        <f>I55/H54</f>
        <v>0.3</v>
      </c>
      <c r="I55" s="23">
        <v>35819.4</v>
      </c>
      <c r="J55" s="43">
        <v>1</v>
      </c>
      <c r="K55" s="15">
        <v>40953</v>
      </c>
      <c r="L55" s="24">
        <v>35819.4</v>
      </c>
      <c r="M55" s="31">
        <v>41023</v>
      </c>
      <c r="N55" s="44">
        <f t="shared" ref="N55:N60" si="18">IF(M55="",$P$2-K55,M55-K55)</f>
        <v>70</v>
      </c>
      <c r="O55" s="83" t="str">
        <f t="shared" ref="O55:O61" si="19">IF(L55="en attente",I55,"")</f>
        <v/>
      </c>
      <c r="P55" s="83">
        <f t="shared" ref="P55:P61" si="20">IF(K55="",I55-L55,0)</f>
        <v>0</v>
      </c>
      <c r="Q55" s="83"/>
      <c r="R55" s="204"/>
    </row>
    <row r="56" spans="1:18" s="32" customFormat="1" x14ac:dyDescent="0.25">
      <c r="A56" s="47" t="s">
        <v>48</v>
      </c>
      <c r="B56" s="28"/>
      <c r="C56" s="29"/>
      <c r="D56" s="29"/>
      <c r="E56" s="211"/>
      <c r="F56" s="29"/>
      <c r="G56" s="29"/>
      <c r="H56" s="121">
        <f t="shared" ref="H56:H61" si="21">I56/$H$54+H55</f>
        <v>0.36399998324930061</v>
      </c>
      <c r="I56" s="23">
        <v>7641.4699999999993</v>
      </c>
      <c r="J56" s="43">
        <v>2</v>
      </c>
      <c r="K56" s="15">
        <v>41227</v>
      </c>
      <c r="L56" s="24">
        <v>7641.4699999999993</v>
      </c>
      <c r="M56" s="31">
        <v>41317</v>
      </c>
      <c r="N56" s="44">
        <f t="shared" si="18"/>
        <v>90</v>
      </c>
      <c r="O56" s="83" t="str">
        <f t="shared" si="19"/>
        <v/>
      </c>
      <c r="P56" s="83">
        <f t="shared" si="20"/>
        <v>0</v>
      </c>
      <c r="Q56" s="83"/>
      <c r="R56" s="204"/>
    </row>
    <row r="57" spans="1:18" s="32" customFormat="1" x14ac:dyDescent="0.25">
      <c r="A57" s="47" t="s">
        <v>48</v>
      </c>
      <c r="B57" s="28"/>
      <c r="C57" s="29"/>
      <c r="D57" s="29"/>
      <c r="E57" s="211"/>
      <c r="F57" s="29"/>
      <c r="G57" s="29"/>
      <c r="H57" s="121">
        <f t="shared" si="21"/>
        <v>0.49319996984874115</v>
      </c>
      <c r="I57" s="23">
        <v>15426.220000000001</v>
      </c>
      <c r="J57" s="43">
        <v>3</v>
      </c>
      <c r="K57" s="15">
        <v>41348</v>
      </c>
      <c r="L57" s="24">
        <v>15426.220000000001</v>
      </c>
      <c r="M57" s="31">
        <v>41416</v>
      </c>
      <c r="N57" s="44">
        <f t="shared" si="18"/>
        <v>68</v>
      </c>
      <c r="O57" s="83" t="str">
        <f t="shared" si="19"/>
        <v/>
      </c>
      <c r="P57" s="83">
        <f t="shared" si="20"/>
        <v>0</v>
      </c>
      <c r="Q57" s="83"/>
      <c r="R57" s="204"/>
    </row>
    <row r="58" spans="1:18" s="32" customFormat="1" x14ac:dyDescent="0.25">
      <c r="A58" s="47" t="s">
        <v>48</v>
      </c>
      <c r="B58" s="28"/>
      <c r="C58" s="29"/>
      <c r="D58" s="29"/>
      <c r="E58" s="211"/>
      <c r="F58" s="29"/>
      <c r="G58" s="29"/>
      <c r="H58" s="121">
        <f t="shared" si="21"/>
        <v>0.63489999832493005</v>
      </c>
      <c r="I58" s="23">
        <v>16918.7</v>
      </c>
      <c r="J58" s="43">
        <v>4</v>
      </c>
      <c r="K58" s="15">
        <v>41463</v>
      </c>
      <c r="L58" s="24">
        <v>16918.7</v>
      </c>
      <c r="M58" s="31">
        <v>41522</v>
      </c>
      <c r="N58" s="44">
        <f t="shared" si="18"/>
        <v>59</v>
      </c>
      <c r="O58" s="83" t="str">
        <f t="shared" si="19"/>
        <v/>
      </c>
      <c r="P58" s="83">
        <f t="shared" si="20"/>
        <v>0</v>
      </c>
      <c r="Q58" s="83"/>
      <c r="R58" s="204"/>
    </row>
    <row r="59" spans="1:18" s="32" customFormat="1" x14ac:dyDescent="0.25">
      <c r="A59" s="47" t="s">
        <v>48</v>
      </c>
      <c r="B59" s="28"/>
      <c r="C59" s="29"/>
      <c r="D59" s="29"/>
      <c r="E59" s="211"/>
      <c r="F59" s="29"/>
      <c r="G59" s="29"/>
      <c r="H59" s="121">
        <f t="shared" si="21"/>
        <v>0.72769996147339144</v>
      </c>
      <c r="I59" s="23">
        <v>11080.130000000001</v>
      </c>
      <c r="J59" s="43">
        <v>5</v>
      </c>
      <c r="K59" s="15">
        <v>41547</v>
      </c>
      <c r="L59" s="24">
        <v>11080.130000000001</v>
      </c>
      <c r="M59" s="31">
        <v>41582</v>
      </c>
      <c r="N59" s="44">
        <f t="shared" si="18"/>
        <v>35</v>
      </c>
      <c r="O59" s="83" t="str">
        <f t="shared" si="19"/>
        <v/>
      </c>
      <c r="P59" s="83">
        <f t="shared" si="20"/>
        <v>0</v>
      </c>
      <c r="Q59" s="83"/>
      <c r="R59" s="204"/>
    </row>
    <row r="60" spans="1:18" s="32" customFormat="1" x14ac:dyDescent="0.25">
      <c r="A60" s="47" t="s">
        <v>48</v>
      </c>
      <c r="B60" s="28"/>
      <c r="C60" s="29"/>
      <c r="D60" s="29"/>
      <c r="E60" s="211"/>
      <c r="F60" s="29"/>
      <c r="G60" s="29"/>
      <c r="H60" s="121">
        <f t="shared" si="21"/>
        <v>0.79999999999999993</v>
      </c>
      <c r="I60" s="23">
        <v>8632.48</v>
      </c>
      <c r="J60" s="43">
        <v>6</v>
      </c>
      <c r="K60" s="15">
        <v>41697</v>
      </c>
      <c r="L60" s="24">
        <v>8632.48</v>
      </c>
      <c r="M60" s="31">
        <v>41859</v>
      </c>
      <c r="N60" s="44">
        <f t="shared" si="18"/>
        <v>162</v>
      </c>
      <c r="O60" s="83" t="str">
        <f t="shared" si="19"/>
        <v/>
      </c>
      <c r="P60" s="83">
        <f t="shared" si="20"/>
        <v>0</v>
      </c>
      <c r="Q60" s="83"/>
      <c r="R60" s="204"/>
    </row>
    <row r="61" spans="1:18" s="32" customFormat="1" x14ac:dyDescent="0.25">
      <c r="A61" s="47" t="s">
        <v>48</v>
      </c>
      <c r="B61" s="28"/>
      <c r="C61" s="29"/>
      <c r="D61" s="29"/>
      <c r="E61" s="211"/>
      <c r="F61" s="29"/>
      <c r="G61" s="29"/>
      <c r="H61" s="121">
        <f t="shared" si="21"/>
        <v>0.99999999999999989</v>
      </c>
      <c r="I61" s="23">
        <f>H54-SUM(I55:I60)</f>
        <v>23879.599999999991</v>
      </c>
      <c r="J61" s="43">
        <v>7</v>
      </c>
      <c r="K61" s="15">
        <v>42423</v>
      </c>
      <c r="L61" s="137" t="s">
        <v>113</v>
      </c>
      <c r="M61" s="31"/>
      <c r="N61" s="44"/>
      <c r="O61" s="83">
        <f t="shared" si="19"/>
        <v>23879.599999999991</v>
      </c>
      <c r="P61" s="83">
        <f t="shared" si="20"/>
        <v>0</v>
      </c>
      <c r="Q61" s="83"/>
      <c r="R61" s="204"/>
    </row>
    <row r="62" spans="1:18" s="8" customFormat="1" x14ac:dyDescent="0.25">
      <c r="A62" s="152" t="s">
        <v>48</v>
      </c>
      <c r="B62" s="153"/>
      <c r="C62" s="192">
        <v>40817</v>
      </c>
      <c r="D62" s="192">
        <f>DATE(YEAR(C62),MONTH(C62)+18,DAY(C62))</f>
        <v>41365</v>
      </c>
      <c r="E62" s="208">
        <v>40939</v>
      </c>
      <c r="F62" s="192">
        <f>DATE(YEAR(C62)+4,MONTH(C62),DAY(C62))</f>
        <v>42278</v>
      </c>
      <c r="G62" s="192">
        <v>41689</v>
      </c>
      <c r="H62" s="161">
        <v>380000</v>
      </c>
      <c r="I62" s="156"/>
      <c r="J62" s="171"/>
      <c r="K62" s="158"/>
      <c r="L62" s="159">
        <f>SUM(L63:L69)</f>
        <v>304000</v>
      </c>
      <c r="M62" s="184"/>
      <c r="N62" s="185"/>
      <c r="O62" s="193">
        <f>SUM(O63:O69)</f>
        <v>76000</v>
      </c>
      <c r="P62" s="193">
        <f>SUM(P63:P69)</f>
        <v>0</v>
      </c>
      <c r="Q62" s="193"/>
      <c r="R62" s="201">
        <f>H62-(L62+O62+P62)</f>
        <v>0</v>
      </c>
    </row>
    <row r="63" spans="1:18" s="26" customFormat="1" x14ac:dyDescent="0.25">
      <c r="A63" s="47" t="s">
        <v>48</v>
      </c>
      <c r="B63" s="4"/>
      <c r="C63" s="15"/>
      <c r="D63" s="15"/>
      <c r="E63" s="209"/>
      <c r="F63" s="15"/>
      <c r="G63" s="15"/>
      <c r="H63" s="121">
        <f>I63/$H$62</f>
        <v>0.3</v>
      </c>
      <c r="I63" s="23">
        <v>114000</v>
      </c>
      <c r="J63" s="43">
        <v>1</v>
      </c>
      <c r="K63" s="15">
        <v>40953</v>
      </c>
      <c r="L63" s="24">
        <v>114000</v>
      </c>
      <c r="M63" s="31">
        <v>41023</v>
      </c>
      <c r="N63" s="44">
        <f t="shared" ref="N63:N68" si="22">IF(M63="",$P$2-K63,M63-K63)</f>
        <v>70</v>
      </c>
      <c r="O63" s="83" t="str">
        <f t="shared" ref="O63:O69" si="23">IF(L63="en attente",I63,"")</f>
        <v/>
      </c>
      <c r="P63" s="83">
        <f t="shared" ref="P63:P69" si="24">IF(K63="",I63-L63,0)</f>
        <v>0</v>
      </c>
      <c r="Q63" s="83"/>
      <c r="R63" s="197"/>
    </row>
    <row r="64" spans="1:18" s="26" customFormat="1" x14ac:dyDescent="0.25">
      <c r="A64" s="47" t="s">
        <v>48</v>
      </c>
      <c r="B64" s="4"/>
      <c r="C64" s="15"/>
      <c r="D64" s="15"/>
      <c r="E64" s="209"/>
      <c r="F64" s="15"/>
      <c r="G64" s="15"/>
      <c r="H64" s="121">
        <f t="shared" ref="H64:H69" si="25">I64/$H$62+H63</f>
        <v>0.36399999999999999</v>
      </c>
      <c r="I64" s="23">
        <v>24320</v>
      </c>
      <c r="J64" s="43">
        <v>2</v>
      </c>
      <c r="K64" s="15">
        <v>41227</v>
      </c>
      <c r="L64" s="24">
        <v>24320</v>
      </c>
      <c r="M64" s="31">
        <v>41317</v>
      </c>
      <c r="N64" s="44">
        <f t="shared" si="22"/>
        <v>90</v>
      </c>
      <c r="O64" s="83" t="str">
        <f t="shared" si="23"/>
        <v/>
      </c>
      <c r="P64" s="83">
        <f t="shared" si="24"/>
        <v>0</v>
      </c>
      <c r="Q64" s="83"/>
      <c r="R64" s="197"/>
    </row>
    <row r="65" spans="1:18" s="26" customFormat="1" x14ac:dyDescent="0.25">
      <c r="A65" s="47" t="s">
        <v>48</v>
      </c>
      <c r="B65" s="4"/>
      <c r="C65" s="15"/>
      <c r="D65" s="15"/>
      <c r="E65" s="209"/>
      <c r="F65" s="15"/>
      <c r="G65" s="15"/>
      <c r="H65" s="121">
        <f t="shared" si="25"/>
        <v>0.49670000000000003</v>
      </c>
      <c r="I65" s="23">
        <v>50426</v>
      </c>
      <c r="J65" s="43">
        <v>3</v>
      </c>
      <c r="K65" s="15">
        <v>41348</v>
      </c>
      <c r="L65" s="24">
        <v>50426</v>
      </c>
      <c r="M65" s="31">
        <v>41416</v>
      </c>
      <c r="N65" s="44">
        <f t="shared" si="22"/>
        <v>68</v>
      </c>
      <c r="O65" s="83" t="str">
        <f t="shared" si="23"/>
        <v/>
      </c>
      <c r="P65" s="83">
        <f t="shared" si="24"/>
        <v>0</v>
      </c>
      <c r="Q65" s="83"/>
      <c r="R65" s="197"/>
    </row>
    <row r="66" spans="1:18" s="26" customFormat="1" x14ac:dyDescent="0.25">
      <c r="A66" s="47" t="s">
        <v>48</v>
      </c>
      <c r="B66" s="4"/>
      <c r="C66" s="15"/>
      <c r="D66" s="15"/>
      <c r="E66" s="209"/>
      <c r="F66" s="15"/>
      <c r="G66" s="15"/>
      <c r="H66" s="121">
        <f t="shared" si="25"/>
        <v>0.63929999999999998</v>
      </c>
      <c r="I66" s="23">
        <v>54188</v>
      </c>
      <c r="J66" s="43">
        <v>4</v>
      </c>
      <c r="K66" s="15">
        <v>41463</v>
      </c>
      <c r="L66" s="24">
        <v>54188</v>
      </c>
      <c r="M66" s="31">
        <v>41522</v>
      </c>
      <c r="N66" s="44">
        <f t="shared" si="22"/>
        <v>59</v>
      </c>
      <c r="O66" s="83" t="str">
        <f t="shared" si="23"/>
        <v/>
      </c>
      <c r="P66" s="83">
        <f t="shared" si="24"/>
        <v>0</v>
      </c>
      <c r="Q66" s="83"/>
      <c r="R66" s="197"/>
    </row>
    <row r="67" spans="1:18" s="26" customFormat="1" x14ac:dyDescent="0.25">
      <c r="A67" s="47" t="s">
        <v>48</v>
      </c>
      <c r="B67" s="4"/>
      <c r="C67" s="15"/>
      <c r="D67" s="15"/>
      <c r="E67" s="209"/>
      <c r="F67" s="15"/>
      <c r="G67" s="15"/>
      <c r="H67" s="121">
        <f t="shared" si="25"/>
        <v>0.73280000000000001</v>
      </c>
      <c r="I67" s="23">
        <v>35530</v>
      </c>
      <c r="J67" s="43">
        <v>5</v>
      </c>
      <c r="K67" s="15">
        <v>41547</v>
      </c>
      <c r="L67" s="24">
        <v>35530</v>
      </c>
      <c r="M67" s="31">
        <v>41582</v>
      </c>
      <c r="N67" s="44">
        <f t="shared" si="22"/>
        <v>35</v>
      </c>
      <c r="O67" s="83" t="str">
        <f t="shared" si="23"/>
        <v/>
      </c>
      <c r="P67" s="83">
        <f t="shared" si="24"/>
        <v>0</v>
      </c>
      <c r="Q67" s="83"/>
      <c r="R67" s="197"/>
    </row>
    <row r="68" spans="1:18" s="26" customFormat="1" x14ac:dyDescent="0.25">
      <c r="A68" s="47" t="s">
        <v>48</v>
      </c>
      <c r="B68" s="4"/>
      <c r="C68" s="15"/>
      <c r="D68" s="15"/>
      <c r="E68" s="209"/>
      <c r="F68" s="15"/>
      <c r="G68" s="15"/>
      <c r="H68" s="121">
        <f t="shared" si="25"/>
        <v>0.8</v>
      </c>
      <c r="I68" s="23">
        <v>25536</v>
      </c>
      <c r="J68" s="43">
        <v>6</v>
      </c>
      <c r="K68" s="15">
        <v>41697</v>
      </c>
      <c r="L68" s="24">
        <v>25536</v>
      </c>
      <c r="M68" s="31">
        <v>41859</v>
      </c>
      <c r="N68" s="44">
        <f t="shared" si="22"/>
        <v>162</v>
      </c>
      <c r="O68" s="83" t="str">
        <f t="shared" si="23"/>
        <v/>
      </c>
      <c r="P68" s="83">
        <f t="shared" si="24"/>
        <v>0</v>
      </c>
      <c r="Q68" s="83"/>
      <c r="R68" s="197"/>
    </row>
    <row r="69" spans="1:18" s="26" customFormat="1" x14ac:dyDescent="0.25">
      <c r="A69" s="151" t="s">
        <v>48</v>
      </c>
      <c r="B69" s="40"/>
      <c r="C69" s="37"/>
      <c r="D69" s="37"/>
      <c r="E69" s="210"/>
      <c r="F69" s="37"/>
      <c r="G69" s="37"/>
      <c r="H69" s="186">
        <f t="shared" si="25"/>
        <v>1</v>
      </c>
      <c r="I69" s="36">
        <v>76000</v>
      </c>
      <c r="J69" s="45">
        <v>7</v>
      </c>
      <c r="K69" s="37">
        <v>42423</v>
      </c>
      <c r="L69" s="188" t="s">
        <v>113</v>
      </c>
      <c r="M69" s="189"/>
      <c r="N69" s="190"/>
      <c r="O69" s="191">
        <f t="shared" si="23"/>
        <v>76000</v>
      </c>
      <c r="P69" s="191">
        <f t="shared" si="24"/>
        <v>0</v>
      </c>
      <c r="Q69" s="191"/>
      <c r="R69" s="197"/>
    </row>
    <row r="70" spans="1:18" s="120" customFormat="1" x14ac:dyDescent="0.25">
      <c r="A70" s="162" t="s">
        <v>51</v>
      </c>
      <c r="B70" s="167"/>
      <c r="C70" s="182">
        <v>40884</v>
      </c>
      <c r="D70" s="192">
        <f>DATE(YEAR(C70),MONTH(C70)+18,DAY(C70))</f>
        <v>41432</v>
      </c>
      <c r="E70" s="212">
        <v>40970</v>
      </c>
      <c r="F70" s="192">
        <f>DATE(YEAR(C70)+4,MONTH(C70),DAY(C70))</f>
        <v>42345</v>
      </c>
      <c r="G70" s="192">
        <v>41627</v>
      </c>
      <c r="H70" s="170">
        <v>620464</v>
      </c>
      <c r="I70" s="165"/>
      <c r="J70" s="166"/>
      <c r="K70" s="182"/>
      <c r="L70" s="168">
        <f>SUM(L71:L77)</f>
        <v>496371.19999999995</v>
      </c>
      <c r="M70" s="180"/>
      <c r="N70" s="200"/>
      <c r="O70" s="183">
        <f>SUM(O71:O77)</f>
        <v>124092.8</v>
      </c>
      <c r="P70" s="183">
        <f>SUM(P71:P77)</f>
        <v>0</v>
      </c>
      <c r="Q70" s="183"/>
      <c r="R70" s="201">
        <f>H70-(L70+O70+P70)</f>
        <v>0</v>
      </c>
    </row>
    <row r="71" spans="1:18" s="26" customFormat="1" x14ac:dyDescent="0.25">
      <c r="A71" s="47" t="s">
        <v>51</v>
      </c>
      <c r="B71" s="4"/>
      <c r="C71" s="15"/>
      <c r="D71" s="15"/>
      <c r="E71" s="209"/>
      <c r="F71" s="15"/>
      <c r="G71" s="15"/>
      <c r="H71" s="121">
        <f>I71/$H$70</f>
        <v>0.30000000000000004</v>
      </c>
      <c r="I71" s="23">
        <v>186139.2</v>
      </c>
      <c r="J71" s="43">
        <v>1</v>
      </c>
      <c r="K71" s="15">
        <v>41003</v>
      </c>
      <c r="L71" s="24">
        <v>186139.2</v>
      </c>
      <c r="M71" s="31">
        <v>41065</v>
      </c>
      <c r="N71" s="44">
        <f t="shared" ref="N71:N76" si="26">IF(M71="",$P$2-K71,M71-K71)</f>
        <v>62</v>
      </c>
      <c r="O71" s="83" t="str">
        <f t="shared" ref="O71:O77" si="27">IF(L71="en attente",I71,"")</f>
        <v/>
      </c>
      <c r="P71" s="83">
        <f t="shared" ref="P71:P77" si="28">IF(K71="",I71-L71,0)</f>
        <v>0</v>
      </c>
      <c r="Q71" s="83"/>
      <c r="R71" s="197"/>
    </row>
    <row r="72" spans="1:18" s="26" customFormat="1" x14ac:dyDescent="0.25">
      <c r="A72" s="47" t="s">
        <v>51</v>
      </c>
      <c r="B72" s="4"/>
      <c r="C72" s="15"/>
      <c r="D72" s="15"/>
      <c r="E72" s="209"/>
      <c r="F72" s="15"/>
      <c r="G72" s="15"/>
      <c r="H72" s="121">
        <f t="shared" ref="H72:H77" si="29">I72/$H$70+H71</f>
        <v>0.37989999419789067</v>
      </c>
      <c r="I72" s="23">
        <v>49575.07</v>
      </c>
      <c r="J72" s="43">
        <v>2</v>
      </c>
      <c r="K72" s="15">
        <v>41235</v>
      </c>
      <c r="L72" s="24">
        <v>49575.07</v>
      </c>
      <c r="M72" s="31">
        <v>41317</v>
      </c>
      <c r="N72" s="44">
        <f t="shared" si="26"/>
        <v>82</v>
      </c>
      <c r="O72" s="83" t="str">
        <f t="shared" si="27"/>
        <v/>
      </c>
      <c r="P72" s="83">
        <f t="shared" si="28"/>
        <v>0</v>
      </c>
      <c r="Q72" s="83"/>
      <c r="R72" s="197"/>
    </row>
    <row r="73" spans="1:18" s="26" customFormat="1" x14ac:dyDescent="0.25">
      <c r="A73" s="47" t="s">
        <v>51</v>
      </c>
      <c r="B73" s="4"/>
      <c r="C73" s="15"/>
      <c r="D73" s="15"/>
      <c r="E73" s="209"/>
      <c r="F73" s="15"/>
      <c r="G73" s="15"/>
      <c r="H73" s="121">
        <f t="shared" si="29"/>
        <v>0.52579999806596356</v>
      </c>
      <c r="I73" s="23">
        <v>90525.7</v>
      </c>
      <c r="J73" s="43">
        <v>3</v>
      </c>
      <c r="K73" s="15">
        <v>41313</v>
      </c>
      <c r="L73" s="24">
        <v>90525.7</v>
      </c>
      <c r="M73" s="31">
        <v>41388</v>
      </c>
      <c r="N73" s="44">
        <f t="shared" si="26"/>
        <v>75</v>
      </c>
      <c r="O73" s="83" t="str">
        <f t="shared" si="27"/>
        <v/>
      </c>
      <c r="P73" s="83">
        <f t="shared" si="28"/>
        <v>0</v>
      </c>
      <c r="Q73" s="83"/>
      <c r="R73" s="197"/>
    </row>
    <row r="74" spans="1:18" s="26" customFormat="1" x14ac:dyDescent="0.25">
      <c r="A74" s="47" t="s">
        <v>51</v>
      </c>
      <c r="B74" s="4"/>
      <c r="C74" s="15"/>
      <c r="D74" s="15"/>
      <c r="E74" s="209"/>
      <c r="F74" s="15"/>
      <c r="G74" s="15"/>
      <c r="H74" s="121">
        <f t="shared" si="29"/>
        <v>0.59159999613192715</v>
      </c>
      <c r="I74" s="23">
        <v>40826.53</v>
      </c>
      <c r="J74" s="43">
        <v>4</v>
      </c>
      <c r="K74" s="15">
        <v>41361</v>
      </c>
      <c r="L74" s="24">
        <v>40826.53</v>
      </c>
      <c r="M74" s="31">
        <v>41416</v>
      </c>
      <c r="N74" s="44">
        <f t="shared" si="26"/>
        <v>55</v>
      </c>
      <c r="O74" s="83" t="str">
        <f t="shared" si="27"/>
        <v/>
      </c>
      <c r="P74" s="83">
        <f t="shared" si="28"/>
        <v>0</v>
      </c>
      <c r="Q74" s="83"/>
      <c r="R74" s="197"/>
    </row>
    <row r="75" spans="1:18" s="26" customFormat="1" x14ac:dyDescent="0.25">
      <c r="A75" s="47" t="s">
        <v>51</v>
      </c>
      <c r="B75" s="4"/>
      <c r="C75" s="15"/>
      <c r="D75" s="15"/>
      <c r="E75" s="209"/>
      <c r="F75" s="15"/>
      <c r="G75" s="15"/>
      <c r="H75" s="121">
        <f t="shared" si="29"/>
        <v>0.69980000451275182</v>
      </c>
      <c r="I75" s="23">
        <v>67134.209999999992</v>
      </c>
      <c r="J75" s="43">
        <v>5</v>
      </c>
      <c r="K75" s="15">
        <v>41423</v>
      </c>
      <c r="L75" s="24">
        <v>67134.209999999992</v>
      </c>
      <c r="M75" s="31">
        <v>41473</v>
      </c>
      <c r="N75" s="44">
        <f t="shared" si="26"/>
        <v>50</v>
      </c>
      <c r="O75" s="83" t="str">
        <f t="shared" si="27"/>
        <v/>
      </c>
      <c r="P75" s="83">
        <f t="shared" si="28"/>
        <v>0</v>
      </c>
      <c r="Q75" s="83"/>
      <c r="R75" s="197"/>
    </row>
    <row r="76" spans="1:18" s="26" customFormat="1" x14ac:dyDescent="0.25">
      <c r="A76" s="47" t="s">
        <v>51</v>
      </c>
      <c r="B76" s="4"/>
      <c r="C76" s="15"/>
      <c r="D76" s="15"/>
      <c r="E76" s="209"/>
      <c r="F76" s="15"/>
      <c r="G76" s="15"/>
      <c r="H76" s="121">
        <f t="shared" si="29"/>
        <v>0.8</v>
      </c>
      <c r="I76" s="23">
        <v>62170.490000000005</v>
      </c>
      <c r="J76" s="43">
        <v>6</v>
      </c>
      <c r="K76" s="15">
        <v>41463</v>
      </c>
      <c r="L76" s="24">
        <v>62170.490000000005</v>
      </c>
      <c r="M76" s="31">
        <v>41522</v>
      </c>
      <c r="N76" s="44">
        <f t="shared" si="26"/>
        <v>59</v>
      </c>
      <c r="O76" s="83" t="str">
        <f t="shared" si="27"/>
        <v/>
      </c>
      <c r="P76" s="83">
        <f t="shared" si="28"/>
        <v>0</v>
      </c>
      <c r="Q76" s="83"/>
      <c r="R76" s="197"/>
    </row>
    <row r="77" spans="1:18" s="26" customFormat="1" x14ac:dyDescent="0.25">
      <c r="A77" s="47" t="s">
        <v>51</v>
      </c>
      <c r="B77" s="4"/>
      <c r="C77" s="15"/>
      <c r="D77" s="15"/>
      <c r="E77" s="209"/>
      <c r="F77" s="15"/>
      <c r="G77" s="15"/>
      <c r="H77" s="121">
        <f t="shared" si="29"/>
        <v>1</v>
      </c>
      <c r="I77" s="23">
        <v>124092.8</v>
      </c>
      <c r="J77" s="43">
        <v>7</v>
      </c>
      <c r="K77" s="15">
        <v>42318</v>
      </c>
      <c r="L77" s="137" t="s">
        <v>113</v>
      </c>
      <c r="M77" s="31"/>
      <c r="N77" s="44"/>
      <c r="O77" s="83">
        <f t="shared" si="27"/>
        <v>124092.8</v>
      </c>
      <c r="P77" s="83">
        <f t="shared" si="28"/>
        <v>0</v>
      </c>
      <c r="Q77" s="83"/>
      <c r="R77" s="197"/>
    </row>
    <row r="78" spans="1:18" s="120" customFormat="1" x14ac:dyDescent="0.25">
      <c r="A78" s="287" t="s">
        <v>53</v>
      </c>
      <c r="B78" s="295"/>
      <c r="C78" s="290">
        <v>40848</v>
      </c>
      <c r="D78" s="290">
        <f>DATE(YEAR(C78),MONTH(C78)+18,DAY(C78))</f>
        <v>41395</v>
      </c>
      <c r="E78" s="291">
        <v>40924</v>
      </c>
      <c r="F78" s="290">
        <f>DATE(YEAR(C78)+4,MONTH(C78),DAY(C78))</f>
        <v>42309</v>
      </c>
      <c r="G78" s="290">
        <v>41429</v>
      </c>
      <c r="H78" s="292">
        <v>355000</v>
      </c>
      <c r="I78" s="293"/>
      <c r="J78" s="350"/>
      <c r="K78" s="290"/>
      <c r="L78" s="296">
        <f>SUM(L79:L83)</f>
        <v>355000</v>
      </c>
      <c r="M78" s="289"/>
      <c r="N78" s="297"/>
      <c r="O78" s="351">
        <f>SUM(O79:O83)</f>
        <v>0</v>
      </c>
      <c r="P78" s="351">
        <f>SUM(P79:P83)</f>
        <v>0</v>
      </c>
      <c r="Q78" s="351"/>
      <c r="R78" s="201">
        <f>H78-(L78+O78+P78)</f>
        <v>0</v>
      </c>
    </row>
    <row r="79" spans="1:18" s="26" customFormat="1" x14ac:dyDescent="0.25">
      <c r="A79" s="298" t="s">
        <v>53</v>
      </c>
      <c r="B79" s="299"/>
      <c r="C79" s="300"/>
      <c r="D79" s="300"/>
      <c r="E79" s="301"/>
      <c r="F79" s="300"/>
      <c r="G79" s="300"/>
      <c r="H79" s="302">
        <f>I79/$H$78</f>
        <v>0.3</v>
      </c>
      <c r="I79" s="303">
        <v>106500</v>
      </c>
      <c r="J79" s="304">
        <v>1</v>
      </c>
      <c r="K79" s="300">
        <v>41052</v>
      </c>
      <c r="L79" s="308">
        <v>106500</v>
      </c>
      <c r="M79" s="305">
        <v>41102</v>
      </c>
      <c r="N79" s="306">
        <f>IF(M79="",$P$2-K79,M79-K79)</f>
        <v>50</v>
      </c>
      <c r="O79" s="307" t="str">
        <f>IF(L79="en attente",I79,"")</f>
        <v/>
      </c>
      <c r="P79" s="307">
        <f>IF(K79="",I79-L79,0)</f>
        <v>0</v>
      </c>
      <c r="Q79" s="307"/>
      <c r="R79" s="197"/>
    </row>
    <row r="80" spans="1:18" s="26" customFormat="1" x14ac:dyDescent="0.25">
      <c r="A80" s="298" t="s">
        <v>53</v>
      </c>
      <c r="B80" s="299"/>
      <c r="C80" s="300"/>
      <c r="D80" s="300"/>
      <c r="E80" s="301"/>
      <c r="F80" s="300"/>
      <c r="G80" s="300"/>
      <c r="H80" s="302">
        <f>I80/$H$78+H79</f>
        <v>0.55659999999999998</v>
      </c>
      <c r="I80" s="303">
        <v>91093</v>
      </c>
      <c r="J80" s="304">
        <v>2</v>
      </c>
      <c r="K80" s="300">
        <v>41200</v>
      </c>
      <c r="L80" s="308">
        <v>91093</v>
      </c>
      <c r="M80" s="305">
        <v>41243</v>
      </c>
      <c r="N80" s="306">
        <f>IF(M80="",$P$2-K80,M80-K80)</f>
        <v>43</v>
      </c>
      <c r="O80" s="307" t="str">
        <f>IF(L80="en attente",I80,"")</f>
        <v/>
      </c>
      <c r="P80" s="307">
        <f>IF(K80="",I80-L80,0)</f>
        <v>0</v>
      </c>
      <c r="Q80" s="307"/>
      <c r="R80" s="197"/>
    </row>
    <row r="81" spans="1:18" s="26" customFormat="1" x14ac:dyDescent="0.25">
      <c r="A81" s="298" t="s">
        <v>53</v>
      </c>
      <c r="B81" s="299"/>
      <c r="C81" s="300"/>
      <c r="D81" s="300"/>
      <c r="E81" s="301"/>
      <c r="F81" s="300"/>
      <c r="G81" s="300"/>
      <c r="H81" s="302">
        <f>I81/$H$78+H80</f>
        <v>0.65239999999999998</v>
      </c>
      <c r="I81" s="303">
        <v>34009</v>
      </c>
      <c r="J81" s="304">
        <v>3</v>
      </c>
      <c r="K81" s="300">
        <v>41362</v>
      </c>
      <c r="L81" s="308">
        <v>34009</v>
      </c>
      <c r="M81" s="305">
        <v>41444</v>
      </c>
      <c r="N81" s="306">
        <f>IF(M81="",$P$2-K81,M81-K81)</f>
        <v>82</v>
      </c>
      <c r="O81" s="307" t="str">
        <f>IF(L81="en attente",I81,"")</f>
        <v/>
      </c>
      <c r="P81" s="307">
        <f>IF(K81="",I81-L81,0)</f>
        <v>0</v>
      </c>
      <c r="Q81" s="307"/>
      <c r="R81" s="197"/>
    </row>
    <row r="82" spans="1:18" s="26" customFormat="1" x14ac:dyDescent="0.25">
      <c r="A82" s="298" t="s">
        <v>53</v>
      </c>
      <c r="B82" s="299"/>
      <c r="C82" s="300"/>
      <c r="D82" s="300"/>
      <c r="E82" s="301"/>
      <c r="F82" s="300"/>
      <c r="G82" s="300"/>
      <c r="H82" s="302">
        <f>I82/$H$78+H81</f>
        <v>0.8</v>
      </c>
      <c r="I82" s="303">
        <v>52398</v>
      </c>
      <c r="J82" s="304">
        <v>4</v>
      </c>
      <c r="K82" s="300">
        <v>41466</v>
      </c>
      <c r="L82" s="308">
        <v>52398</v>
      </c>
      <c r="M82" s="305">
        <v>41522</v>
      </c>
      <c r="N82" s="306">
        <f>IF(M82="",$P$2-K82,M82-K82)</f>
        <v>56</v>
      </c>
      <c r="O82" s="307" t="str">
        <f>IF(L82="en attente",I82,"")</f>
        <v/>
      </c>
      <c r="P82" s="307">
        <f>IF(K82="",I82-L82,0)</f>
        <v>0</v>
      </c>
      <c r="Q82" s="307"/>
      <c r="R82" s="197"/>
    </row>
    <row r="83" spans="1:18" s="26" customFormat="1" x14ac:dyDescent="0.25">
      <c r="A83" s="309" t="s">
        <v>53</v>
      </c>
      <c r="B83" s="310"/>
      <c r="C83" s="311"/>
      <c r="D83" s="311"/>
      <c r="E83" s="312"/>
      <c r="F83" s="311"/>
      <c r="G83" s="311"/>
      <c r="H83" s="313">
        <f>I83/$H$78+H82</f>
        <v>1</v>
      </c>
      <c r="I83" s="314">
        <v>71000</v>
      </c>
      <c r="J83" s="315">
        <v>5</v>
      </c>
      <c r="K83" s="311">
        <v>42271</v>
      </c>
      <c r="L83" s="316">
        <v>71000</v>
      </c>
      <c r="M83" s="317">
        <v>42325</v>
      </c>
      <c r="N83" s="318">
        <f>IF(M83="",$P$2-K83,M83-K83)</f>
        <v>54</v>
      </c>
      <c r="O83" s="320" t="str">
        <f>IF(L83="en attente",I83,"")</f>
        <v/>
      </c>
      <c r="P83" s="320">
        <f>IF(K83="",I83-L83,0)</f>
        <v>0</v>
      </c>
      <c r="Q83" s="320"/>
      <c r="R83" s="197"/>
    </row>
    <row r="84" spans="1:18" s="120" customFormat="1" x14ac:dyDescent="0.25">
      <c r="A84" s="352" t="s">
        <v>158</v>
      </c>
      <c r="B84" s="353"/>
      <c r="C84" s="354">
        <v>40848</v>
      </c>
      <c r="D84" s="290">
        <f>DATE(YEAR(C84),MONTH(C84)+18,DAY(C84))</f>
        <v>41395</v>
      </c>
      <c r="E84" s="355">
        <v>40910</v>
      </c>
      <c r="F84" s="290">
        <f>DATE(YEAR(C84)+4,MONTH(C84),DAY(C84))</f>
        <v>42309</v>
      </c>
      <c r="G84" s="290">
        <v>41606</v>
      </c>
      <c r="H84" s="356">
        <v>300000</v>
      </c>
      <c r="I84" s="357"/>
      <c r="J84" s="358"/>
      <c r="K84" s="354"/>
      <c r="L84" s="359">
        <f>SUM(L85:L88)</f>
        <v>300000</v>
      </c>
      <c r="M84" s="360"/>
      <c r="N84" s="361"/>
      <c r="O84" s="362">
        <f>SUM(O85:O88)</f>
        <v>0</v>
      </c>
      <c r="P84" s="362">
        <f>SUM(P85:P88)</f>
        <v>0</v>
      </c>
      <c r="Q84" s="362"/>
      <c r="R84" s="201">
        <f>H84-(L84+O84+P84)</f>
        <v>0</v>
      </c>
    </row>
    <row r="85" spans="1:18" s="26" customFormat="1" x14ac:dyDescent="0.25">
      <c r="A85" s="298" t="s">
        <v>158</v>
      </c>
      <c r="B85" s="299"/>
      <c r="C85" s="300"/>
      <c r="D85" s="300"/>
      <c r="E85" s="301"/>
      <c r="F85" s="300"/>
      <c r="G85" s="300"/>
      <c r="H85" s="302">
        <f>I85/$H$84</f>
        <v>0.3</v>
      </c>
      <c r="I85" s="303">
        <v>90000</v>
      </c>
      <c r="J85" s="304">
        <v>1</v>
      </c>
      <c r="K85" s="300">
        <v>41038</v>
      </c>
      <c r="L85" s="308">
        <v>90000</v>
      </c>
      <c r="M85" s="305">
        <v>41102</v>
      </c>
      <c r="N85" s="306">
        <f>IF(M85="",$P$2-K85,M85-K85)</f>
        <v>64</v>
      </c>
      <c r="O85" s="307" t="str">
        <f>IF(L85="en attente",I85,"")</f>
        <v/>
      </c>
      <c r="P85" s="307">
        <f>IF(K85="",I85-L85,0)</f>
        <v>0</v>
      </c>
      <c r="Q85" s="307"/>
      <c r="R85" s="197"/>
    </row>
    <row r="86" spans="1:18" s="26" customFormat="1" x14ac:dyDescent="0.25">
      <c r="A86" s="298" t="s">
        <v>158</v>
      </c>
      <c r="B86" s="299"/>
      <c r="C86" s="300"/>
      <c r="D86" s="300"/>
      <c r="E86" s="301"/>
      <c r="F86" s="300"/>
      <c r="G86" s="300"/>
      <c r="H86" s="302">
        <f>I86/$H$84+H85</f>
        <v>0.60060000000000002</v>
      </c>
      <c r="I86" s="303">
        <v>90180</v>
      </c>
      <c r="J86" s="304">
        <v>2</v>
      </c>
      <c r="K86" s="300">
        <v>41240</v>
      </c>
      <c r="L86" s="308">
        <v>90180</v>
      </c>
      <c r="M86" s="305">
        <v>41416</v>
      </c>
      <c r="N86" s="306">
        <f>IF(M86="",$P$2-K86,M86-K86)</f>
        <v>176</v>
      </c>
      <c r="O86" s="307" t="str">
        <f>IF(L86="en attente",I86,"")</f>
        <v/>
      </c>
      <c r="P86" s="307">
        <f>IF(K86="",I86-L86,0)</f>
        <v>0</v>
      </c>
      <c r="Q86" s="307"/>
      <c r="R86" s="197"/>
    </row>
    <row r="87" spans="1:18" s="26" customFormat="1" x14ac:dyDescent="0.25">
      <c r="A87" s="298" t="s">
        <v>158</v>
      </c>
      <c r="B87" s="299"/>
      <c r="C87" s="300"/>
      <c r="D87" s="300"/>
      <c r="E87" s="301"/>
      <c r="F87" s="300"/>
      <c r="G87" s="300"/>
      <c r="H87" s="302">
        <f>I87/$H$84+H86</f>
        <v>0.8</v>
      </c>
      <c r="I87" s="303">
        <v>59820</v>
      </c>
      <c r="J87" s="304">
        <v>3</v>
      </c>
      <c r="K87" s="300">
        <v>41423</v>
      </c>
      <c r="L87" s="308">
        <v>59820</v>
      </c>
      <c r="M87" s="305">
        <v>41505</v>
      </c>
      <c r="N87" s="306">
        <f>IF(M87="",$P$2-K87,M87-K87)</f>
        <v>82</v>
      </c>
      <c r="O87" s="307" t="str">
        <f>IF(L87="en attente",I87,"")</f>
        <v/>
      </c>
      <c r="P87" s="307">
        <f>IF(K87="",I87-L87,0)</f>
        <v>0</v>
      </c>
      <c r="Q87" s="307"/>
      <c r="R87" s="197"/>
    </row>
    <row r="88" spans="1:18" s="26" customFormat="1" x14ac:dyDescent="0.25">
      <c r="A88" s="298" t="s">
        <v>158</v>
      </c>
      <c r="B88" s="299"/>
      <c r="C88" s="300"/>
      <c r="D88" s="300"/>
      <c r="E88" s="301"/>
      <c r="F88" s="300"/>
      <c r="G88" s="300"/>
      <c r="H88" s="302">
        <f>I88/$H$84+H87</f>
        <v>1</v>
      </c>
      <c r="I88" s="303">
        <v>60000</v>
      </c>
      <c r="J88" s="304">
        <v>4</v>
      </c>
      <c r="K88" s="300">
        <v>42278</v>
      </c>
      <c r="L88" s="308">
        <v>60000</v>
      </c>
      <c r="M88" s="305">
        <v>42325</v>
      </c>
      <c r="N88" s="306">
        <f>IF(M88="",$P$2-K88,M88-K88)</f>
        <v>47</v>
      </c>
      <c r="O88" s="307" t="str">
        <f>IF(L88="en attente",I88,"")</f>
        <v/>
      </c>
      <c r="P88" s="307">
        <f>IF(K88="",I88-L88,0)</f>
        <v>0</v>
      </c>
      <c r="Q88" s="307"/>
      <c r="R88" s="197"/>
    </row>
    <row r="89" spans="1:18" s="120" customFormat="1" x14ac:dyDescent="0.25">
      <c r="A89" s="287" t="s">
        <v>159</v>
      </c>
      <c r="B89" s="295"/>
      <c r="C89" s="290">
        <v>40848</v>
      </c>
      <c r="D89" s="290">
        <f>DATE(YEAR(C89),MONTH(C89)+18,DAY(C89))</f>
        <v>41395</v>
      </c>
      <c r="E89" s="291">
        <v>40910</v>
      </c>
      <c r="F89" s="290">
        <f>DATE(YEAR(C89)+4,MONTH(C89),DAY(C89))</f>
        <v>42309</v>
      </c>
      <c r="G89" s="290">
        <v>41606</v>
      </c>
      <c r="H89" s="292">
        <v>100000</v>
      </c>
      <c r="I89" s="293"/>
      <c r="J89" s="350"/>
      <c r="K89" s="290"/>
      <c r="L89" s="296">
        <f>SUM(L90:L93)</f>
        <v>100000</v>
      </c>
      <c r="M89" s="289"/>
      <c r="N89" s="297"/>
      <c r="O89" s="351">
        <f>SUM(O90:O93)</f>
        <v>0</v>
      </c>
      <c r="P89" s="351">
        <f>SUM(P90:P93)</f>
        <v>0</v>
      </c>
      <c r="Q89" s="351"/>
      <c r="R89" s="201">
        <f>H89-(L89+O89+P89)</f>
        <v>0</v>
      </c>
    </row>
    <row r="90" spans="1:18" s="26" customFormat="1" x14ac:dyDescent="0.25">
      <c r="A90" s="298" t="s">
        <v>159</v>
      </c>
      <c r="B90" s="299"/>
      <c r="C90" s="300"/>
      <c r="D90" s="300"/>
      <c r="E90" s="301"/>
      <c r="F90" s="300"/>
      <c r="G90" s="300"/>
      <c r="H90" s="302">
        <f>I90/$H$89</f>
        <v>0.3</v>
      </c>
      <c r="I90" s="303">
        <v>30000</v>
      </c>
      <c r="J90" s="304">
        <v>1</v>
      </c>
      <c r="K90" s="300">
        <v>41038</v>
      </c>
      <c r="L90" s="308">
        <v>30000</v>
      </c>
      <c r="M90" s="305">
        <v>41102</v>
      </c>
      <c r="N90" s="306">
        <f>IF(M90="",$P$2-K90,M90-K90)</f>
        <v>64</v>
      </c>
      <c r="O90" s="307" t="str">
        <f>IF(L90="en attente",I90,"")</f>
        <v/>
      </c>
      <c r="P90" s="307">
        <f t="shared" ref="P90:P93" si="30">IF(K90="",I90-L90,0)</f>
        <v>0</v>
      </c>
      <c r="Q90" s="307"/>
      <c r="R90" s="197"/>
    </row>
    <row r="91" spans="1:18" s="26" customFormat="1" x14ac:dyDescent="0.25">
      <c r="A91" s="298" t="s">
        <v>159</v>
      </c>
      <c r="B91" s="299"/>
      <c r="C91" s="300"/>
      <c r="D91" s="300"/>
      <c r="E91" s="301"/>
      <c r="F91" s="300"/>
      <c r="G91" s="300"/>
      <c r="H91" s="302">
        <f>I91/$H$89+H90</f>
        <v>0.60099999999999998</v>
      </c>
      <c r="I91" s="303">
        <v>30100</v>
      </c>
      <c r="J91" s="304">
        <v>2</v>
      </c>
      <c r="K91" s="300">
        <v>41240</v>
      </c>
      <c r="L91" s="308">
        <v>30100</v>
      </c>
      <c r="M91" s="305">
        <v>41416</v>
      </c>
      <c r="N91" s="306">
        <f>IF(M91="",$P$2-K91,M91-K91)</f>
        <v>176</v>
      </c>
      <c r="O91" s="307" t="str">
        <f>IF(L91="en attente",I91,"")</f>
        <v/>
      </c>
      <c r="P91" s="307">
        <f t="shared" si="30"/>
        <v>0</v>
      </c>
      <c r="Q91" s="307"/>
      <c r="R91" s="197"/>
    </row>
    <row r="92" spans="1:18" s="26" customFormat="1" x14ac:dyDescent="0.25">
      <c r="A92" s="298" t="s">
        <v>159</v>
      </c>
      <c r="B92" s="299"/>
      <c r="C92" s="300"/>
      <c r="D92" s="300"/>
      <c r="E92" s="301"/>
      <c r="F92" s="300"/>
      <c r="G92" s="300"/>
      <c r="H92" s="302">
        <f>I92/$H$89+H91</f>
        <v>0.8</v>
      </c>
      <c r="I92" s="303">
        <v>19900</v>
      </c>
      <c r="J92" s="304">
        <v>3</v>
      </c>
      <c r="K92" s="300">
        <v>41423</v>
      </c>
      <c r="L92" s="308">
        <v>19900</v>
      </c>
      <c r="M92" s="305">
        <v>41505</v>
      </c>
      <c r="N92" s="306">
        <f>IF(M92="",$P$2-K92,M92-K92)</f>
        <v>82</v>
      </c>
      <c r="O92" s="307" t="str">
        <f>IF(L92="en attente",I92,"")</f>
        <v/>
      </c>
      <c r="P92" s="307">
        <f t="shared" si="30"/>
        <v>0</v>
      </c>
      <c r="Q92" s="307"/>
      <c r="R92" s="197"/>
    </row>
    <row r="93" spans="1:18" s="26" customFormat="1" x14ac:dyDescent="0.25">
      <c r="A93" s="309" t="s">
        <v>159</v>
      </c>
      <c r="B93" s="310"/>
      <c r="C93" s="311"/>
      <c r="D93" s="311"/>
      <c r="E93" s="312"/>
      <c r="F93" s="311"/>
      <c r="G93" s="311"/>
      <c r="H93" s="313">
        <f>I93/$H$89+H92</f>
        <v>1</v>
      </c>
      <c r="I93" s="314">
        <v>20000</v>
      </c>
      <c r="J93" s="315">
        <v>4</v>
      </c>
      <c r="K93" s="311">
        <v>42278</v>
      </c>
      <c r="L93" s="316">
        <v>20000</v>
      </c>
      <c r="M93" s="317">
        <v>42312</v>
      </c>
      <c r="N93" s="318">
        <f>IF(M93="",$P$2-K93,M93-K93)</f>
        <v>34</v>
      </c>
      <c r="O93" s="320" t="str">
        <f>IF(L93="en attente",I93,"")</f>
        <v/>
      </c>
      <c r="P93" s="320">
        <f t="shared" si="30"/>
        <v>0</v>
      </c>
      <c r="Q93" s="320"/>
      <c r="R93" s="197"/>
    </row>
    <row r="94" spans="1:18" s="8" customFormat="1" x14ac:dyDescent="0.25">
      <c r="A94" s="152" t="s">
        <v>46</v>
      </c>
      <c r="B94" s="158" t="s">
        <v>215</v>
      </c>
      <c r="C94" s="192">
        <v>41081</v>
      </c>
      <c r="D94" s="192">
        <f>DATE(YEAR(C94),MONTH(C94)+18,DAY(C94))</f>
        <v>41629</v>
      </c>
      <c r="E94" s="208">
        <v>41309</v>
      </c>
      <c r="F94" s="192">
        <f>DATE(YEAR(C94)+4,MONTH(C94),DAY(C94))</f>
        <v>42542</v>
      </c>
      <c r="G94" s="192">
        <v>41992</v>
      </c>
      <c r="H94" s="161">
        <v>60000</v>
      </c>
      <c r="I94" s="156"/>
      <c r="J94" s="171"/>
      <c r="K94" s="158"/>
      <c r="L94" s="159">
        <f>SUM(L95:L96)</f>
        <v>18000</v>
      </c>
      <c r="M94" s="184"/>
      <c r="N94" s="185"/>
      <c r="O94" s="193">
        <f>SUM(O95:O96)</f>
        <v>0</v>
      </c>
      <c r="P94" s="193">
        <f>SUM(P95:P96)</f>
        <v>42000</v>
      </c>
      <c r="Q94" s="193"/>
      <c r="R94" s="201">
        <f>H94-(L94+O94+P94)</f>
        <v>0</v>
      </c>
    </row>
    <row r="95" spans="1:18" s="26" customFormat="1" x14ac:dyDescent="0.25">
      <c r="A95" s="47" t="s">
        <v>46</v>
      </c>
      <c r="B95" s="4"/>
      <c r="C95" s="15"/>
      <c r="D95" s="15"/>
      <c r="E95" s="209"/>
      <c r="F95" s="15"/>
      <c r="G95" s="15"/>
      <c r="H95" s="121">
        <f>I95/H94</f>
        <v>0.3</v>
      </c>
      <c r="I95" s="23">
        <v>18000</v>
      </c>
      <c r="J95" s="43">
        <v>1</v>
      </c>
      <c r="K95" s="15">
        <v>41313</v>
      </c>
      <c r="L95" s="24">
        <v>18000</v>
      </c>
      <c r="M95" s="31">
        <v>41388</v>
      </c>
      <c r="N95" s="44">
        <f t="shared" si="1"/>
        <v>75</v>
      </c>
      <c r="O95" s="83" t="str">
        <f t="shared" si="8"/>
        <v/>
      </c>
      <c r="P95" s="83">
        <f t="shared" si="5"/>
        <v>0</v>
      </c>
      <c r="Q95" s="83"/>
      <c r="R95" s="197"/>
    </row>
    <row r="96" spans="1:18" s="26" customFormat="1" x14ac:dyDescent="0.25">
      <c r="A96" s="47" t="s">
        <v>46</v>
      </c>
      <c r="B96" s="4"/>
      <c r="C96" s="15"/>
      <c r="D96" s="15"/>
      <c r="E96" s="209"/>
      <c r="F96" s="15"/>
      <c r="G96" s="15"/>
      <c r="H96" s="121">
        <f>I96/H94+H95</f>
        <v>1</v>
      </c>
      <c r="I96" s="124">
        <f>H94-SUM(I95)</f>
        <v>42000</v>
      </c>
      <c r="J96" s="43">
        <v>2</v>
      </c>
      <c r="K96" s="15"/>
      <c r="L96" s="24"/>
      <c r="M96" s="31"/>
      <c r="N96" s="44"/>
      <c r="O96" s="83" t="str">
        <f t="shared" si="8"/>
        <v/>
      </c>
      <c r="P96" s="83">
        <f>IF(K96="",I96-L96,0)</f>
        <v>42000</v>
      </c>
      <c r="Q96" s="83"/>
      <c r="R96" s="197"/>
    </row>
    <row r="97" spans="1:18" s="120" customFormat="1" x14ac:dyDescent="0.25">
      <c r="A97" s="152" t="s">
        <v>46</v>
      </c>
      <c r="B97" s="158" t="s">
        <v>214</v>
      </c>
      <c r="C97" s="192">
        <v>41053</v>
      </c>
      <c r="D97" s="192">
        <f>DATE(YEAR(C97),MONTH(C97)+18,DAY(C97))</f>
        <v>41602</v>
      </c>
      <c r="E97" s="208">
        <v>41309</v>
      </c>
      <c r="F97" s="192">
        <f>DATE(YEAR(C97)+4,MONTH(C97),DAY(C97))</f>
        <v>42514</v>
      </c>
      <c r="G97" s="192">
        <v>41992</v>
      </c>
      <c r="H97" s="161">
        <v>1</v>
      </c>
      <c r="I97" s="156"/>
      <c r="J97" s="171"/>
      <c r="K97" s="192"/>
      <c r="L97" s="159">
        <f>SUM(L98)</f>
        <v>0</v>
      </c>
      <c r="M97" s="184"/>
      <c r="N97" s="185"/>
      <c r="O97" s="193">
        <f>SUM(O98)</f>
        <v>0</v>
      </c>
      <c r="P97" s="193">
        <f>SUM(P98)</f>
        <v>1</v>
      </c>
      <c r="Q97" s="193"/>
      <c r="R97" s="197">
        <f>H97-(L97+O97+P97)</f>
        <v>0</v>
      </c>
    </row>
    <row r="98" spans="1:18" s="32" customFormat="1" x14ac:dyDescent="0.25">
      <c r="A98" s="47" t="s">
        <v>46</v>
      </c>
      <c r="B98" s="28"/>
      <c r="C98" s="29"/>
      <c r="D98" s="29"/>
      <c r="E98" s="211"/>
      <c r="F98" s="29"/>
      <c r="G98" s="29"/>
      <c r="H98" s="30"/>
      <c r="I98" s="23">
        <v>1</v>
      </c>
      <c r="J98" s="43">
        <v>1</v>
      </c>
      <c r="K98" s="4"/>
      <c r="L98" s="24"/>
      <c r="M98" s="31"/>
      <c r="N98" s="44"/>
      <c r="O98" s="83" t="str">
        <f t="shared" si="8"/>
        <v/>
      </c>
      <c r="P98" s="83">
        <f t="shared" si="5"/>
        <v>1</v>
      </c>
      <c r="Q98" s="83"/>
      <c r="R98" s="204"/>
    </row>
    <row r="99" spans="1:18" s="120" customFormat="1" x14ac:dyDescent="0.25">
      <c r="A99" s="152" t="s">
        <v>8</v>
      </c>
      <c r="B99" s="158" t="s">
        <v>146</v>
      </c>
      <c r="C99" s="192">
        <v>41177</v>
      </c>
      <c r="D99" s="192">
        <f>DATE(YEAR(C99),MONTH(C99)+18,DAY(C99))</f>
        <v>41723</v>
      </c>
      <c r="E99" s="208">
        <v>41295</v>
      </c>
      <c r="F99" s="192">
        <f>DATE(YEAR(C99)+4,MONTH(C99),DAY(C99))</f>
        <v>42638</v>
      </c>
      <c r="G99" s="192"/>
      <c r="H99" s="161">
        <v>558000</v>
      </c>
      <c r="I99" s="156"/>
      <c r="J99" s="171"/>
      <c r="K99" s="192"/>
      <c r="L99" s="159">
        <f>SUM(L100:L106)</f>
        <v>439201.80000000005</v>
      </c>
      <c r="M99" s="184"/>
      <c r="N99" s="185"/>
      <c r="O99" s="193">
        <f>SUM(O100:O106)</f>
        <v>0</v>
      </c>
      <c r="P99" s="193">
        <f>SUM(P100:P106)</f>
        <v>118798.2</v>
      </c>
      <c r="Q99" s="193"/>
      <c r="R99" s="201">
        <f>H99-(L99+O99+P99)</f>
        <v>0</v>
      </c>
    </row>
    <row r="100" spans="1:18" s="26" customFormat="1" x14ac:dyDescent="0.25">
      <c r="A100" s="47" t="s">
        <v>8</v>
      </c>
      <c r="B100" s="4"/>
      <c r="C100" s="15"/>
      <c r="D100" s="15"/>
      <c r="E100" s="209"/>
      <c r="F100" s="15"/>
      <c r="G100" s="15"/>
      <c r="H100" s="121">
        <f>I100/$H$99</f>
        <v>0.3</v>
      </c>
      <c r="I100" s="23">
        <v>167400</v>
      </c>
      <c r="J100" s="43">
        <v>1</v>
      </c>
      <c r="K100" s="15">
        <v>41281</v>
      </c>
      <c r="L100" s="24">
        <v>167400</v>
      </c>
      <c r="M100" s="31">
        <v>41415</v>
      </c>
      <c r="N100" s="44">
        <f t="shared" ref="N100:N128" si="31">IF(M100="",$P$2-K100,M100-K100)</f>
        <v>134</v>
      </c>
      <c r="O100" s="83" t="str">
        <f t="shared" ref="O100:O135" si="32">IF(L100="en attente",I100,"")</f>
        <v/>
      </c>
      <c r="P100" s="83">
        <f t="shared" ref="P100:P113" si="33">IF(K100="",I100-L100,0)</f>
        <v>0</v>
      </c>
      <c r="Q100" s="83"/>
      <c r="R100" s="197"/>
    </row>
    <row r="101" spans="1:18" s="26" customFormat="1" x14ac:dyDescent="0.25">
      <c r="A101" s="47" t="s">
        <v>8</v>
      </c>
      <c r="B101" s="4"/>
      <c r="C101" s="15"/>
      <c r="D101" s="15"/>
      <c r="E101" s="209"/>
      <c r="F101" s="15"/>
      <c r="G101" s="15"/>
      <c r="H101" s="121">
        <f t="shared" ref="H101:H106" si="34">I101/$H$99+H100</f>
        <v>0.35589999999999999</v>
      </c>
      <c r="I101" s="23">
        <v>31192.2</v>
      </c>
      <c r="J101" s="43">
        <v>2</v>
      </c>
      <c r="K101" s="15">
        <v>41281</v>
      </c>
      <c r="L101" s="24">
        <v>31192.2</v>
      </c>
      <c r="M101" s="31">
        <v>41745</v>
      </c>
      <c r="N101" s="44">
        <f t="shared" si="31"/>
        <v>464</v>
      </c>
      <c r="O101" s="83" t="str">
        <f t="shared" si="32"/>
        <v/>
      </c>
      <c r="P101" s="83">
        <f t="shared" si="33"/>
        <v>0</v>
      </c>
      <c r="Q101" s="83"/>
      <c r="R101" s="197"/>
    </row>
    <row r="102" spans="1:18" s="26" customFormat="1" x14ac:dyDescent="0.25">
      <c r="A102" s="47" t="s">
        <v>8</v>
      </c>
      <c r="B102" s="4"/>
      <c r="C102" s="15"/>
      <c r="D102" s="15"/>
      <c r="E102" s="209"/>
      <c r="F102" s="15"/>
      <c r="G102" s="15"/>
      <c r="H102" s="121">
        <f t="shared" si="34"/>
        <v>0.4375</v>
      </c>
      <c r="I102" s="23">
        <v>45532.800000000003</v>
      </c>
      <c r="J102" s="43">
        <v>3</v>
      </c>
      <c r="K102" s="15">
        <v>41702</v>
      </c>
      <c r="L102" s="24">
        <v>45532.800000000003</v>
      </c>
      <c r="M102" s="31">
        <v>41745</v>
      </c>
      <c r="N102" s="44">
        <f t="shared" si="31"/>
        <v>43</v>
      </c>
      <c r="O102" s="83" t="str">
        <f t="shared" si="32"/>
        <v/>
      </c>
      <c r="P102" s="83">
        <f t="shared" si="33"/>
        <v>0</v>
      </c>
      <c r="Q102" s="83"/>
      <c r="R102" s="197"/>
    </row>
    <row r="103" spans="1:18" s="26" customFormat="1" x14ac:dyDescent="0.25">
      <c r="A103" s="47" t="s">
        <v>8</v>
      </c>
      <c r="B103" s="4"/>
      <c r="C103" s="15"/>
      <c r="D103" s="15"/>
      <c r="E103" s="209"/>
      <c r="F103" s="15"/>
      <c r="G103" s="15"/>
      <c r="H103" s="121">
        <f t="shared" si="34"/>
        <v>0.50639999999999996</v>
      </c>
      <c r="I103" s="23">
        <v>38446.199999999997</v>
      </c>
      <c r="J103" s="43">
        <v>4</v>
      </c>
      <c r="K103" s="15">
        <v>41778</v>
      </c>
      <c r="L103" s="24">
        <v>38446.199999999997</v>
      </c>
      <c r="M103" s="31">
        <v>41863</v>
      </c>
      <c r="N103" s="44">
        <f t="shared" si="31"/>
        <v>85</v>
      </c>
      <c r="O103" s="83" t="str">
        <f t="shared" si="32"/>
        <v/>
      </c>
      <c r="P103" s="83">
        <f t="shared" si="33"/>
        <v>0</v>
      </c>
      <c r="Q103" s="83"/>
      <c r="R103" s="197"/>
    </row>
    <row r="104" spans="1:18" s="26" customFormat="1" x14ac:dyDescent="0.25">
      <c r="A104" s="47" t="s">
        <v>8</v>
      </c>
      <c r="B104" s="4"/>
      <c r="C104" s="15"/>
      <c r="D104" s="15"/>
      <c r="E104" s="209"/>
      <c r="F104" s="15"/>
      <c r="G104" s="15"/>
      <c r="H104" s="121">
        <f t="shared" si="34"/>
        <v>0.57089999999999996</v>
      </c>
      <c r="I104" s="23">
        <v>35991</v>
      </c>
      <c r="J104" s="43">
        <v>5</v>
      </c>
      <c r="K104" s="15">
        <v>41865</v>
      </c>
      <c r="L104" s="24">
        <v>35991</v>
      </c>
      <c r="M104" s="31">
        <v>41921</v>
      </c>
      <c r="N104" s="44">
        <f t="shared" si="31"/>
        <v>56</v>
      </c>
      <c r="O104" s="83" t="str">
        <f t="shared" si="32"/>
        <v/>
      </c>
      <c r="P104" s="83">
        <f t="shared" si="33"/>
        <v>0</v>
      </c>
      <c r="Q104" s="83"/>
      <c r="R104" s="197"/>
    </row>
    <row r="105" spans="1:18" s="26" customFormat="1" x14ac:dyDescent="0.25">
      <c r="A105" s="47" t="s">
        <v>8</v>
      </c>
      <c r="B105" s="4"/>
      <c r="C105" s="15"/>
      <c r="D105" s="15"/>
      <c r="E105" s="209"/>
      <c r="F105" s="15"/>
      <c r="G105" s="15"/>
      <c r="H105" s="122">
        <f t="shared" si="34"/>
        <v>0.78709999999999991</v>
      </c>
      <c r="I105" s="123">
        <v>120639.6</v>
      </c>
      <c r="J105" s="43">
        <v>6</v>
      </c>
      <c r="K105" s="15">
        <v>42221</v>
      </c>
      <c r="L105" s="24">
        <v>120639.6</v>
      </c>
      <c r="M105" s="31">
        <v>42303</v>
      </c>
      <c r="N105" s="44">
        <f t="shared" si="31"/>
        <v>82</v>
      </c>
      <c r="O105" s="83" t="str">
        <f t="shared" si="32"/>
        <v/>
      </c>
      <c r="P105" s="83">
        <f t="shared" si="33"/>
        <v>0</v>
      </c>
      <c r="Q105" s="83" t="s">
        <v>155</v>
      </c>
      <c r="R105" s="197"/>
    </row>
    <row r="106" spans="1:18" s="26" customFormat="1" x14ac:dyDescent="0.25">
      <c r="A106" s="151" t="s">
        <v>8</v>
      </c>
      <c r="B106" s="40"/>
      <c r="C106" s="37"/>
      <c r="D106" s="37"/>
      <c r="E106" s="210"/>
      <c r="F106" s="37"/>
      <c r="G106" s="37"/>
      <c r="H106" s="121">
        <f t="shared" si="34"/>
        <v>0.99999999999999989</v>
      </c>
      <c r="I106" s="194">
        <v>118798.2</v>
      </c>
      <c r="J106" s="45">
        <v>6</v>
      </c>
      <c r="K106" s="37"/>
      <c r="L106" s="38"/>
      <c r="M106" s="189"/>
      <c r="N106" s="190"/>
      <c r="O106" s="191" t="str">
        <f t="shared" si="32"/>
        <v/>
      </c>
      <c r="P106" s="191">
        <f t="shared" si="33"/>
        <v>118798.2</v>
      </c>
      <c r="Q106" s="191"/>
      <c r="R106" s="197"/>
    </row>
    <row r="107" spans="1:18" s="120" customFormat="1" x14ac:dyDescent="0.25">
      <c r="A107" s="162" t="s">
        <v>52</v>
      </c>
      <c r="B107" s="167" t="s">
        <v>216</v>
      </c>
      <c r="C107" s="182">
        <v>41170</v>
      </c>
      <c r="D107" s="192">
        <f>DATE(YEAR(C107),MONTH(C107)+18,DAY(C107))</f>
        <v>41716</v>
      </c>
      <c r="E107" s="212">
        <v>41309</v>
      </c>
      <c r="F107" s="192">
        <f>DATE(YEAR(C107)+4,MONTH(C107),DAY(C107))</f>
        <v>42631</v>
      </c>
      <c r="G107" s="192"/>
      <c r="H107" s="156">
        <v>254997</v>
      </c>
      <c r="I107" s="165"/>
      <c r="J107" s="166"/>
      <c r="K107" s="182"/>
      <c r="L107" s="183">
        <f>SUM(L108:L113)</f>
        <v>171281.48</v>
      </c>
      <c r="M107" s="180"/>
      <c r="N107" s="181"/>
      <c r="O107" s="183">
        <f>SUM(O108:O113)</f>
        <v>0</v>
      </c>
      <c r="P107" s="183">
        <f>SUM(P108:P113)</f>
        <v>83715.51999999999</v>
      </c>
      <c r="Q107" s="183"/>
      <c r="R107" s="201">
        <f>H107-(L107+O107+P107)</f>
        <v>0</v>
      </c>
    </row>
    <row r="108" spans="1:18" s="26" customFormat="1" x14ac:dyDescent="0.25">
      <c r="A108" s="47" t="s">
        <v>52</v>
      </c>
      <c r="B108" s="4"/>
      <c r="C108" s="15"/>
      <c r="D108" s="15"/>
      <c r="E108" s="209"/>
      <c r="F108" s="15"/>
      <c r="G108" s="15"/>
      <c r="H108" s="121">
        <f>I108/$H$107</f>
        <v>0.30000000000000004</v>
      </c>
      <c r="I108" s="23">
        <v>76499.100000000006</v>
      </c>
      <c r="J108" s="43">
        <v>1</v>
      </c>
      <c r="K108" s="15">
        <v>41313</v>
      </c>
      <c r="L108" s="24">
        <v>76499.100000000006</v>
      </c>
      <c r="M108" s="31">
        <v>41388</v>
      </c>
      <c r="N108" s="44">
        <f t="shared" si="31"/>
        <v>75</v>
      </c>
      <c r="O108" s="83" t="str">
        <f t="shared" si="32"/>
        <v/>
      </c>
      <c r="P108" s="83">
        <f t="shared" si="33"/>
        <v>0</v>
      </c>
      <c r="Q108" s="83"/>
      <c r="R108" s="201"/>
    </row>
    <row r="109" spans="1:18" s="26" customFormat="1" x14ac:dyDescent="0.25">
      <c r="A109" s="47" t="s">
        <v>52</v>
      </c>
      <c r="B109" s="4"/>
      <c r="C109" s="15"/>
      <c r="D109" s="15"/>
      <c r="E109" s="209"/>
      <c r="F109" s="15"/>
      <c r="G109" s="15"/>
      <c r="H109" s="121">
        <f>I109/$H$107+H108</f>
        <v>0.4772000062745837</v>
      </c>
      <c r="I109" s="23">
        <v>45185.47</v>
      </c>
      <c r="J109" s="43">
        <v>2</v>
      </c>
      <c r="K109" s="15">
        <v>41913</v>
      </c>
      <c r="L109" s="24">
        <v>45185.47</v>
      </c>
      <c r="M109" s="31">
        <v>41941</v>
      </c>
      <c r="N109" s="44">
        <f t="shared" si="31"/>
        <v>28</v>
      </c>
      <c r="O109" s="83" t="str">
        <f t="shared" si="32"/>
        <v/>
      </c>
      <c r="P109" s="83">
        <f t="shared" si="33"/>
        <v>0</v>
      </c>
      <c r="Q109" s="83"/>
      <c r="R109" s="201"/>
    </row>
    <row r="110" spans="1:18" s="26" customFormat="1" x14ac:dyDescent="0.25">
      <c r="A110" s="47" t="s">
        <v>52</v>
      </c>
      <c r="B110" s="4"/>
      <c r="C110" s="15"/>
      <c r="D110" s="15"/>
      <c r="E110" s="209"/>
      <c r="F110" s="15"/>
      <c r="G110" s="15"/>
      <c r="H110" s="122">
        <f>I110/$H$107+H109</f>
        <v>0.67169998078408777</v>
      </c>
      <c r="I110" s="123">
        <v>49596.91</v>
      </c>
      <c r="J110" s="43">
        <v>3</v>
      </c>
      <c r="K110" s="15">
        <v>42221</v>
      </c>
      <c r="L110" s="24">
        <v>49596.91</v>
      </c>
      <c r="M110" s="31">
        <v>42278</v>
      </c>
      <c r="N110" s="44"/>
      <c r="O110" s="83" t="str">
        <f t="shared" si="32"/>
        <v/>
      </c>
      <c r="P110" s="83">
        <f t="shared" si="33"/>
        <v>0</v>
      </c>
      <c r="Q110" s="83"/>
      <c r="R110" s="201"/>
    </row>
    <row r="111" spans="1:18" s="26" customFormat="1" x14ac:dyDescent="0.25">
      <c r="A111" s="47" t="s">
        <v>52</v>
      </c>
      <c r="B111" s="4"/>
      <c r="C111" s="15"/>
      <c r="D111" s="15"/>
      <c r="E111" s="209"/>
      <c r="F111" s="15"/>
      <c r="G111" s="15"/>
      <c r="H111" s="122">
        <f>I111/$H$107+H110</f>
        <v>0.75013227606599309</v>
      </c>
      <c r="I111" s="124">
        <v>20000</v>
      </c>
      <c r="J111" s="43">
        <v>4</v>
      </c>
      <c r="K111" s="15"/>
      <c r="L111" s="24"/>
      <c r="M111" s="31"/>
      <c r="N111" s="44"/>
      <c r="O111" s="83"/>
      <c r="P111" s="83">
        <f t="shared" si="33"/>
        <v>20000</v>
      </c>
      <c r="Q111" s="83"/>
      <c r="R111" s="201"/>
    </row>
    <row r="112" spans="1:18" s="26" customFormat="1" x14ac:dyDescent="0.25">
      <c r="A112" s="47" t="s">
        <v>52</v>
      </c>
      <c r="B112" s="4"/>
      <c r="C112" s="15"/>
      <c r="D112" s="15"/>
      <c r="E112" s="209"/>
      <c r="F112" s="15"/>
      <c r="G112" s="15"/>
      <c r="H112" s="121">
        <f>I112/$H$107+H111</f>
        <v>0.80000000000000016</v>
      </c>
      <c r="I112" s="123">
        <f>H107*0.8-SUM(I108:I111)</f>
        <v>12716.119999999995</v>
      </c>
      <c r="J112" s="43">
        <v>5</v>
      </c>
      <c r="K112" s="15"/>
      <c r="L112" s="24"/>
      <c r="M112" s="31"/>
      <c r="N112" s="44"/>
      <c r="O112" s="83"/>
      <c r="P112" s="83">
        <f t="shared" si="33"/>
        <v>12716.119999999995</v>
      </c>
      <c r="Q112" s="83"/>
      <c r="R112" s="201"/>
    </row>
    <row r="113" spans="1:18" s="26" customFormat="1" x14ac:dyDescent="0.25">
      <c r="A113" s="47" t="s">
        <v>52</v>
      </c>
      <c r="B113" s="4"/>
      <c r="C113" s="15"/>
      <c r="D113" s="15"/>
      <c r="E113" s="209"/>
      <c r="F113" s="15"/>
      <c r="G113" s="15"/>
      <c r="H113" s="121">
        <f>I113/$H$107+H112</f>
        <v>1.0000000000000002</v>
      </c>
      <c r="I113" s="23">
        <f>0.2*H107</f>
        <v>50999.4</v>
      </c>
      <c r="J113" s="43">
        <v>6</v>
      </c>
      <c r="K113" s="15"/>
      <c r="L113" s="24"/>
      <c r="M113" s="31"/>
      <c r="N113" s="44"/>
      <c r="O113" s="83" t="str">
        <f t="shared" si="32"/>
        <v/>
      </c>
      <c r="P113" s="83">
        <f t="shared" si="33"/>
        <v>50999.4</v>
      </c>
      <c r="Q113" s="83"/>
      <c r="R113" s="201"/>
    </row>
    <row r="114" spans="1:18" s="120" customFormat="1" x14ac:dyDescent="0.25">
      <c r="A114" s="152" t="s">
        <v>54</v>
      </c>
      <c r="B114" s="158" t="s">
        <v>217</v>
      </c>
      <c r="C114" s="192">
        <v>41094</v>
      </c>
      <c r="D114" s="192">
        <f>DATE(YEAR(C114),MONTH(C114)+18,DAY(C114))</f>
        <v>41643</v>
      </c>
      <c r="E114" s="208">
        <v>41428</v>
      </c>
      <c r="F114" s="192">
        <f>DATE(YEAR(C114)+4,MONTH(C114),DAY(C114))</f>
        <v>42555</v>
      </c>
      <c r="G114" s="192">
        <v>42331</v>
      </c>
      <c r="H114" s="161">
        <v>995000</v>
      </c>
      <c r="I114" s="156"/>
      <c r="J114" s="171"/>
      <c r="K114" s="192"/>
      <c r="L114" s="159">
        <f>SUM(L115:L121)</f>
        <v>796000</v>
      </c>
      <c r="M114" s="184"/>
      <c r="N114" s="185"/>
      <c r="O114" s="193">
        <f>SUM(O115:O121)</f>
        <v>0</v>
      </c>
      <c r="P114" s="193">
        <f>SUM(P115:P121)</f>
        <v>199000</v>
      </c>
      <c r="Q114" s="193"/>
      <c r="R114" s="201">
        <f>H114-(L114+O114+P114)</f>
        <v>0</v>
      </c>
    </row>
    <row r="115" spans="1:18" s="26" customFormat="1" x14ac:dyDescent="0.25">
      <c r="A115" s="47" t="s">
        <v>54</v>
      </c>
      <c r="B115" s="4"/>
      <c r="C115" s="15"/>
      <c r="D115" s="15"/>
      <c r="E115" s="209"/>
      <c r="F115" s="15"/>
      <c r="G115" s="15"/>
      <c r="H115" s="121">
        <f>I115/$H$114</f>
        <v>0.3</v>
      </c>
      <c r="I115" s="23">
        <v>298500</v>
      </c>
      <c r="J115" s="43">
        <v>1</v>
      </c>
      <c r="K115" s="15">
        <v>41463</v>
      </c>
      <c r="L115" s="24">
        <v>298500</v>
      </c>
      <c r="M115" s="31">
        <v>41533</v>
      </c>
      <c r="N115" s="44">
        <f t="shared" si="31"/>
        <v>70</v>
      </c>
      <c r="O115" s="83" t="str">
        <f t="shared" si="32"/>
        <v/>
      </c>
      <c r="P115" s="83">
        <f t="shared" si="5"/>
        <v>0</v>
      </c>
      <c r="Q115" s="83"/>
      <c r="R115" s="197"/>
    </row>
    <row r="116" spans="1:18" s="26" customFormat="1" x14ac:dyDescent="0.25">
      <c r="A116" s="47" t="s">
        <v>54</v>
      </c>
      <c r="B116" s="4"/>
      <c r="C116" s="15"/>
      <c r="D116" s="15"/>
      <c r="E116" s="209"/>
      <c r="F116" s="15"/>
      <c r="G116" s="15"/>
      <c r="H116" s="121">
        <f>I116/$H$114+H115</f>
        <v>0.36899999999999999</v>
      </c>
      <c r="I116" s="23">
        <v>68655</v>
      </c>
      <c r="J116" s="43">
        <v>2</v>
      </c>
      <c r="K116" s="15">
        <v>41717</v>
      </c>
      <c r="L116" s="24">
        <v>68655</v>
      </c>
      <c r="M116" s="31">
        <v>41744</v>
      </c>
      <c r="N116" s="44">
        <f t="shared" si="31"/>
        <v>27</v>
      </c>
      <c r="O116" s="83" t="str">
        <f t="shared" si="32"/>
        <v/>
      </c>
      <c r="P116" s="83">
        <f t="shared" ref="P116:P140" si="35">IF(K116="",I116-L116,0)</f>
        <v>0</v>
      </c>
      <c r="Q116" s="83"/>
      <c r="R116" s="197"/>
    </row>
    <row r="117" spans="1:18" s="26" customFormat="1" x14ac:dyDescent="0.25">
      <c r="A117" s="47" t="s">
        <v>54</v>
      </c>
      <c r="B117" s="4"/>
      <c r="C117" s="15"/>
      <c r="D117" s="15"/>
      <c r="E117" s="209"/>
      <c r="F117" s="15"/>
      <c r="G117" s="15"/>
      <c r="H117" s="121">
        <f t="shared" ref="H117:H121" si="36">I117/$H$114+H116</f>
        <v>0.45</v>
      </c>
      <c r="I117" s="23">
        <v>80595</v>
      </c>
      <c r="J117" s="43">
        <v>3</v>
      </c>
      <c r="K117" s="15">
        <v>41778</v>
      </c>
      <c r="L117" s="24">
        <v>80595</v>
      </c>
      <c r="M117" s="31">
        <v>41803</v>
      </c>
      <c r="N117" s="44">
        <f t="shared" si="31"/>
        <v>25</v>
      </c>
      <c r="O117" s="83" t="str">
        <f t="shared" si="32"/>
        <v/>
      </c>
      <c r="P117" s="83">
        <f t="shared" si="35"/>
        <v>0</v>
      </c>
      <c r="Q117" s="83"/>
      <c r="R117" s="197"/>
    </row>
    <row r="118" spans="1:18" s="26" customFormat="1" x14ac:dyDescent="0.25">
      <c r="A118" s="47" t="s">
        <v>54</v>
      </c>
      <c r="B118" s="4"/>
      <c r="C118" s="15"/>
      <c r="D118" s="15"/>
      <c r="E118" s="209"/>
      <c r="F118" s="15"/>
      <c r="G118" s="15"/>
      <c r="H118" s="121">
        <f t="shared" si="36"/>
        <v>0.53559999999999997</v>
      </c>
      <c r="I118" s="23">
        <v>85172</v>
      </c>
      <c r="J118" s="43">
        <v>4</v>
      </c>
      <c r="K118" s="15">
        <v>41855</v>
      </c>
      <c r="L118" s="24">
        <v>85172</v>
      </c>
      <c r="M118" s="31">
        <v>41884</v>
      </c>
      <c r="N118" s="44">
        <f t="shared" si="31"/>
        <v>29</v>
      </c>
      <c r="O118" s="83" t="str">
        <f t="shared" si="32"/>
        <v/>
      </c>
      <c r="P118" s="83">
        <f t="shared" si="35"/>
        <v>0</v>
      </c>
      <c r="Q118" s="83"/>
      <c r="R118" s="197"/>
    </row>
    <row r="119" spans="1:18" s="26" customFormat="1" x14ac:dyDescent="0.25">
      <c r="A119" s="47" t="s">
        <v>54</v>
      </c>
      <c r="B119" s="4"/>
      <c r="C119" s="15"/>
      <c r="D119" s="15"/>
      <c r="E119" s="209"/>
      <c r="F119" s="15"/>
      <c r="G119" s="15"/>
      <c r="H119" s="121">
        <f t="shared" si="36"/>
        <v>0.59460000000000002</v>
      </c>
      <c r="I119" s="23">
        <v>58705</v>
      </c>
      <c r="J119" s="43">
        <v>5</v>
      </c>
      <c r="K119" s="15">
        <v>41915</v>
      </c>
      <c r="L119" s="24">
        <v>58705</v>
      </c>
      <c r="M119" s="31">
        <v>41941</v>
      </c>
      <c r="N119" s="44">
        <f t="shared" si="31"/>
        <v>26</v>
      </c>
      <c r="O119" s="83" t="str">
        <f t="shared" si="32"/>
        <v/>
      </c>
      <c r="P119" s="83">
        <f t="shared" si="35"/>
        <v>0</v>
      </c>
      <c r="Q119" s="83"/>
      <c r="R119" s="197"/>
    </row>
    <row r="120" spans="1:18" s="26" customFormat="1" x14ac:dyDescent="0.25">
      <c r="A120" s="47" t="s">
        <v>54</v>
      </c>
      <c r="B120" s="4"/>
      <c r="C120" s="15"/>
      <c r="D120" s="15"/>
      <c r="E120" s="209"/>
      <c r="F120" s="15"/>
      <c r="G120" s="15"/>
      <c r="H120" s="121">
        <f t="shared" si="36"/>
        <v>0.8</v>
      </c>
      <c r="I120" s="23">
        <v>204373</v>
      </c>
      <c r="J120" s="43">
        <v>6</v>
      </c>
      <c r="K120" s="15">
        <v>42278</v>
      </c>
      <c r="L120" s="24">
        <v>204373</v>
      </c>
      <c r="M120" s="31">
        <v>42325</v>
      </c>
      <c r="N120" s="44">
        <f t="shared" si="31"/>
        <v>47</v>
      </c>
      <c r="O120" s="83" t="str">
        <f t="shared" si="32"/>
        <v/>
      </c>
      <c r="P120" s="83">
        <f t="shared" si="35"/>
        <v>0</v>
      </c>
      <c r="Q120" s="83"/>
      <c r="R120" s="197"/>
    </row>
    <row r="121" spans="1:18" s="26" customFormat="1" x14ac:dyDescent="0.25">
      <c r="A121" s="47" t="s">
        <v>54</v>
      </c>
      <c r="B121" s="4"/>
      <c r="C121" s="15"/>
      <c r="D121" s="15"/>
      <c r="E121" s="209"/>
      <c r="F121" s="15"/>
      <c r="G121" s="15"/>
      <c r="H121" s="121">
        <f t="shared" si="36"/>
        <v>1</v>
      </c>
      <c r="I121" s="124">
        <v>199000</v>
      </c>
      <c r="J121" s="43">
        <v>7</v>
      </c>
      <c r="K121" s="15"/>
      <c r="L121" s="24"/>
      <c r="M121" s="31"/>
      <c r="N121" s="44"/>
      <c r="O121" s="83" t="str">
        <f t="shared" si="32"/>
        <v/>
      </c>
      <c r="P121" s="83">
        <f t="shared" si="35"/>
        <v>199000</v>
      </c>
      <c r="Q121" s="83"/>
      <c r="R121" s="197"/>
    </row>
    <row r="122" spans="1:18" s="120" customFormat="1" x14ac:dyDescent="0.25">
      <c r="A122" s="152" t="s">
        <v>57</v>
      </c>
      <c r="B122" s="158" t="s">
        <v>218</v>
      </c>
      <c r="C122" s="192">
        <v>41094</v>
      </c>
      <c r="D122" s="192">
        <f>DATE(YEAR(C122),MONTH(C122)+18,DAY(C122))</f>
        <v>41643</v>
      </c>
      <c r="E122" s="208">
        <v>41309</v>
      </c>
      <c r="F122" s="192">
        <f>DATE(YEAR(C122)+4,MONTH(C122),DAY(C122))</f>
        <v>42555</v>
      </c>
      <c r="G122" s="192">
        <v>42202</v>
      </c>
      <c r="H122" s="161">
        <v>663000</v>
      </c>
      <c r="I122" s="156"/>
      <c r="J122" s="171"/>
      <c r="K122" s="192"/>
      <c r="L122" s="159">
        <f>SUM(L123:L129)</f>
        <v>530400</v>
      </c>
      <c r="M122" s="184"/>
      <c r="N122" s="185"/>
      <c r="O122" s="193">
        <f>SUM(O123:O129)</f>
        <v>0</v>
      </c>
      <c r="P122" s="193">
        <f>SUM(P123:P129)</f>
        <v>132600</v>
      </c>
      <c r="Q122" s="193"/>
      <c r="R122" s="201">
        <f>H122-(L122+O122+P122)</f>
        <v>0</v>
      </c>
    </row>
    <row r="123" spans="1:18" s="26" customFormat="1" x14ac:dyDescent="0.25">
      <c r="A123" s="47" t="s">
        <v>57</v>
      </c>
      <c r="B123" s="4"/>
      <c r="C123" s="15"/>
      <c r="D123" s="15"/>
      <c r="E123" s="209"/>
      <c r="F123" s="15"/>
      <c r="G123" s="15"/>
      <c r="H123" s="121">
        <f>I123/$H$122</f>
        <v>0.3</v>
      </c>
      <c r="I123" s="23">
        <v>198900</v>
      </c>
      <c r="J123" s="43">
        <v>1</v>
      </c>
      <c r="K123" s="15">
        <v>41361</v>
      </c>
      <c r="L123" s="24">
        <v>198900</v>
      </c>
      <c r="M123" s="31">
        <v>41428</v>
      </c>
      <c r="N123" s="44">
        <f t="shared" si="31"/>
        <v>67</v>
      </c>
      <c r="O123" s="83" t="str">
        <f t="shared" si="32"/>
        <v/>
      </c>
      <c r="P123" s="83">
        <f t="shared" ref="P123:P132" si="37">IF(K123="",I123-L123,0)</f>
        <v>0</v>
      </c>
      <c r="Q123" s="83"/>
      <c r="R123" s="197"/>
    </row>
    <row r="124" spans="1:18" s="26" customFormat="1" x14ac:dyDescent="0.25">
      <c r="A124" s="47" t="s">
        <v>57</v>
      </c>
      <c r="B124" s="4"/>
      <c r="C124" s="15"/>
      <c r="D124" s="15"/>
      <c r="E124" s="209"/>
      <c r="F124" s="15"/>
      <c r="G124" s="15"/>
      <c r="H124" s="121">
        <f>I124/$H$122+H123</f>
        <v>0.4425</v>
      </c>
      <c r="I124" s="23">
        <v>94477.5</v>
      </c>
      <c r="J124" s="43">
        <v>2</v>
      </c>
      <c r="K124" s="15">
        <v>41582</v>
      </c>
      <c r="L124" s="24">
        <v>94477.5</v>
      </c>
      <c r="M124" s="31">
        <v>41610</v>
      </c>
      <c r="N124" s="44">
        <f t="shared" si="31"/>
        <v>28</v>
      </c>
      <c r="O124" s="83" t="str">
        <f t="shared" si="32"/>
        <v/>
      </c>
      <c r="P124" s="83">
        <f t="shared" si="37"/>
        <v>0</v>
      </c>
      <c r="Q124" s="83"/>
      <c r="R124" s="197"/>
    </row>
    <row r="125" spans="1:18" s="26" customFormat="1" x14ac:dyDescent="0.25">
      <c r="A125" s="47" t="s">
        <v>57</v>
      </c>
      <c r="B125" s="4"/>
      <c r="C125" s="15"/>
      <c r="D125" s="15"/>
      <c r="E125" s="209"/>
      <c r="F125" s="15"/>
      <c r="G125" s="15"/>
      <c r="H125" s="121">
        <f t="shared" ref="H125:H129" si="38">I125/$H$122+H124</f>
        <v>0.56440000000000001</v>
      </c>
      <c r="I125" s="23">
        <v>80819.7</v>
      </c>
      <c r="J125" s="43">
        <v>3</v>
      </c>
      <c r="K125" s="15">
        <v>41646</v>
      </c>
      <c r="L125" s="24">
        <v>80819.7</v>
      </c>
      <c r="M125" s="31">
        <v>41687</v>
      </c>
      <c r="N125" s="44">
        <f t="shared" si="31"/>
        <v>41</v>
      </c>
      <c r="O125" s="83" t="str">
        <f t="shared" si="32"/>
        <v/>
      </c>
      <c r="P125" s="83">
        <f t="shared" si="37"/>
        <v>0</v>
      </c>
      <c r="Q125" s="83"/>
      <c r="R125" s="197"/>
    </row>
    <row r="126" spans="1:18" s="26" customFormat="1" x14ac:dyDescent="0.25">
      <c r="A126" s="47" t="s">
        <v>57</v>
      </c>
      <c r="B126" s="4"/>
      <c r="C126" s="15"/>
      <c r="D126" s="15"/>
      <c r="E126" s="209"/>
      <c r="F126" s="15"/>
      <c r="G126" s="15"/>
      <c r="H126" s="121">
        <f t="shared" si="38"/>
        <v>0.64610000000000001</v>
      </c>
      <c r="I126" s="23">
        <v>54167.1</v>
      </c>
      <c r="J126" s="43">
        <v>4</v>
      </c>
      <c r="K126" s="15">
        <v>41702</v>
      </c>
      <c r="L126" s="24">
        <v>54167.1</v>
      </c>
      <c r="M126" s="31">
        <v>41736</v>
      </c>
      <c r="N126" s="44">
        <f t="shared" si="31"/>
        <v>34</v>
      </c>
      <c r="O126" s="83" t="str">
        <f t="shared" si="32"/>
        <v/>
      </c>
      <c r="P126" s="83">
        <f t="shared" si="37"/>
        <v>0</v>
      </c>
      <c r="Q126" s="83"/>
      <c r="R126" s="197"/>
    </row>
    <row r="127" spans="1:18" s="26" customFormat="1" x14ac:dyDescent="0.25">
      <c r="A127" s="47" t="s">
        <v>57</v>
      </c>
      <c r="B127" s="4"/>
      <c r="C127" s="15"/>
      <c r="D127" s="15"/>
      <c r="E127" s="209"/>
      <c r="F127" s="15"/>
      <c r="G127" s="15"/>
      <c r="H127" s="121">
        <f t="shared" si="38"/>
        <v>0.73929999999999996</v>
      </c>
      <c r="I127" s="23">
        <v>61791.6</v>
      </c>
      <c r="J127" s="43">
        <v>5</v>
      </c>
      <c r="K127" s="15">
        <v>41758</v>
      </c>
      <c r="L127" s="24">
        <v>61791.6</v>
      </c>
      <c r="M127" s="31">
        <v>41801</v>
      </c>
      <c r="N127" s="44">
        <f t="shared" si="31"/>
        <v>43</v>
      </c>
      <c r="O127" s="83" t="str">
        <f t="shared" si="32"/>
        <v/>
      </c>
      <c r="P127" s="83">
        <f t="shared" si="37"/>
        <v>0</v>
      </c>
      <c r="Q127" s="83"/>
      <c r="R127" s="197"/>
    </row>
    <row r="128" spans="1:18" s="26" customFormat="1" x14ac:dyDescent="0.25">
      <c r="A128" s="47" t="s">
        <v>57</v>
      </c>
      <c r="B128" s="4"/>
      <c r="C128" s="15"/>
      <c r="D128" s="15"/>
      <c r="E128" s="209"/>
      <c r="F128" s="15"/>
      <c r="G128" s="15"/>
      <c r="H128" s="121">
        <f t="shared" si="38"/>
        <v>0.79999999999999993</v>
      </c>
      <c r="I128" s="23">
        <v>40244.1</v>
      </c>
      <c r="J128" s="43">
        <v>6</v>
      </c>
      <c r="K128" s="15">
        <v>41807</v>
      </c>
      <c r="L128" s="24">
        <v>40244.1</v>
      </c>
      <c r="M128" s="31">
        <v>41849</v>
      </c>
      <c r="N128" s="44">
        <f t="shared" si="31"/>
        <v>42</v>
      </c>
      <c r="O128" s="83" t="str">
        <f t="shared" si="32"/>
        <v/>
      </c>
      <c r="P128" s="83">
        <f t="shared" si="37"/>
        <v>0</v>
      </c>
      <c r="Q128" s="83"/>
      <c r="R128" s="197"/>
    </row>
    <row r="129" spans="1:18" s="26" customFormat="1" x14ac:dyDescent="0.25">
      <c r="A129" s="151" t="s">
        <v>57</v>
      </c>
      <c r="B129" s="40"/>
      <c r="C129" s="37"/>
      <c r="D129" s="37"/>
      <c r="E129" s="210"/>
      <c r="F129" s="37"/>
      <c r="G129" s="37"/>
      <c r="H129" s="186">
        <f t="shared" si="38"/>
        <v>1</v>
      </c>
      <c r="I129" s="194">
        <v>132600</v>
      </c>
      <c r="J129" s="45">
        <v>7</v>
      </c>
      <c r="K129" s="37"/>
      <c r="L129" s="38"/>
      <c r="M129" s="189"/>
      <c r="N129" s="190"/>
      <c r="O129" s="191" t="str">
        <f t="shared" si="32"/>
        <v/>
      </c>
      <c r="P129" s="191">
        <f t="shared" si="37"/>
        <v>132600</v>
      </c>
      <c r="Q129" s="191"/>
      <c r="R129" s="197"/>
    </row>
    <row r="130" spans="1:18" s="120" customFormat="1" x14ac:dyDescent="0.25">
      <c r="A130" s="162" t="s">
        <v>58</v>
      </c>
      <c r="B130" s="167" t="s">
        <v>213</v>
      </c>
      <c r="C130" s="182">
        <v>41170</v>
      </c>
      <c r="D130" s="192">
        <f>DATE(YEAR(C130),MONTH(C130)+18,DAY(C130))</f>
        <v>41716</v>
      </c>
      <c r="E130" s="212">
        <v>41309</v>
      </c>
      <c r="F130" s="192">
        <f>DATE(YEAR(C130)+4,MONTH(C130),DAY(C130))</f>
        <v>42631</v>
      </c>
      <c r="G130" s="192">
        <v>41940</v>
      </c>
      <c r="H130" s="170">
        <v>89905</v>
      </c>
      <c r="I130" s="165"/>
      <c r="J130" s="166"/>
      <c r="K130" s="182"/>
      <c r="L130" s="168">
        <f>SUM(L131:L135)</f>
        <v>71924</v>
      </c>
      <c r="M130" s="180"/>
      <c r="N130" s="181"/>
      <c r="O130" s="183">
        <f>SUM(O131:O135)</f>
        <v>0</v>
      </c>
      <c r="P130" s="183">
        <f>SUM(P131:P135)</f>
        <v>17981</v>
      </c>
      <c r="Q130" s="183"/>
      <c r="R130" s="201">
        <f>H130-(L130+O130+P130)</f>
        <v>0</v>
      </c>
    </row>
    <row r="131" spans="1:18" s="26" customFormat="1" x14ac:dyDescent="0.25">
      <c r="A131" s="47" t="s">
        <v>58</v>
      </c>
      <c r="B131" s="4"/>
      <c r="C131" s="15"/>
      <c r="D131" s="15"/>
      <c r="E131" s="209"/>
      <c r="F131" s="15"/>
      <c r="G131" s="15"/>
      <c r="H131" s="121">
        <f>I131/$H$130</f>
        <v>0.3</v>
      </c>
      <c r="I131" s="23">
        <v>26971.5</v>
      </c>
      <c r="J131" s="43">
        <v>1</v>
      </c>
      <c r="K131" s="15">
        <v>41313</v>
      </c>
      <c r="L131" s="24">
        <v>26971.5</v>
      </c>
      <c r="M131" s="31">
        <v>41416</v>
      </c>
      <c r="N131" s="44">
        <f t="shared" ref="N131:N214" si="39">IF(M131="",$P$2-K131,M131-K131)</f>
        <v>103</v>
      </c>
      <c r="O131" s="83" t="str">
        <f t="shared" si="32"/>
        <v/>
      </c>
      <c r="P131" s="83">
        <f t="shared" si="37"/>
        <v>0</v>
      </c>
      <c r="Q131" s="83"/>
      <c r="R131" s="197"/>
    </row>
    <row r="132" spans="1:18" s="26" customFormat="1" x14ac:dyDescent="0.25">
      <c r="A132" s="47" t="s">
        <v>58</v>
      </c>
      <c r="B132" s="4"/>
      <c r="C132" s="15"/>
      <c r="D132" s="15"/>
      <c r="E132" s="209"/>
      <c r="F132" s="15"/>
      <c r="G132" s="15"/>
      <c r="H132" s="121">
        <f>I132/$H$130+H131</f>
        <v>0.58310005005283361</v>
      </c>
      <c r="I132" s="23">
        <v>25452.11</v>
      </c>
      <c r="J132" s="43">
        <v>2</v>
      </c>
      <c r="K132" s="15">
        <v>41645</v>
      </c>
      <c r="L132" s="24">
        <v>25452.11</v>
      </c>
      <c r="M132" s="31">
        <v>41687</v>
      </c>
      <c r="N132" s="44">
        <f t="shared" si="39"/>
        <v>42</v>
      </c>
      <c r="O132" s="83" t="str">
        <f t="shared" si="32"/>
        <v/>
      </c>
      <c r="P132" s="83">
        <f t="shared" si="37"/>
        <v>0</v>
      </c>
      <c r="Q132" s="83"/>
      <c r="R132" s="197"/>
    </row>
    <row r="133" spans="1:18" s="26" customFormat="1" x14ac:dyDescent="0.25">
      <c r="A133" s="47" t="s">
        <v>58</v>
      </c>
      <c r="B133" s="4"/>
      <c r="C133" s="15"/>
      <c r="D133" s="15"/>
      <c r="E133" s="209"/>
      <c r="F133" s="15"/>
      <c r="G133" s="15"/>
      <c r="H133" s="121">
        <f t="shared" ref="H133:H135" si="40">I133/$H$130+H132</f>
        <v>0.68970001668427794</v>
      </c>
      <c r="I133" s="23">
        <v>9583.869999999999</v>
      </c>
      <c r="J133" s="43">
        <v>3</v>
      </c>
      <c r="K133" s="15">
        <v>41703</v>
      </c>
      <c r="L133" s="24">
        <v>9583.869999999999</v>
      </c>
      <c r="M133" s="31">
        <v>41729</v>
      </c>
      <c r="N133" s="44">
        <f t="shared" si="39"/>
        <v>26</v>
      </c>
      <c r="O133" s="83" t="str">
        <f t="shared" si="32"/>
        <v/>
      </c>
      <c r="P133" s="83">
        <f t="shared" si="35"/>
        <v>0</v>
      </c>
      <c r="Q133" s="83"/>
      <c r="R133" s="197"/>
    </row>
    <row r="134" spans="1:18" s="26" customFormat="1" x14ac:dyDescent="0.25">
      <c r="A134" s="47" t="s">
        <v>58</v>
      </c>
      <c r="B134" s="4"/>
      <c r="C134" s="15"/>
      <c r="D134" s="15"/>
      <c r="E134" s="209"/>
      <c r="F134" s="15"/>
      <c r="G134" s="15"/>
      <c r="H134" s="121">
        <f t="shared" si="40"/>
        <v>0.8</v>
      </c>
      <c r="I134" s="23">
        <v>9916.52</v>
      </c>
      <c r="J134" s="43">
        <v>4</v>
      </c>
      <c r="K134" s="15">
        <v>41758</v>
      </c>
      <c r="L134" s="24">
        <v>9916.52</v>
      </c>
      <c r="M134" s="31">
        <v>41801</v>
      </c>
      <c r="N134" s="44">
        <f t="shared" si="39"/>
        <v>43</v>
      </c>
      <c r="O134" s="83" t="str">
        <f t="shared" si="32"/>
        <v/>
      </c>
      <c r="P134" s="83">
        <f t="shared" si="35"/>
        <v>0</v>
      </c>
      <c r="Q134" s="83"/>
      <c r="R134" s="197"/>
    </row>
    <row r="135" spans="1:18" s="26" customFormat="1" x14ac:dyDescent="0.25">
      <c r="A135" s="47" t="s">
        <v>58</v>
      </c>
      <c r="B135" s="4"/>
      <c r="C135" s="15"/>
      <c r="D135" s="15"/>
      <c r="E135" s="209"/>
      <c r="F135" s="15"/>
      <c r="G135" s="15"/>
      <c r="H135" s="121">
        <f t="shared" si="40"/>
        <v>1</v>
      </c>
      <c r="I135" s="124">
        <v>17981</v>
      </c>
      <c r="J135" s="43">
        <v>5</v>
      </c>
      <c r="K135" s="15"/>
      <c r="L135" s="24"/>
      <c r="M135" s="31"/>
      <c r="N135" s="44"/>
      <c r="O135" s="83" t="str">
        <f t="shared" si="32"/>
        <v/>
      </c>
      <c r="P135" s="83">
        <f t="shared" si="35"/>
        <v>17981</v>
      </c>
      <c r="Q135" s="83"/>
      <c r="R135" s="197"/>
    </row>
    <row r="136" spans="1:18" s="120" customFormat="1" x14ac:dyDescent="0.25">
      <c r="A136" s="152" t="s">
        <v>59</v>
      </c>
      <c r="B136" s="158" t="s">
        <v>212</v>
      </c>
      <c r="C136" s="192">
        <v>41094</v>
      </c>
      <c r="D136" s="192">
        <f>DATE(YEAR(C136),MONTH(C136)+18,DAY(C136))</f>
        <v>41643</v>
      </c>
      <c r="E136" s="208">
        <v>41303</v>
      </c>
      <c r="F136" s="192">
        <f>DATE(YEAR(C136)+4,MONTH(C136),DAY(C136))</f>
        <v>42555</v>
      </c>
      <c r="G136" s="192"/>
      <c r="H136" s="161">
        <v>790394</v>
      </c>
      <c r="I136" s="156"/>
      <c r="J136" s="171"/>
      <c r="K136" s="192"/>
      <c r="L136" s="159">
        <f>SUM(L137:L141)</f>
        <v>623778.94000000006</v>
      </c>
      <c r="M136" s="184"/>
      <c r="N136" s="185"/>
      <c r="O136" s="193">
        <f>SUM(O137:O141)</f>
        <v>0</v>
      </c>
      <c r="P136" s="193">
        <f>SUM(P137:P141)</f>
        <v>166615.05999999994</v>
      </c>
      <c r="Q136" s="193"/>
      <c r="R136" s="201">
        <f>H136-(L136+O136+P136)</f>
        <v>0</v>
      </c>
    </row>
    <row r="137" spans="1:18" s="26" customFormat="1" x14ac:dyDescent="0.25">
      <c r="A137" s="47" t="s">
        <v>59</v>
      </c>
      <c r="B137" s="4"/>
      <c r="C137" s="15"/>
      <c r="D137" s="15"/>
      <c r="E137" s="209"/>
      <c r="F137" s="15"/>
      <c r="G137" s="15"/>
      <c r="H137" s="121">
        <f>I137/$H$136</f>
        <v>0.3</v>
      </c>
      <c r="I137" s="23">
        <v>237118.2</v>
      </c>
      <c r="J137" s="43">
        <v>1</v>
      </c>
      <c r="K137" s="15">
        <v>41360</v>
      </c>
      <c r="L137" s="24">
        <v>237118.2</v>
      </c>
      <c r="M137" s="31">
        <v>41428</v>
      </c>
      <c r="N137" s="44">
        <f t="shared" si="39"/>
        <v>68</v>
      </c>
      <c r="O137" s="83" t="str">
        <f t="shared" ref="O137:O207" si="41">IF(L137="en attente",I137,"")</f>
        <v/>
      </c>
      <c r="P137" s="83">
        <f t="shared" si="35"/>
        <v>0</v>
      </c>
      <c r="Q137" s="83"/>
      <c r="R137" s="197"/>
    </row>
    <row r="138" spans="1:18" s="26" customFormat="1" x14ac:dyDescent="0.25">
      <c r="A138" s="47" t="s">
        <v>59</v>
      </c>
      <c r="B138" s="4"/>
      <c r="C138" s="15"/>
      <c r="D138" s="15"/>
      <c r="E138" s="209"/>
      <c r="F138" s="15"/>
      <c r="G138" s="15"/>
      <c r="H138" s="121">
        <f>I138/$H$136+H137</f>
        <v>0.47089999418011774</v>
      </c>
      <c r="I138" s="23">
        <v>135078.33000000002</v>
      </c>
      <c r="J138" s="43">
        <v>2</v>
      </c>
      <c r="K138" s="15">
        <v>41913</v>
      </c>
      <c r="L138" s="24">
        <v>135078.33000000002</v>
      </c>
      <c r="M138" s="31">
        <v>41943</v>
      </c>
      <c r="N138" s="44">
        <f t="shared" si="39"/>
        <v>30</v>
      </c>
      <c r="O138" s="83" t="str">
        <f t="shared" si="41"/>
        <v/>
      </c>
      <c r="P138" s="83">
        <f t="shared" si="35"/>
        <v>0</v>
      </c>
      <c r="Q138" s="83"/>
      <c r="R138" s="197"/>
    </row>
    <row r="139" spans="1:18" s="26" customFormat="1" x14ac:dyDescent="0.25">
      <c r="A139" s="47" t="s">
        <v>59</v>
      </c>
      <c r="B139" s="4"/>
      <c r="C139" s="15"/>
      <c r="D139" s="15"/>
      <c r="E139" s="209"/>
      <c r="F139" s="15"/>
      <c r="G139" s="15"/>
      <c r="H139" s="121">
        <f>I139/$H$136+H138</f>
        <v>0.696199996457463</v>
      </c>
      <c r="I139" s="123">
        <v>178075.77</v>
      </c>
      <c r="J139" s="43">
        <v>3</v>
      </c>
      <c r="K139" s="15">
        <v>42215</v>
      </c>
      <c r="L139" s="24">
        <v>178075.77</v>
      </c>
      <c r="M139" s="31">
        <v>42303</v>
      </c>
      <c r="N139" s="44"/>
      <c r="O139" s="83" t="str">
        <f t="shared" si="41"/>
        <v/>
      </c>
      <c r="P139" s="83">
        <f t="shared" si="35"/>
        <v>0</v>
      </c>
      <c r="Q139" s="83"/>
      <c r="R139" s="197"/>
    </row>
    <row r="140" spans="1:18" s="26" customFormat="1" x14ac:dyDescent="0.25">
      <c r="A140" s="47" t="s">
        <v>59</v>
      </c>
      <c r="B140" s="4"/>
      <c r="C140" s="15"/>
      <c r="D140" s="15"/>
      <c r="E140" s="209"/>
      <c r="F140" s="15"/>
      <c r="G140" s="15"/>
      <c r="H140" s="121">
        <v>0.78920000000000001</v>
      </c>
      <c r="I140" s="123">
        <v>73506.64</v>
      </c>
      <c r="J140" s="43">
        <v>5</v>
      </c>
      <c r="K140" s="15">
        <v>42383</v>
      </c>
      <c r="L140" s="24">
        <v>73506.64</v>
      </c>
      <c r="M140" s="31">
        <v>42431</v>
      </c>
      <c r="N140" s="44"/>
      <c r="O140" s="83" t="str">
        <f t="shared" si="41"/>
        <v/>
      </c>
      <c r="P140" s="83">
        <f t="shared" si="35"/>
        <v>0</v>
      </c>
      <c r="Q140" s="83"/>
      <c r="R140" s="197"/>
    </row>
    <row r="141" spans="1:18" s="26" customFormat="1" x14ac:dyDescent="0.25">
      <c r="A141" s="151" t="s">
        <v>59</v>
      </c>
      <c r="B141" s="40"/>
      <c r="C141" s="37"/>
      <c r="D141" s="37"/>
      <c r="E141" s="210"/>
      <c r="F141" s="37"/>
      <c r="G141" s="37"/>
      <c r="H141" s="186">
        <v>1</v>
      </c>
      <c r="I141" s="36">
        <f>H136-(I137+I138+I139+I140)</f>
        <v>166615.05999999994</v>
      </c>
      <c r="J141" s="43">
        <v>6</v>
      </c>
      <c r="K141" s="37"/>
      <c r="L141" s="38"/>
      <c r="M141" s="189"/>
      <c r="N141" s="190"/>
      <c r="O141" s="83" t="str">
        <f t="shared" si="41"/>
        <v/>
      </c>
      <c r="P141" s="191">
        <f>IF(K141="",I141-L141,0)</f>
        <v>166615.05999999994</v>
      </c>
      <c r="Q141" s="191"/>
      <c r="R141" s="197"/>
    </row>
    <row r="142" spans="1:18" s="120" customFormat="1" x14ac:dyDescent="0.25">
      <c r="A142" s="162" t="s">
        <v>81</v>
      </c>
      <c r="B142" s="167" t="s">
        <v>211</v>
      </c>
      <c r="C142" s="182">
        <v>41144</v>
      </c>
      <c r="D142" s="192">
        <f>DATE(YEAR(C142),MONTH(C142)+18,DAY(C142))</f>
        <v>41693</v>
      </c>
      <c r="E142" s="212">
        <v>41295</v>
      </c>
      <c r="F142" s="192">
        <f>DATE(YEAR(C142)+4,MONTH(C142),DAY(C142))</f>
        <v>42605</v>
      </c>
      <c r="G142" s="192">
        <v>41927</v>
      </c>
      <c r="H142" s="170">
        <v>1</v>
      </c>
      <c r="I142" s="165"/>
      <c r="J142" s="171"/>
      <c r="K142" s="182"/>
      <c r="L142" s="168">
        <f>SUM(L143)</f>
        <v>0</v>
      </c>
      <c r="M142" s="180"/>
      <c r="N142" s="181"/>
      <c r="O142" s="205">
        <f>SUM(O143)</f>
        <v>1</v>
      </c>
      <c r="P142" s="183">
        <f>SUM(P143)</f>
        <v>0</v>
      </c>
      <c r="Q142" s="183"/>
      <c r="R142" s="201">
        <f>H142-(L142+O142+P142)</f>
        <v>0</v>
      </c>
    </row>
    <row r="143" spans="1:18" s="26" customFormat="1" x14ac:dyDescent="0.25">
      <c r="A143" s="47" t="s">
        <v>81</v>
      </c>
      <c r="B143" s="4"/>
      <c r="C143" s="15"/>
      <c r="D143" s="15"/>
      <c r="E143" s="209"/>
      <c r="F143" s="15"/>
      <c r="G143" s="15"/>
      <c r="H143" s="16"/>
      <c r="I143" s="23">
        <v>1</v>
      </c>
      <c r="J143" s="43">
        <v>1</v>
      </c>
      <c r="K143" s="15">
        <v>42409</v>
      </c>
      <c r="L143" s="137" t="s">
        <v>113</v>
      </c>
      <c r="M143" s="31"/>
      <c r="N143" s="44"/>
      <c r="O143" s="83">
        <f>IF(L143="en attente",I143,"")</f>
        <v>1</v>
      </c>
      <c r="P143" s="83">
        <f>IF(K143="",I143-L143,0)</f>
        <v>0</v>
      </c>
      <c r="Q143" s="83"/>
      <c r="R143" s="197"/>
    </row>
    <row r="144" spans="1:18" s="120" customFormat="1" x14ac:dyDescent="0.25">
      <c r="A144" s="152" t="s">
        <v>62</v>
      </c>
      <c r="B144" s="158" t="s">
        <v>210</v>
      </c>
      <c r="C144" s="192">
        <v>41171</v>
      </c>
      <c r="D144" s="192">
        <f>DATE(YEAR(C144),MONTH(C144)+18,DAY(C144))</f>
        <v>41717</v>
      </c>
      <c r="E144" s="208">
        <v>41400</v>
      </c>
      <c r="F144" s="192">
        <f>DATE(YEAR(C144)+4,MONTH(C144),DAY(C144))</f>
        <v>42632</v>
      </c>
      <c r="G144" s="192">
        <v>41831</v>
      </c>
      <c r="H144" s="161">
        <v>177688</v>
      </c>
      <c r="I144" s="156"/>
      <c r="J144" s="171"/>
      <c r="K144" s="192"/>
      <c r="L144" s="159">
        <f>SUM(L145:L148)</f>
        <v>142150.40000000002</v>
      </c>
      <c r="M144" s="184"/>
      <c r="N144" s="185"/>
      <c r="O144" s="193">
        <f>SUM(O145:O148)</f>
        <v>35537.599999999999</v>
      </c>
      <c r="P144" s="193">
        <f>SUM(P145:P148)</f>
        <v>0</v>
      </c>
      <c r="Q144" s="193"/>
      <c r="R144" s="201">
        <f>H144-(L144+O144+P144)</f>
        <v>0</v>
      </c>
    </row>
    <row r="145" spans="1:18" s="26" customFormat="1" x14ac:dyDescent="0.25">
      <c r="A145" s="47" t="s">
        <v>62</v>
      </c>
      <c r="B145" s="4"/>
      <c r="C145" s="15"/>
      <c r="D145" s="15"/>
      <c r="E145" s="209"/>
      <c r="F145" s="15"/>
      <c r="G145" s="15"/>
      <c r="H145" s="121">
        <f>I145/$H$144</f>
        <v>0.3</v>
      </c>
      <c r="I145" s="23">
        <v>53306.400000000001</v>
      </c>
      <c r="J145" s="43">
        <v>1</v>
      </c>
      <c r="K145" s="15">
        <v>41466</v>
      </c>
      <c r="L145" s="24">
        <v>53306.400000000001</v>
      </c>
      <c r="M145" s="31">
        <v>41522</v>
      </c>
      <c r="N145" s="44">
        <f>IF(M145="",$P$2-K145,M145-K145)</f>
        <v>56</v>
      </c>
      <c r="O145" s="83" t="str">
        <f>IF(L145="en attente",I145,"")</f>
        <v/>
      </c>
      <c r="P145" s="83">
        <f>IF(K145="",I145-L145,0)</f>
        <v>0</v>
      </c>
      <c r="Q145" s="83"/>
      <c r="R145" s="197"/>
    </row>
    <row r="146" spans="1:18" s="26" customFormat="1" x14ac:dyDescent="0.25">
      <c r="A146" s="47" t="s">
        <v>62</v>
      </c>
      <c r="B146" s="4"/>
      <c r="C146" s="15"/>
      <c r="D146" s="15"/>
      <c r="E146" s="209"/>
      <c r="F146" s="15"/>
      <c r="G146" s="15"/>
      <c r="H146" s="121">
        <f>I146/$H$144+H145</f>
        <v>0.49159999549772637</v>
      </c>
      <c r="I146" s="23">
        <v>34045.020000000004</v>
      </c>
      <c r="J146" s="43">
        <v>2</v>
      </c>
      <c r="K146" s="15">
        <v>41717</v>
      </c>
      <c r="L146" s="24">
        <v>34045.020000000004</v>
      </c>
      <c r="M146" s="31">
        <v>41744</v>
      </c>
      <c r="N146" s="44">
        <f>IF(M146="",$P$2-K146,M146-K146)</f>
        <v>27</v>
      </c>
      <c r="O146" s="83" t="str">
        <f>IF(L146="en attente",I146,"")</f>
        <v/>
      </c>
      <c r="P146" s="83">
        <f>IF(K146="",I146-L146,0)</f>
        <v>0</v>
      </c>
      <c r="Q146" s="83"/>
      <c r="R146" s="197"/>
    </row>
    <row r="147" spans="1:18" s="26" customFormat="1" x14ac:dyDescent="0.25">
      <c r="A147" s="47" t="s">
        <v>62</v>
      </c>
      <c r="B147" s="4"/>
      <c r="C147" s="15"/>
      <c r="D147" s="15"/>
      <c r="E147" s="209"/>
      <c r="F147" s="15"/>
      <c r="G147" s="15"/>
      <c r="H147" s="121">
        <f>I147/$H$144+H146</f>
        <v>0.8</v>
      </c>
      <c r="I147" s="23">
        <v>54798.98</v>
      </c>
      <c r="J147" s="43">
        <v>3</v>
      </c>
      <c r="K147" s="15">
        <v>41855</v>
      </c>
      <c r="L147" s="24">
        <v>54798.98</v>
      </c>
      <c r="M147" s="31">
        <v>41884</v>
      </c>
      <c r="N147" s="44">
        <f>IF(M147="",$P$2-K147,M147-K147)</f>
        <v>29</v>
      </c>
      <c r="O147" s="83" t="str">
        <f>IF(L147="en attente",I147,"")</f>
        <v/>
      </c>
      <c r="P147" s="83">
        <f>IF(K147="",I147-L147,0)</f>
        <v>0</v>
      </c>
      <c r="Q147" s="83"/>
      <c r="R147" s="197"/>
    </row>
    <row r="148" spans="1:18" s="26" customFormat="1" x14ac:dyDescent="0.25">
      <c r="A148" s="151" t="s">
        <v>62</v>
      </c>
      <c r="B148" s="40"/>
      <c r="C148" s="37"/>
      <c r="D148" s="37"/>
      <c r="E148" s="210"/>
      <c r="F148" s="37"/>
      <c r="G148" s="37"/>
      <c r="H148" s="186">
        <f>I148/$H$144+H147</f>
        <v>1</v>
      </c>
      <c r="I148" s="36">
        <v>35537.599999999999</v>
      </c>
      <c r="J148" s="45">
        <v>4</v>
      </c>
      <c r="K148" s="37">
        <v>42411</v>
      </c>
      <c r="L148" s="188" t="s">
        <v>113</v>
      </c>
      <c r="M148" s="189"/>
      <c r="N148" s="190"/>
      <c r="O148" s="191">
        <f>IF(L148="en attente",I148,"")</f>
        <v>35537.599999999999</v>
      </c>
      <c r="P148" s="191">
        <f>IF(K148="",I148-L148,0)</f>
        <v>0</v>
      </c>
      <c r="Q148" s="191" t="s">
        <v>82</v>
      </c>
      <c r="R148" s="197"/>
    </row>
    <row r="149" spans="1:18" s="120" customFormat="1" x14ac:dyDescent="0.25">
      <c r="A149" s="162" t="s">
        <v>9</v>
      </c>
      <c r="B149" s="167" t="s">
        <v>209</v>
      </c>
      <c r="C149" s="182">
        <v>41170</v>
      </c>
      <c r="D149" s="192">
        <f>DATE(YEAR(C149),MONTH(C149)+18,DAY(C149))</f>
        <v>41716</v>
      </c>
      <c r="E149" s="212">
        <v>41554</v>
      </c>
      <c r="F149" s="192">
        <f>DATE(YEAR(C149)+4,MONTH(C149),DAY(C149))</f>
        <v>42631</v>
      </c>
      <c r="G149" s="192"/>
      <c r="H149" s="170">
        <v>264000</v>
      </c>
      <c r="I149" s="165"/>
      <c r="J149" s="166"/>
      <c r="K149" s="182"/>
      <c r="L149" s="168">
        <f>SUM(L150:L153)</f>
        <v>161172</v>
      </c>
      <c r="M149" s="180"/>
      <c r="N149" s="181"/>
      <c r="O149" s="183">
        <f>SUM(O150:O153)</f>
        <v>41738.400000000001</v>
      </c>
      <c r="P149" s="183">
        <f>SUM(P150:P153)</f>
        <v>61089.600000000006</v>
      </c>
      <c r="Q149" s="183"/>
      <c r="R149" s="201">
        <f>H149-(L149+O149+P149)</f>
        <v>0</v>
      </c>
    </row>
    <row r="150" spans="1:18" s="26" customFormat="1" x14ac:dyDescent="0.25">
      <c r="A150" s="47" t="s">
        <v>9</v>
      </c>
      <c r="B150" s="4"/>
      <c r="C150" s="15"/>
      <c r="D150" s="15"/>
      <c r="E150" s="209"/>
      <c r="F150" s="15"/>
      <c r="G150" s="15"/>
      <c r="H150" s="121">
        <f>I150/$H$149</f>
        <v>0.3</v>
      </c>
      <c r="I150" s="23">
        <v>79200</v>
      </c>
      <c r="J150" s="43">
        <v>1</v>
      </c>
      <c r="K150" s="15">
        <v>41582</v>
      </c>
      <c r="L150" s="24">
        <v>79200</v>
      </c>
      <c r="M150" s="31">
        <v>41618</v>
      </c>
      <c r="N150" s="44">
        <f>IF(M150="",$P$2-K150,M150-K150)</f>
        <v>36</v>
      </c>
      <c r="O150" s="83" t="str">
        <f>IF(L150="en attente",I150,"")</f>
        <v/>
      </c>
      <c r="P150" s="83">
        <f>IF(K150="",I150-L150,0)</f>
        <v>0</v>
      </c>
      <c r="Q150" s="83"/>
      <c r="R150" s="197"/>
    </row>
    <row r="151" spans="1:18" s="120" customFormat="1" x14ac:dyDescent="0.25">
      <c r="A151" s="47" t="s">
        <v>9</v>
      </c>
      <c r="B151" s="19"/>
      <c r="C151" s="118"/>
      <c r="D151" s="118"/>
      <c r="E151" s="213"/>
      <c r="F151" s="118"/>
      <c r="G151" s="118"/>
      <c r="H151" s="121">
        <f>I151/$H$149+H150</f>
        <v>0.61050000000000004</v>
      </c>
      <c r="I151" s="23">
        <v>81972</v>
      </c>
      <c r="J151" s="43">
        <v>2</v>
      </c>
      <c r="K151" s="15">
        <v>42178</v>
      </c>
      <c r="L151" s="24">
        <v>81972</v>
      </c>
      <c r="M151" s="31">
        <v>42237</v>
      </c>
      <c r="N151" s="44">
        <f>IF(M151="",$P$2-K151,M151-K151)</f>
        <v>59</v>
      </c>
      <c r="O151" s="83" t="str">
        <f>IF(L151="en attente",I151,"")</f>
        <v/>
      </c>
      <c r="P151" s="119">
        <f>IF(K151="",I151-L151,0)</f>
        <v>0</v>
      </c>
      <c r="Q151" s="119"/>
      <c r="R151" s="197"/>
    </row>
    <row r="152" spans="1:18" s="26" customFormat="1" x14ac:dyDescent="0.25">
      <c r="A152" s="47" t="s">
        <v>9</v>
      </c>
      <c r="B152" s="4"/>
      <c r="C152" s="15"/>
      <c r="D152" s="15"/>
      <c r="E152" s="209"/>
      <c r="F152" s="15"/>
      <c r="G152" s="15"/>
      <c r="H152" s="286">
        <v>0.76859999999999995</v>
      </c>
      <c r="I152" s="23">
        <v>41738.400000000001</v>
      </c>
      <c r="J152" s="43">
        <v>3</v>
      </c>
      <c r="K152" s="15">
        <v>42376</v>
      </c>
      <c r="L152" s="137" t="s">
        <v>113</v>
      </c>
      <c r="M152" s="31"/>
      <c r="N152" s="44"/>
      <c r="O152" s="83">
        <f>IF(L152="en attente",I152,"")</f>
        <v>41738.400000000001</v>
      </c>
      <c r="P152" s="83">
        <f>IF(K152="",I152-L152,0)</f>
        <v>0</v>
      </c>
      <c r="Q152" s="83"/>
      <c r="R152" s="197"/>
    </row>
    <row r="153" spans="1:18" s="26" customFormat="1" x14ac:dyDescent="0.25">
      <c r="A153" s="47" t="s">
        <v>9</v>
      </c>
      <c r="B153" s="4"/>
      <c r="C153" s="15"/>
      <c r="D153" s="15"/>
      <c r="E153" s="209"/>
      <c r="F153" s="15"/>
      <c r="G153" s="15"/>
      <c r="H153" s="121">
        <v>1</v>
      </c>
      <c r="I153" s="23">
        <f>H149-(I150+I151+I152)</f>
        <v>61089.600000000006</v>
      </c>
      <c r="J153" s="43">
        <v>4</v>
      </c>
      <c r="K153" s="15"/>
      <c r="L153" s="24"/>
      <c r="M153" s="31"/>
      <c r="N153" s="44"/>
      <c r="O153" s="83" t="str">
        <f>IF(L153="en attente",I153,"")</f>
        <v/>
      </c>
      <c r="P153" s="83">
        <f>IF(K153="",I153-L153,0)</f>
        <v>61089.600000000006</v>
      </c>
      <c r="Q153" s="83"/>
      <c r="R153" s="197"/>
    </row>
    <row r="154" spans="1:18" s="120" customFormat="1" x14ac:dyDescent="0.25">
      <c r="A154" s="152" t="s">
        <v>121</v>
      </c>
      <c r="B154" s="158" t="s">
        <v>208</v>
      </c>
      <c r="C154" s="192">
        <v>41179</v>
      </c>
      <c r="D154" s="192">
        <f>DATE(YEAR(C154),MONTH(C154)+18,DAY(C154))</f>
        <v>41725</v>
      </c>
      <c r="E154" s="208">
        <v>41452</v>
      </c>
      <c r="F154" s="192">
        <f>DATE(YEAR(C154)+4,MONTH(C154),DAY(C154))</f>
        <v>42640</v>
      </c>
      <c r="G154" s="192">
        <v>42275</v>
      </c>
      <c r="H154" s="161">
        <v>165000</v>
      </c>
      <c r="I154" s="156"/>
      <c r="J154" s="171"/>
      <c r="K154" s="192"/>
      <c r="L154" s="159">
        <f>SUM(L155:L158)</f>
        <v>128435.5</v>
      </c>
      <c r="M154" s="184"/>
      <c r="N154" s="185"/>
      <c r="O154" s="193">
        <f>SUM(O155:O158)</f>
        <v>0</v>
      </c>
      <c r="P154" s="193">
        <f>SUM(P155:P158)</f>
        <v>36564</v>
      </c>
      <c r="Q154" s="193"/>
      <c r="R154" s="201">
        <f>H154-(L154+O154+P154)</f>
        <v>0.5</v>
      </c>
    </row>
    <row r="155" spans="1:18" s="26" customFormat="1" x14ac:dyDescent="0.25">
      <c r="A155" s="47" t="s">
        <v>121</v>
      </c>
      <c r="B155" s="4"/>
      <c r="C155" s="15"/>
      <c r="D155" s="15"/>
      <c r="E155" s="209"/>
      <c r="F155" s="15"/>
      <c r="G155" s="15"/>
      <c r="H155" s="121">
        <f>I155/$H$154</f>
        <v>0.3</v>
      </c>
      <c r="I155" s="23">
        <v>49500</v>
      </c>
      <c r="J155" s="43">
        <v>1</v>
      </c>
      <c r="K155" s="15">
        <v>41485</v>
      </c>
      <c r="L155" s="24">
        <v>49500</v>
      </c>
      <c r="M155" s="31">
        <v>41551</v>
      </c>
      <c r="N155" s="44">
        <f>IF(M155="",$P$2-K155,M155-K155)</f>
        <v>66</v>
      </c>
      <c r="O155" s="83" t="str">
        <f>IF(L155="en attente",I155,"")</f>
        <v/>
      </c>
      <c r="P155" s="83">
        <f>IF(K155="",I155-L155,0)</f>
        <v>0</v>
      </c>
      <c r="Q155" s="83"/>
      <c r="R155" s="197"/>
    </row>
    <row r="156" spans="1:18" s="26" customFormat="1" x14ac:dyDescent="0.25">
      <c r="A156" s="47" t="s">
        <v>121</v>
      </c>
      <c r="B156" s="4"/>
      <c r="C156" s="15"/>
      <c r="D156" s="15"/>
      <c r="E156" s="209"/>
      <c r="F156" s="15"/>
      <c r="G156" s="15"/>
      <c r="H156" s="121">
        <f>I156/$H$154+H155</f>
        <v>0.54269999999999996</v>
      </c>
      <c r="I156" s="23">
        <v>40045.5</v>
      </c>
      <c r="J156" s="43">
        <v>2</v>
      </c>
      <c r="K156" s="15">
        <v>41855</v>
      </c>
      <c r="L156" s="24">
        <v>40045.5</v>
      </c>
      <c r="M156" s="31">
        <v>41921</v>
      </c>
      <c r="N156" s="44">
        <f>IF(M156="",$P$2-K156,M156-K156)</f>
        <v>66</v>
      </c>
      <c r="O156" s="83" t="str">
        <f>IF(L156="en attente",I156,"")</f>
        <v/>
      </c>
      <c r="P156" s="83">
        <f>IF(K156="",I156-L156,0)</f>
        <v>0</v>
      </c>
      <c r="Q156" s="83"/>
      <c r="R156" s="197"/>
    </row>
    <row r="157" spans="1:18" s="26" customFormat="1" x14ac:dyDescent="0.25">
      <c r="A157" s="47" t="s">
        <v>121</v>
      </c>
      <c r="B157" s="4"/>
      <c r="C157" s="15"/>
      <c r="D157" s="15"/>
      <c r="E157" s="209"/>
      <c r="F157" s="15"/>
      <c r="G157" s="15"/>
      <c r="H157" s="121">
        <f>I157/$H$154+H156</f>
        <v>0.77839999999999998</v>
      </c>
      <c r="I157" s="123">
        <v>38890.5</v>
      </c>
      <c r="J157" s="43">
        <v>3</v>
      </c>
      <c r="K157" s="15">
        <v>42221</v>
      </c>
      <c r="L157" s="24">
        <v>38890</v>
      </c>
      <c r="M157" s="31">
        <v>42243</v>
      </c>
      <c r="N157" s="44"/>
      <c r="O157" s="83" t="str">
        <f>IF(L157="en attente",I157,"")</f>
        <v/>
      </c>
      <c r="P157" s="83">
        <f>IF(K157="",I157-L157,0)</f>
        <v>0</v>
      </c>
      <c r="Q157" s="83"/>
      <c r="R157" s="197"/>
    </row>
    <row r="158" spans="1:18" s="26" customFormat="1" x14ac:dyDescent="0.25">
      <c r="A158" s="151" t="s">
        <v>121</v>
      </c>
      <c r="B158" s="40"/>
      <c r="C158" s="37"/>
      <c r="D158" s="37"/>
      <c r="E158" s="210"/>
      <c r="F158" s="37"/>
      <c r="G158" s="37"/>
      <c r="H158" s="186">
        <f>I158/$H$154+H157</f>
        <v>1</v>
      </c>
      <c r="I158" s="194">
        <v>36564</v>
      </c>
      <c r="J158" s="45">
        <v>4</v>
      </c>
      <c r="K158" s="37"/>
      <c r="L158" s="38"/>
      <c r="M158" s="189"/>
      <c r="N158" s="190"/>
      <c r="O158" s="191" t="str">
        <f>IF(L158="en attente",I158,"")</f>
        <v/>
      </c>
      <c r="P158" s="191">
        <f>IF(K158="",I158-L158,0)</f>
        <v>36564</v>
      </c>
      <c r="Q158" s="191"/>
      <c r="R158" s="197"/>
    </row>
    <row r="159" spans="1:18" s="8" customFormat="1" x14ac:dyDescent="0.25">
      <c r="A159" s="152" t="s">
        <v>47</v>
      </c>
      <c r="B159" s="153" t="s">
        <v>201</v>
      </c>
      <c r="C159" s="192">
        <v>41515</v>
      </c>
      <c r="D159" s="192">
        <f>DATE(YEAR(C159),MONTH(C159)+18,DAY(C159))</f>
        <v>42064</v>
      </c>
      <c r="E159" s="208">
        <v>41835</v>
      </c>
      <c r="F159" s="192">
        <f>DATE(YEAR(C159)+4,MONTH(C159),DAY(C159))</f>
        <v>42976</v>
      </c>
      <c r="G159" s="192">
        <v>42313</v>
      </c>
      <c r="H159" s="161">
        <v>500000</v>
      </c>
      <c r="I159" s="156"/>
      <c r="J159" s="171"/>
      <c r="K159" s="158"/>
      <c r="L159" s="159">
        <f>SUM(L160:L162)</f>
        <v>372450</v>
      </c>
      <c r="M159" s="184"/>
      <c r="N159" s="185"/>
      <c r="O159" s="193">
        <f>SUM(O160:O162)</f>
        <v>0</v>
      </c>
      <c r="P159" s="193">
        <f>SUM(P160:P163)</f>
        <v>127550</v>
      </c>
      <c r="Q159" s="193"/>
      <c r="R159" s="201">
        <f>H159-(L159+O159+P159)</f>
        <v>0</v>
      </c>
    </row>
    <row r="160" spans="1:18" s="26" customFormat="1" x14ac:dyDescent="0.25">
      <c r="A160" s="47" t="s">
        <v>47</v>
      </c>
      <c r="B160" s="4"/>
      <c r="C160" s="15"/>
      <c r="D160" s="15"/>
      <c r="E160" s="209"/>
      <c r="F160" s="15"/>
      <c r="G160" s="15"/>
      <c r="H160" s="121">
        <f>I160/H159</f>
        <v>0.3</v>
      </c>
      <c r="I160" s="23">
        <v>150000</v>
      </c>
      <c r="J160" s="43">
        <v>1</v>
      </c>
      <c r="K160" s="15">
        <v>41939</v>
      </c>
      <c r="L160" s="24">
        <v>150000</v>
      </c>
      <c r="M160" s="31">
        <v>41984</v>
      </c>
      <c r="N160" s="44">
        <f>IF(M160="",$P$2-K160,M160-K160)</f>
        <v>45</v>
      </c>
      <c r="O160" s="83" t="str">
        <f>IF(L160="en attente",I160,"")</f>
        <v/>
      </c>
      <c r="P160" s="83">
        <f>IF(K160="",I160-L160,0)</f>
        <v>0</v>
      </c>
      <c r="Q160" s="83"/>
      <c r="R160" s="197"/>
    </row>
    <row r="161" spans="1:18" s="26" customFormat="1" x14ac:dyDescent="0.25">
      <c r="A161" s="47" t="s">
        <v>47</v>
      </c>
      <c r="B161" s="4"/>
      <c r="C161" s="15"/>
      <c r="D161" s="15"/>
      <c r="E161" s="209"/>
      <c r="F161" s="15"/>
      <c r="G161" s="15"/>
      <c r="H161" s="121">
        <f>I161/$H$159+$H$160</f>
        <v>0.55289999999999995</v>
      </c>
      <c r="I161" s="23">
        <v>126450</v>
      </c>
      <c r="J161" s="43">
        <v>2</v>
      </c>
      <c r="K161" s="15">
        <v>42187</v>
      </c>
      <c r="L161" s="24">
        <v>126450</v>
      </c>
      <c r="M161" s="31">
        <v>42234</v>
      </c>
      <c r="N161" s="44">
        <f>IF(M161="",$P$2-K161,M161-K161)</f>
        <v>47</v>
      </c>
      <c r="O161" s="83" t="str">
        <f>IF(L161="en attente",I161,"")</f>
        <v/>
      </c>
      <c r="P161" s="83">
        <f>IF(K161="",I161-L161,0)</f>
        <v>0</v>
      </c>
      <c r="Q161" s="83"/>
      <c r="R161" s="197"/>
    </row>
    <row r="162" spans="1:18" s="26" customFormat="1" x14ac:dyDescent="0.25">
      <c r="A162" s="47" t="s">
        <v>47</v>
      </c>
      <c r="B162" s="4"/>
      <c r="C162" s="15"/>
      <c r="D162" s="15"/>
      <c r="E162" s="209"/>
      <c r="F162" s="15"/>
      <c r="G162" s="15"/>
      <c r="H162" s="286">
        <v>0.74490000000000001</v>
      </c>
      <c r="I162" s="23">
        <v>96000</v>
      </c>
      <c r="J162" s="43">
        <v>3</v>
      </c>
      <c r="K162" s="15">
        <v>42314</v>
      </c>
      <c r="L162" s="24">
        <v>96000</v>
      </c>
      <c r="M162" s="31">
        <v>42341</v>
      </c>
      <c r="N162" s="44"/>
      <c r="O162" s="83" t="str">
        <f>IF(L162="en attente",I162,"")</f>
        <v/>
      </c>
      <c r="P162" s="83">
        <f>IF(K162="",I162-L162,0)</f>
        <v>0</v>
      </c>
      <c r="Q162" s="83"/>
      <c r="R162" s="197"/>
    </row>
    <row r="163" spans="1:18" s="26" customFormat="1" x14ac:dyDescent="0.25">
      <c r="A163" s="151" t="s">
        <v>47</v>
      </c>
      <c r="B163" s="40"/>
      <c r="C163" s="37"/>
      <c r="D163" s="37"/>
      <c r="E163" s="210"/>
      <c r="F163" s="37"/>
      <c r="G163" s="37"/>
      <c r="H163" s="186">
        <v>1</v>
      </c>
      <c r="I163" s="194">
        <f>H159-(I160+I161+I162)</f>
        <v>127550</v>
      </c>
      <c r="J163" s="45"/>
      <c r="K163" s="37"/>
      <c r="L163" s="38"/>
      <c r="M163" s="189"/>
      <c r="N163" s="190"/>
      <c r="O163" s="191"/>
      <c r="P163" s="83">
        <f>IF(K163="",I163-L163,0)</f>
        <v>127550</v>
      </c>
      <c r="Q163" s="191"/>
      <c r="R163" s="197"/>
    </row>
    <row r="164" spans="1:18" s="120" customFormat="1" x14ac:dyDescent="0.25">
      <c r="A164" s="152" t="s">
        <v>55</v>
      </c>
      <c r="B164" s="158" t="s">
        <v>207</v>
      </c>
      <c r="C164" s="192">
        <v>41486</v>
      </c>
      <c r="D164" s="192">
        <f>DATE(YEAR(C164),MONTH(C164)+18,DAY(C164))</f>
        <v>42035</v>
      </c>
      <c r="E164" s="208">
        <v>41900</v>
      </c>
      <c r="F164" s="192">
        <f>DATE(YEAR(C164)+4,MONTH(C164),DAY(C164))</f>
        <v>42947</v>
      </c>
      <c r="G164" s="192"/>
      <c r="H164" s="161">
        <v>225000</v>
      </c>
      <c r="I164" s="156"/>
      <c r="J164" s="171"/>
      <c r="K164" s="192"/>
      <c r="L164" s="159">
        <f>SUM(L165:L168)</f>
        <v>179865</v>
      </c>
      <c r="M164" s="184"/>
      <c r="N164" s="185"/>
      <c r="O164" s="193">
        <f>SUM(O165:O168)</f>
        <v>0</v>
      </c>
      <c r="P164" s="193">
        <f>SUM(P165:P168)</f>
        <v>45135</v>
      </c>
      <c r="Q164" s="193"/>
      <c r="R164" s="201">
        <f>H164-(L164+O164+P164)</f>
        <v>0</v>
      </c>
    </row>
    <row r="165" spans="1:18" s="26" customFormat="1" x14ac:dyDescent="0.25">
      <c r="A165" s="47" t="s">
        <v>55</v>
      </c>
      <c r="B165" s="4"/>
      <c r="C165" s="15"/>
      <c r="D165" s="15"/>
      <c r="E165" s="209"/>
      <c r="F165" s="15"/>
      <c r="G165" s="15"/>
      <c r="H165" s="121">
        <f>I165/$H$164</f>
        <v>0.3</v>
      </c>
      <c r="I165" s="23">
        <v>67500</v>
      </c>
      <c r="J165" s="43">
        <v>1</v>
      </c>
      <c r="K165" s="15">
        <v>41925</v>
      </c>
      <c r="L165" s="24">
        <v>67500</v>
      </c>
      <c r="M165" s="31">
        <v>41955</v>
      </c>
      <c r="N165" s="44">
        <f>IF(M165="",$P$2-K165,M165-K165)</f>
        <v>30</v>
      </c>
      <c r="O165" s="83" t="str">
        <f>IF(L165="en attente",I165,"")</f>
        <v/>
      </c>
      <c r="P165" s="83">
        <f>IF(K165="",I165-L165,0)</f>
        <v>0</v>
      </c>
      <c r="Q165" s="83"/>
      <c r="R165" s="197"/>
    </row>
    <row r="166" spans="1:18" s="26" customFormat="1" x14ac:dyDescent="0.25">
      <c r="A166" s="47" t="s">
        <v>55</v>
      </c>
      <c r="B166" s="4"/>
      <c r="C166" s="15"/>
      <c r="D166" s="15"/>
      <c r="E166" s="209"/>
      <c r="F166" s="15"/>
      <c r="G166" s="15"/>
      <c r="H166" s="121">
        <f>I166/$H$164+H165</f>
        <v>0.4037</v>
      </c>
      <c r="I166" s="23">
        <v>23332.5</v>
      </c>
      <c r="J166" s="43">
        <v>2</v>
      </c>
      <c r="K166" s="15">
        <v>42178</v>
      </c>
      <c r="L166" s="24">
        <v>23332.5</v>
      </c>
      <c r="M166" s="31">
        <v>42234</v>
      </c>
      <c r="N166" s="44">
        <f>IF(M166="",$P$2-K166,M166-K166)</f>
        <v>56</v>
      </c>
      <c r="O166" s="83" t="str">
        <f>IF(L166="en attente",I166,"")</f>
        <v/>
      </c>
      <c r="P166" s="83">
        <f>IF(K166="",I166-L166,0)</f>
        <v>0</v>
      </c>
      <c r="Q166" s="83"/>
      <c r="R166" s="197"/>
    </row>
    <row r="167" spans="1:18" s="26" customFormat="1" x14ac:dyDescent="0.25">
      <c r="A167" s="47" t="s">
        <v>55</v>
      </c>
      <c r="B167" s="4"/>
      <c r="C167" s="15"/>
      <c r="D167" s="15"/>
      <c r="E167" s="209"/>
      <c r="F167" s="15"/>
      <c r="G167" s="15"/>
      <c r="H167" s="286">
        <v>0.7994</v>
      </c>
      <c r="I167" s="23">
        <v>89032.5</v>
      </c>
      <c r="J167" s="43">
        <v>3</v>
      </c>
      <c r="K167" s="15">
        <v>42376</v>
      </c>
      <c r="L167" s="24">
        <v>89032.5</v>
      </c>
      <c r="M167" s="31">
        <v>42431</v>
      </c>
      <c r="N167" s="44"/>
      <c r="O167" s="83" t="str">
        <f>IF(L167="en attente",I167,"")</f>
        <v/>
      </c>
      <c r="P167" s="83">
        <f>IF(K167="",I167-L167,0)</f>
        <v>0</v>
      </c>
      <c r="Q167" s="83"/>
      <c r="R167" s="197"/>
    </row>
    <row r="168" spans="1:18" s="26" customFormat="1" x14ac:dyDescent="0.25">
      <c r="A168" s="47" t="s">
        <v>55</v>
      </c>
      <c r="B168" s="4"/>
      <c r="C168" s="15"/>
      <c r="D168" s="15"/>
      <c r="E168" s="209"/>
      <c r="F168" s="15"/>
      <c r="G168" s="15"/>
      <c r="H168" s="121">
        <f>I168/$H$164+H167</f>
        <v>1</v>
      </c>
      <c r="I168" s="23">
        <f>225000-(I165+I166+I167)</f>
        <v>45135</v>
      </c>
      <c r="J168" s="43">
        <v>4</v>
      </c>
      <c r="K168" s="15"/>
      <c r="L168" s="24"/>
      <c r="M168" s="31"/>
      <c r="N168" s="44"/>
      <c r="O168" s="83" t="str">
        <f>IF(L168="en attente",I168,"")</f>
        <v/>
      </c>
      <c r="P168" s="83">
        <f>IF(K168="",I168-L168,0)</f>
        <v>45135</v>
      </c>
      <c r="Q168" s="83"/>
      <c r="R168" s="197"/>
    </row>
    <row r="169" spans="1:18" s="120" customFormat="1" x14ac:dyDescent="0.25">
      <c r="A169" s="152" t="s">
        <v>56</v>
      </c>
      <c r="B169" s="158" t="s">
        <v>206</v>
      </c>
      <c r="C169" s="192">
        <v>41465</v>
      </c>
      <c r="D169" s="192">
        <f>DATE(YEAR(C169),MONTH(C169)+18,DAY(C169))</f>
        <v>42014</v>
      </c>
      <c r="E169" s="208">
        <v>41801</v>
      </c>
      <c r="F169" s="192">
        <f>DATE(YEAR(C169)+4,MONTH(C169),DAY(C169))</f>
        <v>42926</v>
      </c>
      <c r="G169" s="192"/>
      <c r="H169" s="161">
        <v>660000</v>
      </c>
      <c r="I169" s="156"/>
      <c r="J169" s="171"/>
      <c r="K169" s="192"/>
      <c r="L169" s="159">
        <f>SUM(L170:L175)</f>
        <v>325380</v>
      </c>
      <c r="M169" s="184"/>
      <c r="N169" s="185"/>
      <c r="O169" s="193">
        <f>SUM(O170:O175)</f>
        <v>123618</v>
      </c>
      <c r="P169" s="193">
        <f>SUM(P170:P175)</f>
        <v>211002</v>
      </c>
      <c r="Q169" s="193"/>
      <c r="R169" s="201">
        <f>H169-(L169+O169+P169)</f>
        <v>0</v>
      </c>
    </row>
    <row r="170" spans="1:18" s="26" customFormat="1" x14ac:dyDescent="0.25">
      <c r="A170" s="47" t="s">
        <v>56</v>
      </c>
      <c r="B170" s="4"/>
      <c r="C170" s="15"/>
      <c r="D170" s="15"/>
      <c r="E170" s="209"/>
      <c r="F170" s="15"/>
      <c r="G170" s="15"/>
      <c r="H170" s="121">
        <f>I170/$H$169</f>
        <v>0.3</v>
      </c>
      <c r="I170" s="23">
        <v>198000</v>
      </c>
      <c r="J170" s="43">
        <v>1</v>
      </c>
      <c r="K170" s="15">
        <v>41817</v>
      </c>
      <c r="L170" s="24">
        <v>198000</v>
      </c>
      <c r="M170" s="31">
        <v>41862</v>
      </c>
      <c r="N170" s="44">
        <f>IF(M170="",$P$2-K170,M170-K170)</f>
        <v>45</v>
      </c>
      <c r="O170" s="83" t="str">
        <f t="shared" ref="O170:O175" si="42">IF(L170="en attente",I170,"")</f>
        <v/>
      </c>
      <c r="P170" s="83">
        <f t="shared" ref="P170:P175" si="43">IF(K170="",I170-L170,0)</f>
        <v>0</v>
      </c>
      <c r="Q170" s="83"/>
      <c r="R170" s="197"/>
    </row>
    <row r="171" spans="1:18" s="120" customFormat="1" x14ac:dyDescent="0.25">
      <c r="A171" s="47" t="s">
        <v>56</v>
      </c>
      <c r="B171" s="19"/>
      <c r="C171" s="118"/>
      <c r="D171" s="118"/>
      <c r="E171" s="213"/>
      <c r="F171" s="118"/>
      <c r="G171" s="118"/>
      <c r="H171" s="121">
        <f>I171/$H$169+H170</f>
        <v>0.35649999999999998</v>
      </c>
      <c r="I171" s="23">
        <v>37290</v>
      </c>
      <c r="J171" s="43">
        <v>2</v>
      </c>
      <c r="K171" s="15">
        <v>42178</v>
      </c>
      <c r="L171" s="24">
        <v>37290</v>
      </c>
      <c r="M171" s="31">
        <v>42237</v>
      </c>
      <c r="N171" s="44">
        <f>IF(M171="",$P$2-K171,M171-K171)</f>
        <v>59</v>
      </c>
      <c r="O171" s="83" t="str">
        <f t="shared" si="42"/>
        <v/>
      </c>
      <c r="P171" s="119">
        <f t="shared" si="43"/>
        <v>0</v>
      </c>
      <c r="Q171" s="119"/>
      <c r="R171" s="197"/>
    </row>
    <row r="172" spans="1:18" s="26" customFormat="1" x14ac:dyDescent="0.25">
      <c r="A172" s="47" t="s">
        <v>56</v>
      </c>
      <c r="B172" s="4"/>
      <c r="C172" s="15"/>
      <c r="D172" s="15"/>
      <c r="E172" s="209"/>
      <c r="F172" s="15"/>
      <c r="G172" s="15"/>
      <c r="H172" s="286">
        <v>0.49299999999999999</v>
      </c>
      <c r="I172" s="23">
        <v>90090</v>
      </c>
      <c r="J172" s="43">
        <v>3</v>
      </c>
      <c r="K172" s="15">
        <v>42314</v>
      </c>
      <c r="L172" s="24">
        <v>90090</v>
      </c>
      <c r="M172" s="31">
        <v>42341</v>
      </c>
      <c r="N172" s="44"/>
      <c r="O172" s="83" t="str">
        <f t="shared" si="42"/>
        <v/>
      </c>
      <c r="P172" s="83">
        <f t="shared" si="43"/>
        <v>0</v>
      </c>
      <c r="Q172" s="83"/>
      <c r="R172" s="197"/>
    </row>
    <row r="173" spans="1:18" s="26" customFormat="1" x14ac:dyDescent="0.25">
      <c r="A173" s="47" t="s">
        <v>56</v>
      </c>
      <c r="B173" s="4"/>
      <c r="C173" s="15"/>
      <c r="D173" s="15"/>
      <c r="E173" s="209"/>
      <c r="F173" s="15"/>
      <c r="G173" s="15"/>
      <c r="H173" s="286">
        <v>0.68030000000000002</v>
      </c>
      <c r="I173" s="23">
        <v>123618</v>
      </c>
      <c r="J173" s="43">
        <v>4</v>
      </c>
      <c r="K173" s="15">
        <v>42432</v>
      </c>
      <c r="L173" s="137" t="s">
        <v>113</v>
      </c>
      <c r="M173" s="31"/>
      <c r="N173" s="44"/>
      <c r="O173" s="83">
        <f t="shared" si="42"/>
        <v>123618</v>
      </c>
      <c r="P173" s="83">
        <f t="shared" si="43"/>
        <v>0</v>
      </c>
      <c r="Q173" s="83"/>
      <c r="R173" s="197"/>
    </row>
    <row r="174" spans="1:18" s="26" customFormat="1" x14ac:dyDescent="0.25">
      <c r="A174" s="47" t="s">
        <v>56</v>
      </c>
      <c r="B174" s="4"/>
      <c r="C174" s="15"/>
      <c r="D174" s="15"/>
      <c r="E174" s="209"/>
      <c r="F174" s="15"/>
      <c r="G174" s="15"/>
      <c r="H174" s="121">
        <v>0.8</v>
      </c>
      <c r="I174" s="23">
        <f>H169*80/100-(I170+I171+I172+I173)</f>
        <v>79002</v>
      </c>
      <c r="J174" s="43">
        <v>7</v>
      </c>
      <c r="K174" s="15"/>
      <c r="L174" s="24"/>
      <c r="M174" s="31"/>
      <c r="N174" s="44"/>
      <c r="O174" s="83" t="str">
        <f t="shared" si="42"/>
        <v/>
      </c>
      <c r="P174" s="83">
        <f t="shared" si="43"/>
        <v>79002</v>
      </c>
      <c r="Q174" s="83"/>
      <c r="R174" s="197"/>
    </row>
    <row r="175" spans="1:18" s="26" customFormat="1" x14ac:dyDescent="0.25">
      <c r="A175" s="151" t="s">
        <v>56</v>
      </c>
      <c r="B175" s="40"/>
      <c r="C175" s="37"/>
      <c r="D175" s="37"/>
      <c r="E175" s="210"/>
      <c r="F175" s="37"/>
      <c r="G175" s="37"/>
      <c r="H175" s="186">
        <v>1</v>
      </c>
      <c r="I175" s="36">
        <f>H169-(I170+I171+I172+I173+I174)</f>
        <v>132000</v>
      </c>
      <c r="J175" s="45">
        <v>8</v>
      </c>
      <c r="K175" s="37"/>
      <c r="L175" s="38"/>
      <c r="M175" s="189"/>
      <c r="N175" s="190"/>
      <c r="O175" s="191" t="str">
        <f t="shared" si="42"/>
        <v/>
      </c>
      <c r="P175" s="191">
        <f t="shared" si="43"/>
        <v>132000</v>
      </c>
      <c r="Q175" s="191"/>
      <c r="R175" s="197"/>
    </row>
    <row r="176" spans="1:18" s="120" customFormat="1" x14ac:dyDescent="0.25">
      <c r="A176" s="162" t="s">
        <v>56</v>
      </c>
      <c r="B176" s="167" t="s">
        <v>205</v>
      </c>
      <c r="C176" s="182">
        <v>41493</v>
      </c>
      <c r="D176" s="192">
        <f>DATE(YEAR(C176),MONTH(C176)+18,DAY(C176))</f>
        <v>42042</v>
      </c>
      <c r="E176" s="208">
        <v>41801</v>
      </c>
      <c r="F176" s="192">
        <f>DATE(YEAR(C176)+4,MONTH(C176),DAY(C176))</f>
        <v>42954</v>
      </c>
      <c r="G176" s="192"/>
      <c r="H176" s="170">
        <v>1</v>
      </c>
      <c r="I176" s="165"/>
      <c r="J176" s="166"/>
      <c r="K176" s="182"/>
      <c r="L176" s="183">
        <f>SUM(L177)</f>
        <v>0</v>
      </c>
      <c r="M176" s="180"/>
      <c r="N176" s="181"/>
      <c r="O176" s="183">
        <f>SUM(O177)</f>
        <v>0</v>
      </c>
      <c r="P176" s="183">
        <f>SUM(P177)</f>
        <v>1</v>
      </c>
      <c r="Q176" s="183"/>
      <c r="R176" s="201">
        <f>H176-(L176+O176+P176)</f>
        <v>0</v>
      </c>
    </row>
    <row r="177" spans="1:18" s="26" customFormat="1" x14ac:dyDescent="0.25">
      <c r="A177" s="47" t="s">
        <v>56</v>
      </c>
      <c r="B177" s="4"/>
      <c r="C177" s="15"/>
      <c r="D177" s="15"/>
      <c r="E177" s="209"/>
      <c r="F177" s="15"/>
      <c r="G177" s="15"/>
      <c r="H177" s="16"/>
      <c r="I177" s="23">
        <v>1</v>
      </c>
      <c r="J177" s="43">
        <v>1</v>
      </c>
      <c r="K177" s="15"/>
      <c r="L177" s="24"/>
      <c r="M177" s="31"/>
      <c r="N177" s="44"/>
      <c r="O177" s="83" t="str">
        <f>IF(L177="en attente",I177,"")</f>
        <v/>
      </c>
      <c r="P177" s="83">
        <f>IF(K177="",I177-L177,0)</f>
        <v>1</v>
      </c>
      <c r="Q177" s="83"/>
      <c r="R177" s="197"/>
    </row>
    <row r="178" spans="1:18" s="120" customFormat="1" x14ac:dyDescent="0.25">
      <c r="A178" s="152" t="s">
        <v>60</v>
      </c>
      <c r="B178" s="158" t="s">
        <v>204</v>
      </c>
      <c r="C178" s="192">
        <v>41484</v>
      </c>
      <c r="D178" s="192">
        <f>DATE(YEAR(C178),MONTH(C178)+18,DAY(C178))</f>
        <v>42033</v>
      </c>
      <c r="E178" s="208">
        <v>41729</v>
      </c>
      <c r="F178" s="192">
        <f>DATE(YEAR(C178)+4,MONTH(C178),DAY(C178))</f>
        <v>42945</v>
      </c>
      <c r="G178" s="192"/>
      <c r="H178" s="161">
        <v>680000</v>
      </c>
      <c r="I178" s="156"/>
      <c r="J178" s="171"/>
      <c r="K178" s="192"/>
      <c r="L178" s="159">
        <f>SUM(L179:L183)</f>
        <v>277372</v>
      </c>
      <c r="M178" s="184"/>
      <c r="N178" s="185"/>
      <c r="O178" s="193">
        <f>SUM(O179:O183)</f>
        <v>111384</v>
      </c>
      <c r="P178" s="193">
        <f>SUM(P179:P183)</f>
        <v>291244</v>
      </c>
      <c r="Q178" s="193"/>
      <c r="R178" s="201">
        <f>H178-(L178+O178+P178)</f>
        <v>0</v>
      </c>
    </row>
    <row r="179" spans="1:18" s="26" customFormat="1" x14ac:dyDescent="0.25">
      <c r="A179" s="47" t="s">
        <v>60</v>
      </c>
      <c r="B179" s="4"/>
      <c r="C179" s="15"/>
      <c r="D179" s="15"/>
      <c r="E179" s="209"/>
      <c r="F179" s="15"/>
      <c r="G179" s="15"/>
      <c r="H179" s="121">
        <f>I179/H178</f>
        <v>0.3</v>
      </c>
      <c r="I179" s="23">
        <v>204000</v>
      </c>
      <c r="J179" s="43">
        <v>1</v>
      </c>
      <c r="K179" s="15">
        <v>41746</v>
      </c>
      <c r="L179" s="24">
        <v>204000</v>
      </c>
      <c r="M179" s="31">
        <v>41779</v>
      </c>
      <c r="N179" s="44">
        <f t="shared" si="39"/>
        <v>33</v>
      </c>
      <c r="O179" s="83" t="str">
        <f t="shared" si="41"/>
        <v/>
      </c>
      <c r="P179" s="83">
        <f t="shared" ref="P179:P243" si="44">IF(K179="",I179-L179,0)</f>
        <v>0</v>
      </c>
      <c r="Q179" s="83"/>
      <c r="R179" s="197"/>
    </row>
    <row r="180" spans="1:18" s="120" customFormat="1" x14ac:dyDescent="0.25">
      <c r="A180" s="47" t="s">
        <v>60</v>
      </c>
      <c r="B180" s="19"/>
      <c r="C180" s="118"/>
      <c r="D180" s="118"/>
      <c r="E180" s="213"/>
      <c r="F180" s="118"/>
      <c r="G180" s="118"/>
      <c r="H180" s="121">
        <f t="shared" ref="H180" si="45">I180/$H$178+H179</f>
        <v>0.40789999999999998</v>
      </c>
      <c r="I180" s="23">
        <v>73372</v>
      </c>
      <c r="J180" s="43">
        <v>2</v>
      </c>
      <c r="K180" s="15">
        <v>42178</v>
      </c>
      <c r="L180" s="24">
        <v>73372</v>
      </c>
      <c r="M180" s="31">
        <v>42220</v>
      </c>
      <c r="N180" s="44">
        <f t="shared" si="39"/>
        <v>42</v>
      </c>
      <c r="O180" s="83" t="str">
        <f t="shared" si="41"/>
        <v/>
      </c>
      <c r="P180" s="119">
        <f t="shared" si="44"/>
        <v>0</v>
      </c>
      <c r="Q180" s="119"/>
      <c r="R180" s="197"/>
    </row>
    <row r="181" spans="1:18" s="26" customFormat="1" x14ac:dyDescent="0.25">
      <c r="A181" s="47" t="s">
        <v>60</v>
      </c>
      <c r="B181" s="4"/>
      <c r="C181" s="15"/>
      <c r="D181" s="15"/>
      <c r="E181" s="209"/>
      <c r="F181" s="15"/>
      <c r="G181" s="15"/>
      <c r="H181" s="286">
        <v>0.57169999999999999</v>
      </c>
      <c r="I181" s="23">
        <v>111384</v>
      </c>
      <c r="J181" s="43">
        <v>3</v>
      </c>
      <c r="K181" s="15">
        <v>42409</v>
      </c>
      <c r="L181" s="137" t="s">
        <v>113</v>
      </c>
      <c r="M181" s="31"/>
      <c r="N181" s="44"/>
      <c r="O181" s="83">
        <f t="shared" si="41"/>
        <v>111384</v>
      </c>
      <c r="P181" s="83">
        <f t="shared" si="44"/>
        <v>0</v>
      </c>
      <c r="Q181" s="83"/>
      <c r="R181" s="197"/>
    </row>
    <row r="182" spans="1:18" s="26" customFormat="1" x14ac:dyDescent="0.25">
      <c r="A182" s="47" t="s">
        <v>60</v>
      </c>
      <c r="B182" s="4"/>
      <c r="C182" s="15"/>
      <c r="D182" s="15"/>
      <c r="E182" s="209"/>
      <c r="F182" s="15"/>
      <c r="G182" s="15"/>
      <c r="H182" s="121">
        <v>0.8</v>
      </c>
      <c r="I182" s="23">
        <f>H178*H182 -(I179+I180+I181)</f>
        <v>155244</v>
      </c>
      <c r="J182" s="43">
        <v>4</v>
      </c>
      <c r="K182" s="15"/>
      <c r="L182" s="24"/>
      <c r="M182" s="31"/>
      <c r="N182" s="44"/>
      <c r="O182" s="83" t="str">
        <f t="shared" si="41"/>
        <v/>
      </c>
      <c r="P182" s="83">
        <f t="shared" si="44"/>
        <v>155244</v>
      </c>
      <c r="Q182" s="83"/>
      <c r="R182" s="197"/>
    </row>
    <row r="183" spans="1:18" s="26" customFormat="1" x14ac:dyDescent="0.25">
      <c r="A183" s="47" t="s">
        <v>60</v>
      </c>
      <c r="B183" s="4"/>
      <c r="C183" s="15"/>
      <c r="D183" s="15"/>
      <c r="E183" s="209"/>
      <c r="F183" s="15"/>
      <c r="G183" s="15"/>
      <c r="H183" s="121">
        <v>1</v>
      </c>
      <c r="I183" s="23">
        <f>0.2*H178</f>
        <v>136000</v>
      </c>
      <c r="J183" s="43">
        <v>8</v>
      </c>
      <c r="K183" s="15"/>
      <c r="L183" s="24"/>
      <c r="M183" s="31"/>
      <c r="N183" s="44"/>
      <c r="O183" s="83" t="str">
        <f t="shared" si="41"/>
        <v/>
      </c>
      <c r="P183" s="83">
        <f t="shared" si="44"/>
        <v>136000</v>
      </c>
      <c r="Q183" s="83"/>
      <c r="R183" s="197"/>
    </row>
    <row r="184" spans="1:18" s="120" customFormat="1" x14ac:dyDescent="0.25">
      <c r="A184" s="152" t="s">
        <v>61</v>
      </c>
      <c r="B184" s="158" t="s">
        <v>203</v>
      </c>
      <c r="C184" s="192">
        <v>41596</v>
      </c>
      <c r="D184" s="192">
        <f>DATE(YEAR(C184),MONTH(C184)+18,DAY(C184))</f>
        <v>42142</v>
      </c>
      <c r="E184" s="208"/>
      <c r="F184" s="192">
        <f>DATE(YEAR(C184)+4,MONTH(C184),DAY(C184))</f>
        <v>43057</v>
      </c>
      <c r="G184" s="192"/>
      <c r="H184" s="161">
        <v>393831</v>
      </c>
      <c r="I184" s="156"/>
      <c r="J184" s="171"/>
      <c r="K184" s="192"/>
      <c r="L184" s="159">
        <f>SUM(L185)</f>
        <v>118149.3</v>
      </c>
      <c r="M184" s="184"/>
      <c r="N184" s="185"/>
      <c r="O184" s="193">
        <f>SUM(O185)</f>
        <v>0</v>
      </c>
      <c r="P184" s="193">
        <f>SUM(P185:P192)</f>
        <v>275681.7</v>
      </c>
      <c r="Q184" s="193"/>
      <c r="R184" s="201">
        <f>H184-(L184+O184+P184)</f>
        <v>0</v>
      </c>
    </row>
    <row r="185" spans="1:18" s="26" customFormat="1" x14ac:dyDescent="0.25">
      <c r="A185" s="47" t="s">
        <v>61</v>
      </c>
      <c r="B185" s="4"/>
      <c r="C185" s="15"/>
      <c r="D185" s="15"/>
      <c r="E185" s="209"/>
      <c r="F185" s="15"/>
      <c r="G185" s="15"/>
      <c r="H185" s="121">
        <f>I185/H184</f>
        <v>0.3</v>
      </c>
      <c r="I185" s="23">
        <f>30%*H184</f>
        <v>118149.29999999999</v>
      </c>
      <c r="J185" s="43">
        <v>1</v>
      </c>
      <c r="K185" s="15">
        <v>42383</v>
      </c>
      <c r="L185" s="24">
        <v>118149.3</v>
      </c>
      <c r="M185" s="31">
        <v>42431</v>
      </c>
      <c r="N185" s="44"/>
      <c r="O185" s="83" t="str">
        <f t="shared" si="41"/>
        <v/>
      </c>
      <c r="P185" s="83">
        <f t="shared" si="44"/>
        <v>0</v>
      </c>
      <c r="Q185" s="83"/>
      <c r="R185" s="197"/>
    </row>
    <row r="186" spans="1:18" s="26" customFormat="1" x14ac:dyDescent="0.25">
      <c r="A186" s="47" t="s">
        <v>61</v>
      </c>
      <c r="B186" s="4"/>
      <c r="C186" s="15"/>
      <c r="D186" s="15"/>
      <c r="E186" s="209"/>
      <c r="F186" s="15"/>
      <c r="G186" s="15"/>
      <c r="H186" s="121">
        <v>0.5</v>
      </c>
      <c r="I186" s="23">
        <f>(H184*H186)-I185</f>
        <v>78766.200000000012</v>
      </c>
      <c r="J186" s="43"/>
      <c r="K186" s="15"/>
      <c r="L186" s="24"/>
      <c r="M186" s="31"/>
      <c r="N186" s="44"/>
      <c r="O186" s="83"/>
      <c r="P186" s="83">
        <f t="shared" si="44"/>
        <v>78766.200000000012</v>
      </c>
      <c r="Q186" s="83"/>
      <c r="R186" s="197"/>
    </row>
    <row r="187" spans="1:18" s="26" customFormat="1" x14ac:dyDescent="0.25">
      <c r="A187" s="47" t="s">
        <v>61</v>
      </c>
      <c r="B187" s="4"/>
      <c r="C187" s="15"/>
      <c r="D187" s="15"/>
      <c r="E187" s="209"/>
      <c r="F187" s="15"/>
      <c r="G187" s="15"/>
      <c r="H187" s="121">
        <v>1</v>
      </c>
      <c r="I187" s="23">
        <f>H184-(I185+I186)</f>
        <v>196915.5</v>
      </c>
      <c r="J187" s="43"/>
      <c r="K187" s="15"/>
      <c r="L187" s="24"/>
      <c r="M187" s="31"/>
      <c r="N187" s="44"/>
      <c r="O187" s="83"/>
      <c r="P187" s="83">
        <f t="shared" si="44"/>
        <v>196915.5</v>
      </c>
      <c r="Q187" s="83"/>
      <c r="R187" s="197"/>
    </row>
    <row r="188" spans="1:18" s="120" customFormat="1" x14ac:dyDescent="0.25">
      <c r="A188" s="287" t="s">
        <v>67</v>
      </c>
      <c r="B188" s="295"/>
      <c r="C188" s="290">
        <v>40826</v>
      </c>
      <c r="D188" s="290"/>
      <c r="E188" s="291"/>
      <c r="F188" s="290"/>
      <c r="G188" s="290"/>
      <c r="H188" s="292">
        <v>239587</v>
      </c>
      <c r="I188" s="293"/>
      <c r="J188" s="350"/>
      <c r="K188" s="290"/>
      <c r="L188" s="296"/>
      <c r="M188" s="289"/>
      <c r="N188" s="297"/>
      <c r="O188" s="351" t="str">
        <f t="shared" si="41"/>
        <v/>
      </c>
      <c r="P188" s="351">
        <f t="shared" ref="P188:P192" si="46">IF(K188="",I188-L188,0)</f>
        <v>0</v>
      </c>
      <c r="Q188" s="351"/>
      <c r="R188" s="201"/>
    </row>
    <row r="189" spans="1:18" s="26" customFormat="1" x14ac:dyDescent="0.25">
      <c r="A189" s="298" t="s">
        <v>67</v>
      </c>
      <c r="B189" s="299"/>
      <c r="C189" s="300"/>
      <c r="D189" s="300"/>
      <c r="E189" s="301"/>
      <c r="F189" s="300"/>
      <c r="G189" s="300"/>
      <c r="H189" s="363"/>
      <c r="I189" s="303">
        <v>71876.100000000006</v>
      </c>
      <c r="J189" s="304"/>
      <c r="K189" s="300">
        <v>40946</v>
      </c>
      <c r="L189" s="308">
        <v>71876.100000000006</v>
      </c>
      <c r="M189" s="305">
        <v>41018</v>
      </c>
      <c r="N189" s="306">
        <f t="shared" si="39"/>
        <v>72</v>
      </c>
      <c r="O189" s="307" t="str">
        <f t="shared" si="41"/>
        <v/>
      </c>
      <c r="P189" s="307">
        <f t="shared" si="46"/>
        <v>0</v>
      </c>
      <c r="Q189" s="307"/>
      <c r="R189" s="197"/>
    </row>
    <row r="190" spans="1:18" s="26" customFormat="1" x14ac:dyDescent="0.25">
      <c r="A190" s="298" t="s">
        <v>67</v>
      </c>
      <c r="B190" s="299"/>
      <c r="C190" s="300"/>
      <c r="D190" s="300"/>
      <c r="E190" s="301"/>
      <c r="F190" s="300"/>
      <c r="G190" s="300"/>
      <c r="H190" s="363"/>
      <c r="I190" s="303">
        <v>95691.05</v>
      </c>
      <c r="J190" s="304"/>
      <c r="K190" s="300">
        <v>41158</v>
      </c>
      <c r="L190" s="308">
        <v>95691.05</v>
      </c>
      <c r="M190" s="305">
        <v>41430</v>
      </c>
      <c r="N190" s="306">
        <f t="shared" si="39"/>
        <v>272</v>
      </c>
      <c r="O190" s="307" t="str">
        <f t="shared" si="41"/>
        <v/>
      </c>
      <c r="P190" s="307">
        <f t="shared" si="46"/>
        <v>0</v>
      </c>
      <c r="Q190" s="307"/>
      <c r="R190" s="197"/>
    </row>
    <row r="191" spans="1:18" s="26" customFormat="1" x14ac:dyDescent="0.25">
      <c r="A191" s="298" t="s">
        <v>67</v>
      </c>
      <c r="B191" s="299"/>
      <c r="C191" s="300"/>
      <c r="D191" s="300"/>
      <c r="E191" s="301"/>
      <c r="F191" s="300"/>
      <c r="G191" s="300"/>
      <c r="H191" s="363"/>
      <c r="I191" s="303">
        <v>24102.45</v>
      </c>
      <c r="J191" s="304"/>
      <c r="K191" s="300">
        <v>41190</v>
      </c>
      <c r="L191" s="308">
        <v>24102.45</v>
      </c>
      <c r="M191" s="305">
        <v>41430</v>
      </c>
      <c r="N191" s="306">
        <f t="shared" si="39"/>
        <v>240</v>
      </c>
      <c r="O191" s="307" t="str">
        <f t="shared" si="41"/>
        <v/>
      </c>
      <c r="P191" s="307">
        <f t="shared" si="46"/>
        <v>0</v>
      </c>
      <c r="Q191" s="307"/>
      <c r="R191" s="197"/>
    </row>
    <row r="192" spans="1:18" s="26" customFormat="1" x14ac:dyDescent="0.25">
      <c r="A192" s="298" t="s">
        <v>67</v>
      </c>
      <c r="B192" s="299"/>
      <c r="C192" s="300"/>
      <c r="D192" s="300"/>
      <c r="E192" s="301"/>
      <c r="F192" s="300"/>
      <c r="G192" s="300"/>
      <c r="H192" s="363"/>
      <c r="I192" s="303">
        <v>47917.4</v>
      </c>
      <c r="J192" s="304"/>
      <c r="K192" s="300">
        <v>42031</v>
      </c>
      <c r="L192" s="308">
        <v>47917.4</v>
      </c>
      <c r="M192" s="305">
        <v>42130</v>
      </c>
      <c r="N192" s="306">
        <f t="shared" si="39"/>
        <v>99</v>
      </c>
      <c r="O192" s="307" t="str">
        <f t="shared" si="41"/>
        <v/>
      </c>
      <c r="P192" s="307">
        <f t="shared" si="46"/>
        <v>0</v>
      </c>
      <c r="Q192" s="307"/>
      <c r="R192" s="197"/>
    </row>
    <row r="193" spans="1:18" s="120" customFormat="1" x14ac:dyDescent="0.25">
      <c r="A193" s="152" t="s">
        <v>63</v>
      </c>
      <c r="B193" s="158" t="s">
        <v>202</v>
      </c>
      <c r="C193" s="192">
        <v>41446</v>
      </c>
      <c r="D193" s="192">
        <f>DATE(YEAR(C193),MONTH(C193)+18,DAY(C193))</f>
        <v>41994</v>
      </c>
      <c r="E193" s="208">
        <v>41766</v>
      </c>
      <c r="F193" s="192">
        <f>DATE(YEAR(C193)+4,MONTH(C193),DAY(C193))</f>
        <v>42907</v>
      </c>
      <c r="G193" s="192"/>
      <c r="H193" s="161">
        <v>1</v>
      </c>
      <c r="I193" s="156"/>
      <c r="J193" s="171"/>
      <c r="K193" s="192"/>
      <c r="L193" s="159">
        <f>SUM(L194)</f>
        <v>0</v>
      </c>
      <c r="M193" s="184"/>
      <c r="N193" s="185"/>
      <c r="O193" s="193">
        <f>SUM(O194)</f>
        <v>0</v>
      </c>
      <c r="P193" s="193">
        <f>SUM(P194)</f>
        <v>1</v>
      </c>
      <c r="Q193" s="193"/>
      <c r="R193" s="201">
        <f>H193-(L193+O193+P193)</f>
        <v>0</v>
      </c>
    </row>
    <row r="194" spans="1:18" s="26" customFormat="1" x14ac:dyDescent="0.25">
      <c r="A194" s="47" t="s">
        <v>63</v>
      </c>
      <c r="B194" s="4"/>
      <c r="C194" s="15"/>
      <c r="D194" s="15"/>
      <c r="E194" s="209"/>
      <c r="F194" s="15"/>
      <c r="G194" s="15"/>
      <c r="H194" s="16"/>
      <c r="I194" s="23">
        <v>1</v>
      </c>
      <c r="J194" s="43">
        <v>1</v>
      </c>
      <c r="K194" s="15"/>
      <c r="L194" s="24"/>
      <c r="M194" s="31"/>
      <c r="N194" s="44"/>
      <c r="O194" s="83" t="str">
        <f t="shared" si="41"/>
        <v/>
      </c>
      <c r="P194" s="83">
        <f t="shared" si="44"/>
        <v>1</v>
      </c>
      <c r="Q194" s="83"/>
      <c r="R194" s="197"/>
    </row>
    <row r="195" spans="1:18" s="120" customFormat="1" x14ac:dyDescent="0.25">
      <c r="A195" s="152" t="s">
        <v>37</v>
      </c>
      <c r="B195" s="158" t="s">
        <v>188</v>
      </c>
      <c r="C195" s="192">
        <v>41463</v>
      </c>
      <c r="D195" s="192">
        <f>DATE(YEAR(C195),MONTH(C195)+18,DAY(C195))</f>
        <v>42012</v>
      </c>
      <c r="E195" s="208">
        <v>42163</v>
      </c>
      <c r="F195" s="192">
        <f>DATE(YEAR(C195)+4,MONTH(C195),DAY(C195))</f>
        <v>42924</v>
      </c>
      <c r="G195" s="192"/>
      <c r="H195" s="161">
        <v>1245000</v>
      </c>
      <c r="I195" s="156"/>
      <c r="J195" s="171"/>
      <c r="K195" s="192"/>
      <c r="L195" s="159">
        <f>SUM(L196:L207)</f>
        <v>373500</v>
      </c>
      <c r="M195" s="184"/>
      <c r="N195" s="185"/>
      <c r="O195" s="193">
        <f>SUM(O196:O207)</f>
        <v>0</v>
      </c>
      <c r="P195" s="193">
        <f>SUM(P196:P207)</f>
        <v>871500</v>
      </c>
      <c r="Q195" s="193"/>
      <c r="R195" s="201">
        <f>H195-(L195+O195+P195)</f>
        <v>0</v>
      </c>
    </row>
    <row r="196" spans="1:18" s="120" customFormat="1" x14ac:dyDescent="0.25">
      <c r="A196" s="47" t="s">
        <v>37</v>
      </c>
      <c r="B196" s="19"/>
      <c r="C196" s="118"/>
      <c r="D196" s="118"/>
      <c r="E196" s="213"/>
      <c r="F196" s="118"/>
      <c r="G196" s="118"/>
      <c r="H196" s="121">
        <f>I196/$H$195</f>
        <v>0.3</v>
      </c>
      <c r="I196" s="23">
        <f>0.3*H195</f>
        <v>373500</v>
      </c>
      <c r="J196" s="43">
        <v>1</v>
      </c>
      <c r="K196" s="15">
        <v>42178</v>
      </c>
      <c r="L196" s="24">
        <v>373500</v>
      </c>
      <c r="M196" s="31">
        <v>42247</v>
      </c>
      <c r="N196" s="44">
        <f t="shared" si="39"/>
        <v>69</v>
      </c>
      <c r="O196" s="83" t="str">
        <f t="shared" si="41"/>
        <v/>
      </c>
      <c r="P196" s="83">
        <f>IF(K196="",I196-L196,0)</f>
        <v>0</v>
      </c>
      <c r="Q196" s="119"/>
      <c r="R196" s="197"/>
    </row>
    <row r="197" spans="1:18" s="26" customFormat="1" x14ac:dyDescent="0.25">
      <c r="A197" s="47" t="s">
        <v>37</v>
      </c>
      <c r="B197" s="4"/>
      <c r="C197" s="15"/>
      <c r="D197" s="15"/>
      <c r="E197" s="209"/>
      <c r="F197" s="15"/>
      <c r="G197" s="15"/>
      <c r="H197" s="121">
        <f>I197/$H$195+H196</f>
        <v>0.35</v>
      </c>
      <c r="I197" s="123">
        <f>5%*$H$195</f>
        <v>62250</v>
      </c>
      <c r="J197" s="43">
        <v>2</v>
      </c>
      <c r="K197" s="15"/>
      <c r="L197" s="24"/>
      <c r="M197" s="31"/>
      <c r="N197" s="44"/>
      <c r="O197" s="119" t="str">
        <f t="shared" si="41"/>
        <v/>
      </c>
      <c r="P197" s="83">
        <f t="shared" si="44"/>
        <v>62250</v>
      </c>
      <c r="Q197" s="83"/>
      <c r="R197" s="197"/>
    </row>
    <row r="198" spans="1:18" s="26" customFormat="1" x14ac:dyDescent="0.25">
      <c r="A198" s="47" t="s">
        <v>37</v>
      </c>
      <c r="B198" s="4"/>
      <c r="C198" s="15"/>
      <c r="D198" s="15"/>
      <c r="E198" s="209"/>
      <c r="F198" s="15"/>
      <c r="G198" s="15"/>
      <c r="H198" s="121">
        <f t="shared" ref="H198:H207" si="47">I198/$H$195+H197</f>
        <v>0.39999999999999997</v>
      </c>
      <c r="I198" s="23">
        <f t="shared" ref="I198:I206" si="48">5%*$H$195</f>
        <v>62250</v>
      </c>
      <c r="J198" s="43">
        <v>3</v>
      </c>
      <c r="K198" s="15"/>
      <c r="L198" s="24"/>
      <c r="M198" s="31"/>
      <c r="N198" s="44"/>
      <c r="O198" s="119" t="str">
        <f t="shared" si="41"/>
        <v/>
      </c>
      <c r="P198" s="83">
        <f t="shared" si="44"/>
        <v>62250</v>
      </c>
      <c r="Q198" s="83"/>
      <c r="R198" s="197"/>
    </row>
    <row r="199" spans="1:18" s="26" customFormat="1" x14ac:dyDescent="0.25">
      <c r="A199" s="47" t="s">
        <v>37</v>
      </c>
      <c r="B199" s="4"/>
      <c r="C199" s="15"/>
      <c r="D199" s="15"/>
      <c r="E199" s="209"/>
      <c r="F199" s="15"/>
      <c r="G199" s="15"/>
      <c r="H199" s="121">
        <f t="shared" si="47"/>
        <v>0.44999999999999996</v>
      </c>
      <c r="I199" s="23">
        <f t="shared" si="48"/>
        <v>62250</v>
      </c>
      <c r="J199" s="43">
        <v>4</v>
      </c>
      <c r="K199" s="15"/>
      <c r="L199" s="24"/>
      <c r="M199" s="31"/>
      <c r="N199" s="44"/>
      <c r="O199" s="119" t="str">
        <f t="shared" si="41"/>
        <v/>
      </c>
      <c r="P199" s="83">
        <f t="shared" si="44"/>
        <v>62250</v>
      </c>
      <c r="Q199" s="83"/>
      <c r="R199" s="197"/>
    </row>
    <row r="200" spans="1:18" s="26" customFormat="1" x14ac:dyDescent="0.25">
      <c r="A200" s="47" t="s">
        <v>37</v>
      </c>
      <c r="B200" s="4"/>
      <c r="C200" s="15"/>
      <c r="D200" s="15"/>
      <c r="E200" s="209"/>
      <c r="F200" s="15"/>
      <c r="G200" s="15"/>
      <c r="H200" s="121">
        <f t="shared" si="47"/>
        <v>0.49999999999999994</v>
      </c>
      <c r="I200" s="23">
        <f t="shared" si="48"/>
        <v>62250</v>
      </c>
      <c r="J200" s="43">
        <v>5</v>
      </c>
      <c r="K200" s="15"/>
      <c r="L200" s="24"/>
      <c r="M200" s="31"/>
      <c r="N200" s="44"/>
      <c r="O200" s="119" t="str">
        <f t="shared" si="41"/>
        <v/>
      </c>
      <c r="P200" s="83">
        <f t="shared" si="44"/>
        <v>62250</v>
      </c>
      <c r="Q200" s="83"/>
      <c r="R200" s="197"/>
    </row>
    <row r="201" spans="1:18" s="26" customFormat="1" x14ac:dyDescent="0.25">
      <c r="A201" s="47" t="s">
        <v>37</v>
      </c>
      <c r="B201" s="4"/>
      <c r="C201" s="15"/>
      <c r="D201" s="15"/>
      <c r="E201" s="209"/>
      <c r="F201" s="15"/>
      <c r="G201" s="15"/>
      <c r="H201" s="121">
        <f t="shared" si="47"/>
        <v>0.54999999999999993</v>
      </c>
      <c r="I201" s="23">
        <f t="shared" si="48"/>
        <v>62250</v>
      </c>
      <c r="J201" s="43">
        <v>6</v>
      </c>
      <c r="K201" s="15"/>
      <c r="L201" s="24"/>
      <c r="M201" s="31"/>
      <c r="N201" s="44"/>
      <c r="O201" s="119" t="str">
        <f t="shared" si="41"/>
        <v/>
      </c>
      <c r="P201" s="83">
        <f t="shared" si="44"/>
        <v>62250</v>
      </c>
      <c r="Q201" s="83"/>
      <c r="R201" s="197"/>
    </row>
    <row r="202" spans="1:18" s="26" customFormat="1" x14ac:dyDescent="0.25">
      <c r="A202" s="47" t="s">
        <v>37</v>
      </c>
      <c r="B202" s="4"/>
      <c r="C202" s="15"/>
      <c r="D202" s="15"/>
      <c r="E202" s="209"/>
      <c r="F202" s="15"/>
      <c r="G202" s="15"/>
      <c r="H202" s="121">
        <f t="shared" si="47"/>
        <v>0.6</v>
      </c>
      <c r="I202" s="23">
        <f t="shared" si="48"/>
        <v>62250</v>
      </c>
      <c r="J202" s="43">
        <v>7</v>
      </c>
      <c r="K202" s="15"/>
      <c r="L202" s="24"/>
      <c r="M202" s="31"/>
      <c r="N202" s="44"/>
      <c r="O202" s="119" t="str">
        <f t="shared" si="41"/>
        <v/>
      </c>
      <c r="P202" s="83">
        <f t="shared" si="44"/>
        <v>62250</v>
      </c>
      <c r="Q202" s="83"/>
      <c r="R202" s="197"/>
    </row>
    <row r="203" spans="1:18" s="26" customFormat="1" x14ac:dyDescent="0.25">
      <c r="A203" s="47" t="s">
        <v>37</v>
      </c>
      <c r="B203" s="4"/>
      <c r="C203" s="15"/>
      <c r="D203" s="15"/>
      <c r="E203" s="209"/>
      <c r="F203" s="15"/>
      <c r="G203" s="15"/>
      <c r="H203" s="121">
        <f t="shared" si="47"/>
        <v>0.65</v>
      </c>
      <c r="I203" s="23">
        <f t="shared" si="48"/>
        <v>62250</v>
      </c>
      <c r="J203" s="43">
        <v>8</v>
      </c>
      <c r="K203" s="15"/>
      <c r="L203" s="24"/>
      <c r="M203" s="31"/>
      <c r="N203" s="44"/>
      <c r="O203" s="119" t="str">
        <f t="shared" si="41"/>
        <v/>
      </c>
      <c r="P203" s="83">
        <f t="shared" si="44"/>
        <v>62250</v>
      </c>
      <c r="Q203" s="83"/>
      <c r="R203" s="197"/>
    </row>
    <row r="204" spans="1:18" s="26" customFormat="1" x14ac:dyDescent="0.25">
      <c r="A204" s="47" t="s">
        <v>37</v>
      </c>
      <c r="B204" s="4"/>
      <c r="C204" s="15"/>
      <c r="D204" s="15"/>
      <c r="E204" s="209"/>
      <c r="F204" s="15"/>
      <c r="G204" s="15"/>
      <c r="H204" s="121">
        <f t="shared" si="47"/>
        <v>0.70000000000000007</v>
      </c>
      <c r="I204" s="23">
        <f t="shared" si="48"/>
        <v>62250</v>
      </c>
      <c r="J204" s="43">
        <v>9</v>
      </c>
      <c r="K204" s="15"/>
      <c r="L204" s="24"/>
      <c r="M204" s="31"/>
      <c r="N204" s="44"/>
      <c r="O204" s="119" t="str">
        <f t="shared" si="41"/>
        <v/>
      </c>
      <c r="P204" s="83">
        <f t="shared" si="44"/>
        <v>62250</v>
      </c>
      <c r="Q204" s="83"/>
      <c r="R204" s="197"/>
    </row>
    <row r="205" spans="1:18" s="26" customFormat="1" x14ac:dyDescent="0.25">
      <c r="A205" s="47" t="s">
        <v>37</v>
      </c>
      <c r="B205" s="4"/>
      <c r="C205" s="15"/>
      <c r="D205" s="15"/>
      <c r="E205" s="209"/>
      <c r="F205" s="15"/>
      <c r="G205" s="15"/>
      <c r="H205" s="121">
        <f t="shared" si="47"/>
        <v>0.75000000000000011</v>
      </c>
      <c r="I205" s="23">
        <f t="shared" si="48"/>
        <v>62250</v>
      </c>
      <c r="J205" s="43">
        <v>10</v>
      </c>
      <c r="K205" s="15"/>
      <c r="L205" s="24"/>
      <c r="M205" s="31"/>
      <c r="N205" s="44"/>
      <c r="O205" s="119" t="str">
        <f t="shared" si="41"/>
        <v/>
      </c>
      <c r="P205" s="83">
        <f t="shared" si="44"/>
        <v>62250</v>
      </c>
      <c r="Q205" s="83"/>
      <c r="R205" s="197"/>
    </row>
    <row r="206" spans="1:18" s="26" customFormat="1" x14ac:dyDescent="0.25">
      <c r="A206" s="47" t="s">
        <v>37</v>
      </c>
      <c r="B206" s="4"/>
      <c r="C206" s="15"/>
      <c r="D206" s="15"/>
      <c r="E206" s="209"/>
      <c r="F206" s="15"/>
      <c r="G206" s="15"/>
      <c r="H206" s="121">
        <f t="shared" si="47"/>
        <v>0.80000000000000016</v>
      </c>
      <c r="I206" s="23">
        <f t="shared" si="48"/>
        <v>62250</v>
      </c>
      <c r="J206" s="43">
        <v>11</v>
      </c>
      <c r="K206" s="15"/>
      <c r="L206" s="24"/>
      <c r="M206" s="31"/>
      <c r="N206" s="44"/>
      <c r="O206" s="119" t="str">
        <f t="shared" si="41"/>
        <v/>
      </c>
      <c r="P206" s="83">
        <f t="shared" si="44"/>
        <v>62250</v>
      </c>
      <c r="Q206" s="83"/>
      <c r="R206" s="197"/>
    </row>
    <row r="207" spans="1:18" s="26" customFormat="1" x14ac:dyDescent="0.25">
      <c r="A207" s="47" t="s">
        <v>37</v>
      </c>
      <c r="B207" s="4"/>
      <c r="C207" s="15"/>
      <c r="D207" s="15"/>
      <c r="E207" s="209"/>
      <c r="F207" s="15"/>
      <c r="G207" s="15"/>
      <c r="H207" s="121">
        <f t="shared" si="47"/>
        <v>1.0000000000000002</v>
      </c>
      <c r="I207" s="23">
        <f>0.2*H195</f>
        <v>249000</v>
      </c>
      <c r="J207" s="43">
        <v>12</v>
      </c>
      <c r="K207" s="15"/>
      <c r="L207" s="24"/>
      <c r="M207" s="31"/>
      <c r="N207" s="44"/>
      <c r="O207" s="119" t="str">
        <f t="shared" si="41"/>
        <v/>
      </c>
      <c r="P207" s="83">
        <f t="shared" si="44"/>
        <v>249000</v>
      </c>
      <c r="Q207" s="83"/>
      <c r="R207" s="197"/>
    </row>
    <row r="208" spans="1:18" s="218" customFormat="1" x14ac:dyDescent="0.25">
      <c r="A208" s="152" t="s">
        <v>37</v>
      </c>
      <c r="B208" s="158" t="s">
        <v>200</v>
      </c>
      <c r="C208" s="192">
        <v>41493</v>
      </c>
      <c r="D208" s="208">
        <f>DATE(YEAR(C208),MONTH(C208)+18,DAY(C208))</f>
        <v>42042</v>
      </c>
      <c r="E208" s="208">
        <v>42163</v>
      </c>
      <c r="F208" s="192">
        <f>DATE(YEAR(C208)+4,MONTH(C208),DAY(C208))</f>
        <v>42954</v>
      </c>
      <c r="G208" s="192"/>
      <c r="H208" s="161">
        <v>1</v>
      </c>
      <c r="I208" s="156"/>
      <c r="J208" s="171"/>
      <c r="K208" s="192"/>
      <c r="L208" s="159">
        <f>SUM(L209)</f>
        <v>0</v>
      </c>
      <c r="M208" s="184"/>
      <c r="N208" s="185"/>
      <c r="O208" s="193">
        <f>SUM(O209)</f>
        <v>0</v>
      </c>
      <c r="P208" s="193">
        <f>SUM(P209)</f>
        <v>1</v>
      </c>
      <c r="Q208" s="193"/>
      <c r="R208" s="217">
        <f>H208-(L208+O208+P208)</f>
        <v>0</v>
      </c>
    </row>
    <row r="209" spans="1:18" s="26" customFormat="1" x14ac:dyDescent="0.25">
      <c r="A209" s="47" t="s">
        <v>37</v>
      </c>
      <c r="B209" s="4"/>
      <c r="C209" s="15"/>
      <c r="D209" s="15"/>
      <c r="E209" s="209"/>
      <c r="F209" s="15"/>
      <c r="G209" s="15"/>
      <c r="H209" s="16"/>
      <c r="I209" s="23">
        <v>1</v>
      </c>
      <c r="J209" s="43">
        <v>1</v>
      </c>
      <c r="K209" s="15"/>
      <c r="L209" s="24"/>
      <c r="M209" s="31"/>
      <c r="N209" s="44"/>
      <c r="O209" s="83" t="str">
        <f t="shared" ref="O209:O247" si="49">IF(L209="en attente",I209,"")</f>
        <v/>
      </c>
      <c r="P209" s="83">
        <f t="shared" si="44"/>
        <v>1</v>
      </c>
      <c r="Q209" s="83"/>
      <c r="R209" s="197"/>
    </row>
    <row r="210" spans="1:18" s="120" customFormat="1" x14ac:dyDescent="0.25">
      <c r="A210" s="152" t="s">
        <v>64</v>
      </c>
      <c r="B210" s="158" t="s">
        <v>199</v>
      </c>
      <c r="C210" s="192">
        <v>41466</v>
      </c>
      <c r="D210" s="192">
        <f>DATE(YEAR(C210),MONTH(C210)+18,DAY(C210))</f>
        <v>42015</v>
      </c>
      <c r="E210" s="208">
        <v>41764</v>
      </c>
      <c r="F210" s="192">
        <f>DATE(YEAR(C210)+4,MONTH(C210),DAY(C210))</f>
        <v>42927</v>
      </c>
      <c r="G210" s="192"/>
      <c r="H210" s="161">
        <v>1</v>
      </c>
      <c r="I210" s="156"/>
      <c r="J210" s="171"/>
      <c r="K210" s="192"/>
      <c r="L210" s="159">
        <f>SUM(L211)</f>
        <v>0</v>
      </c>
      <c r="M210" s="184"/>
      <c r="N210" s="185"/>
      <c r="O210" s="193">
        <f>SUM(O211)</f>
        <v>0</v>
      </c>
      <c r="P210" s="193">
        <f>SUM(P211)</f>
        <v>1</v>
      </c>
      <c r="Q210" s="193"/>
      <c r="R210" s="201">
        <f>H210-(L210+O210+P210)</f>
        <v>0</v>
      </c>
    </row>
    <row r="211" spans="1:18" s="26" customFormat="1" x14ac:dyDescent="0.25">
      <c r="A211" s="151" t="s">
        <v>64</v>
      </c>
      <c r="B211" s="40"/>
      <c r="C211" s="37"/>
      <c r="D211" s="37"/>
      <c r="E211" s="210"/>
      <c r="F211" s="37"/>
      <c r="G211" s="37"/>
      <c r="H211" s="41"/>
      <c r="I211" s="36">
        <v>1</v>
      </c>
      <c r="J211" s="45">
        <v>1</v>
      </c>
      <c r="K211" s="37"/>
      <c r="L211" s="38"/>
      <c r="M211" s="189"/>
      <c r="N211" s="190"/>
      <c r="O211" s="191" t="str">
        <f t="shared" si="49"/>
        <v/>
      </c>
      <c r="P211" s="191">
        <f t="shared" si="44"/>
        <v>1</v>
      </c>
      <c r="Q211" s="191"/>
      <c r="R211" s="197"/>
    </row>
    <row r="212" spans="1:18" s="120" customFormat="1" x14ac:dyDescent="0.25">
      <c r="A212" s="162" t="s">
        <v>65</v>
      </c>
      <c r="B212" s="167" t="s">
        <v>198</v>
      </c>
      <c r="C212" s="182">
        <v>41463</v>
      </c>
      <c r="D212" s="192">
        <f>DATE(YEAR(C212),MONTH(C212)+18,DAY(C212))</f>
        <v>42012</v>
      </c>
      <c r="E212" s="208">
        <v>41751</v>
      </c>
      <c r="F212" s="192">
        <f>DATE(YEAR(C212)+4,MONTH(C212),DAY(C212))</f>
        <v>42924</v>
      </c>
      <c r="G212" s="192"/>
      <c r="H212" s="170">
        <v>432000</v>
      </c>
      <c r="I212" s="165"/>
      <c r="J212" s="166"/>
      <c r="K212" s="182"/>
      <c r="L212" s="168">
        <f>SUM(L213:L217)</f>
        <v>243864</v>
      </c>
      <c r="M212" s="180"/>
      <c r="N212" s="181"/>
      <c r="O212" s="183">
        <f>SUM(O213:O217)</f>
        <v>103982.39999999999</v>
      </c>
      <c r="P212" s="183">
        <f>SUM(P213:P217)</f>
        <v>188136</v>
      </c>
      <c r="Q212" s="183"/>
      <c r="R212" s="201">
        <f>H212-(L212+O212+P212)</f>
        <v>-103982.40000000002</v>
      </c>
    </row>
    <row r="213" spans="1:18" s="26" customFormat="1" x14ac:dyDescent="0.25">
      <c r="A213" s="47" t="s">
        <v>65</v>
      </c>
      <c r="B213" s="4"/>
      <c r="C213" s="15"/>
      <c r="D213" s="15"/>
      <c r="E213" s="209"/>
      <c r="F213" s="15"/>
      <c r="G213" s="15"/>
      <c r="H213" s="121">
        <f>I213/$H$212</f>
        <v>0.3</v>
      </c>
      <c r="I213" s="23">
        <v>129600</v>
      </c>
      <c r="J213" s="43">
        <v>1</v>
      </c>
      <c r="K213" s="15">
        <v>41778</v>
      </c>
      <c r="L213" s="24">
        <v>129600</v>
      </c>
      <c r="M213" s="31">
        <v>41816</v>
      </c>
      <c r="N213" s="44">
        <f t="shared" si="39"/>
        <v>38</v>
      </c>
      <c r="O213" s="83" t="str">
        <f t="shared" si="49"/>
        <v/>
      </c>
      <c r="P213" s="83">
        <f t="shared" si="44"/>
        <v>0</v>
      </c>
      <c r="Q213" s="83"/>
      <c r="R213" s="197"/>
    </row>
    <row r="214" spans="1:18" s="26" customFormat="1" x14ac:dyDescent="0.25">
      <c r="A214" s="47" t="s">
        <v>65</v>
      </c>
      <c r="B214" s="4"/>
      <c r="C214" s="15"/>
      <c r="D214" s="15"/>
      <c r="E214" s="209"/>
      <c r="F214" s="15"/>
      <c r="G214" s="15"/>
      <c r="H214" s="121">
        <f t="shared" ref="H214" si="50">I214/$H$212+H213</f>
        <v>0.32379999999999998</v>
      </c>
      <c r="I214" s="23">
        <v>10281.6</v>
      </c>
      <c r="J214" s="43">
        <v>2</v>
      </c>
      <c r="K214" s="15">
        <v>42187</v>
      </c>
      <c r="L214" s="24">
        <v>10281.6</v>
      </c>
      <c r="M214" s="31">
        <v>42234</v>
      </c>
      <c r="N214" s="44">
        <f t="shared" si="39"/>
        <v>47</v>
      </c>
      <c r="O214" s="83" t="str">
        <f t="shared" si="49"/>
        <v/>
      </c>
      <c r="P214" s="83">
        <f t="shared" si="44"/>
        <v>0</v>
      </c>
      <c r="Q214" s="83"/>
      <c r="R214" s="197"/>
    </row>
    <row r="215" spans="1:18" s="26" customFormat="1" x14ac:dyDescent="0.25">
      <c r="A215" s="47" t="s">
        <v>65</v>
      </c>
      <c r="B215" s="4"/>
      <c r="C215" s="15"/>
      <c r="D215" s="15"/>
      <c r="E215" s="209"/>
      <c r="F215" s="15"/>
      <c r="G215" s="15"/>
      <c r="H215" s="286">
        <v>0.5645</v>
      </c>
      <c r="I215" s="23">
        <v>103982.39999999999</v>
      </c>
      <c r="J215" s="43">
        <v>3</v>
      </c>
      <c r="K215" s="15">
        <v>42339</v>
      </c>
      <c r="L215" s="24">
        <v>103982.39999999999</v>
      </c>
      <c r="M215" s="31">
        <v>42389</v>
      </c>
      <c r="N215" s="44"/>
      <c r="O215" s="83">
        <v>103982.39999999999</v>
      </c>
      <c r="P215" s="83">
        <f t="shared" si="44"/>
        <v>0</v>
      </c>
      <c r="Q215" s="83"/>
      <c r="R215" s="197"/>
    </row>
    <row r="216" spans="1:18" s="26" customFormat="1" x14ac:dyDescent="0.25">
      <c r="A216" s="47" t="s">
        <v>65</v>
      </c>
      <c r="B216" s="4"/>
      <c r="C216" s="15"/>
      <c r="D216" s="15"/>
      <c r="E216" s="209"/>
      <c r="F216" s="15"/>
      <c r="G216" s="15"/>
      <c r="H216" s="121">
        <v>0.8</v>
      </c>
      <c r="I216" s="23">
        <v>101736</v>
      </c>
      <c r="J216" s="43">
        <v>5</v>
      </c>
      <c r="K216" s="15"/>
      <c r="L216" s="220"/>
      <c r="M216" s="31"/>
      <c r="N216" s="44"/>
      <c r="O216" s="83"/>
      <c r="P216" s="83">
        <f t="shared" si="44"/>
        <v>101736</v>
      </c>
      <c r="Q216" s="83"/>
      <c r="R216" s="197"/>
    </row>
    <row r="217" spans="1:18" s="26" customFormat="1" x14ac:dyDescent="0.25">
      <c r="A217" s="47" t="s">
        <v>65</v>
      </c>
      <c r="B217" s="4"/>
      <c r="C217" s="15"/>
      <c r="D217" s="15"/>
      <c r="E217" s="209"/>
      <c r="F217" s="15"/>
      <c r="G217" s="15"/>
      <c r="H217" s="121">
        <v>1</v>
      </c>
      <c r="I217" s="23">
        <f>0.2*H212</f>
        <v>86400</v>
      </c>
      <c r="J217" s="43">
        <v>7</v>
      </c>
      <c r="K217" s="15"/>
      <c r="L217" s="24"/>
      <c r="M217" s="31"/>
      <c r="N217" s="44"/>
      <c r="O217" s="83" t="str">
        <f t="shared" si="49"/>
        <v/>
      </c>
      <c r="P217" s="83">
        <f t="shared" si="44"/>
        <v>86400</v>
      </c>
      <c r="Q217" s="83"/>
      <c r="R217" s="197"/>
    </row>
    <row r="218" spans="1:18" s="120" customFormat="1" x14ac:dyDescent="0.25">
      <c r="A218" s="152" t="s">
        <v>66</v>
      </c>
      <c r="B218" s="158" t="s">
        <v>197</v>
      </c>
      <c r="C218" s="192">
        <v>41536</v>
      </c>
      <c r="D218" s="192">
        <f>DATE(YEAR(C218),MONTH(C218)+18,DAY(C218))</f>
        <v>42082</v>
      </c>
      <c r="E218" s="208">
        <v>41876</v>
      </c>
      <c r="F218" s="192">
        <f>DATE(YEAR(C218)+4,MONTH(C218),DAY(C218))</f>
        <v>42997</v>
      </c>
      <c r="G218" s="192"/>
      <c r="H218" s="161">
        <v>360000</v>
      </c>
      <c r="I218" s="156"/>
      <c r="J218" s="171"/>
      <c r="K218" s="192"/>
      <c r="L218" s="159">
        <f>SUM(L219:L224)</f>
        <v>192348</v>
      </c>
      <c r="M218" s="184"/>
      <c r="N218" s="185"/>
      <c r="O218" s="193">
        <f>SUM(O219:O224)</f>
        <v>46476</v>
      </c>
      <c r="P218" s="193">
        <f>SUM(P219:P224)</f>
        <v>121176</v>
      </c>
      <c r="Q218" s="193"/>
      <c r="R218" s="201">
        <f>H218-(L218+O218+P218)</f>
        <v>0</v>
      </c>
    </row>
    <row r="219" spans="1:18" s="26" customFormat="1" x14ac:dyDescent="0.25">
      <c r="A219" s="47" t="s">
        <v>66</v>
      </c>
      <c r="B219" s="4"/>
      <c r="C219" s="15"/>
      <c r="D219" s="15"/>
      <c r="E219" s="209"/>
      <c r="F219" s="15"/>
      <c r="G219" s="15"/>
      <c r="H219" s="121">
        <f>I219/$H$218</f>
        <v>0.3</v>
      </c>
      <c r="I219" s="23">
        <v>108000</v>
      </c>
      <c r="J219" s="43">
        <v>1</v>
      </c>
      <c r="K219" s="15">
        <v>41925</v>
      </c>
      <c r="L219" s="24">
        <v>108000</v>
      </c>
      <c r="M219" s="31">
        <v>41984</v>
      </c>
      <c r="N219" s="44">
        <f t="shared" ref="N219:N220" si="51">IF(M219="",$P$2-K219,M219-K219)</f>
        <v>59</v>
      </c>
      <c r="O219" s="83" t="str">
        <f t="shared" si="49"/>
        <v/>
      </c>
      <c r="P219" s="83">
        <f t="shared" si="44"/>
        <v>0</v>
      </c>
      <c r="Q219" s="83"/>
      <c r="R219" s="197"/>
    </row>
    <row r="220" spans="1:18" s="120" customFormat="1" x14ac:dyDescent="0.25">
      <c r="A220" s="47" t="s">
        <v>66</v>
      </c>
      <c r="B220" s="19"/>
      <c r="C220" s="118"/>
      <c r="D220" s="118"/>
      <c r="E220" s="213"/>
      <c r="F220" s="118"/>
      <c r="G220" s="118"/>
      <c r="H220" s="121">
        <f>I220/$H$218+H219</f>
        <v>0.31440000000000001</v>
      </c>
      <c r="I220" s="23">
        <v>5184</v>
      </c>
      <c r="J220" s="43">
        <v>2</v>
      </c>
      <c r="K220" s="15">
        <v>42178</v>
      </c>
      <c r="L220" s="24">
        <v>5184</v>
      </c>
      <c r="M220" s="31">
        <v>42237</v>
      </c>
      <c r="N220" s="44">
        <f t="shared" si="51"/>
        <v>59</v>
      </c>
      <c r="O220" s="83" t="str">
        <f t="shared" si="49"/>
        <v/>
      </c>
      <c r="P220" s="83">
        <f t="shared" si="44"/>
        <v>0</v>
      </c>
      <c r="Q220" s="119"/>
      <c r="R220" s="197"/>
    </row>
    <row r="221" spans="1:18" s="26" customFormat="1" x14ac:dyDescent="0.25">
      <c r="A221" s="47" t="s">
        <v>66</v>
      </c>
      <c r="B221" s="4"/>
      <c r="C221" s="15"/>
      <c r="D221" s="15"/>
      <c r="E221" s="209"/>
      <c r="F221" s="15"/>
      <c r="G221" s="15"/>
      <c r="H221" s="286">
        <v>0.5343</v>
      </c>
      <c r="I221" s="23">
        <v>79164</v>
      </c>
      <c r="J221" s="43">
        <v>3</v>
      </c>
      <c r="K221" s="15">
        <v>42332</v>
      </c>
      <c r="L221" s="24">
        <v>79164</v>
      </c>
      <c r="M221" s="31">
        <v>42389</v>
      </c>
      <c r="N221" s="44"/>
      <c r="O221" s="83" t="str">
        <f t="shared" si="49"/>
        <v/>
      </c>
      <c r="P221" s="83">
        <f t="shared" si="44"/>
        <v>0</v>
      </c>
      <c r="Q221" s="83"/>
      <c r="R221" s="197"/>
    </row>
    <row r="222" spans="1:18" s="26" customFormat="1" x14ac:dyDescent="0.25">
      <c r="A222" s="47" t="s">
        <v>66</v>
      </c>
      <c r="B222" s="4"/>
      <c r="C222" s="15"/>
      <c r="D222" s="15"/>
      <c r="E222" s="209"/>
      <c r="F222" s="15"/>
      <c r="G222" s="15"/>
      <c r="H222" s="286">
        <v>0.66339999999999999</v>
      </c>
      <c r="I222" s="23">
        <v>46476</v>
      </c>
      <c r="J222" s="43">
        <v>4</v>
      </c>
      <c r="K222" s="15">
        <v>42432</v>
      </c>
      <c r="L222" s="137" t="s">
        <v>113</v>
      </c>
      <c r="M222" s="31"/>
      <c r="N222" s="44"/>
      <c r="O222" s="83">
        <f t="shared" si="49"/>
        <v>46476</v>
      </c>
      <c r="P222" s="83">
        <f t="shared" si="44"/>
        <v>0</v>
      </c>
      <c r="Q222" s="83"/>
      <c r="R222" s="197"/>
    </row>
    <row r="223" spans="1:18" s="26" customFormat="1" x14ac:dyDescent="0.25">
      <c r="A223" s="47" t="s">
        <v>66</v>
      </c>
      <c r="B223" s="4"/>
      <c r="C223" s="15"/>
      <c r="D223" s="15"/>
      <c r="E223" s="209"/>
      <c r="F223" s="15"/>
      <c r="G223" s="15"/>
      <c r="H223" s="121">
        <v>0.8</v>
      </c>
      <c r="I223" s="23">
        <f>H218*80/100-(I219+I220+I221+I222)</f>
        <v>49176</v>
      </c>
      <c r="J223" s="43">
        <v>5</v>
      </c>
      <c r="K223" s="15"/>
      <c r="L223" s="24"/>
      <c r="M223" s="31"/>
      <c r="N223" s="44"/>
      <c r="O223" s="83"/>
      <c r="P223" s="83">
        <f t="shared" si="44"/>
        <v>49176</v>
      </c>
      <c r="Q223" s="83"/>
      <c r="R223" s="197"/>
    </row>
    <row r="224" spans="1:18" s="26" customFormat="1" x14ac:dyDescent="0.25">
      <c r="A224" s="47" t="s">
        <v>66</v>
      </c>
      <c r="B224" s="4"/>
      <c r="C224" s="15"/>
      <c r="D224" s="15"/>
      <c r="E224" s="209"/>
      <c r="F224" s="15"/>
      <c r="G224" s="15"/>
      <c r="H224" s="121">
        <v>1</v>
      </c>
      <c r="I224" s="23">
        <f>H218-(I219+I220+I221+I222+I223)</f>
        <v>72000</v>
      </c>
      <c r="J224" s="43">
        <v>6</v>
      </c>
      <c r="K224" s="15"/>
      <c r="L224" s="24"/>
      <c r="M224" s="31"/>
      <c r="N224" s="44"/>
      <c r="O224" s="83" t="str">
        <f t="shared" si="49"/>
        <v/>
      </c>
      <c r="P224" s="83">
        <f t="shared" si="44"/>
        <v>72000</v>
      </c>
      <c r="Q224" s="83"/>
      <c r="R224" s="197"/>
    </row>
    <row r="225" spans="1:18" s="120" customFormat="1" x14ac:dyDescent="0.25">
      <c r="A225" s="152" t="s">
        <v>38</v>
      </c>
      <c r="B225" s="158" t="s">
        <v>196</v>
      </c>
      <c r="C225" s="192">
        <v>41855</v>
      </c>
      <c r="D225" s="192">
        <f>DATE(YEAR(C225),MONTH(C225)+18,DAY(C225))</f>
        <v>42404</v>
      </c>
      <c r="E225" s="208"/>
      <c r="F225" s="192">
        <f>DATE(YEAR(C225)+4,MONTH(C225),DAY(C225))</f>
        <v>43316</v>
      </c>
      <c r="G225" s="192"/>
      <c r="H225" s="161">
        <v>442750</v>
      </c>
      <c r="I225" s="156"/>
      <c r="J225" s="171"/>
      <c r="K225" s="192"/>
      <c r="L225" s="159">
        <f>SUM(L226)</f>
        <v>0</v>
      </c>
      <c r="M225" s="184"/>
      <c r="N225" s="185"/>
      <c r="O225" s="193">
        <f>SUM(O226)</f>
        <v>0</v>
      </c>
      <c r="P225" s="193">
        <f>SUM(P226)</f>
        <v>442750</v>
      </c>
      <c r="Q225" s="193"/>
      <c r="R225" s="201">
        <f>H225-(L225+O225+P225)</f>
        <v>0</v>
      </c>
    </row>
    <row r="226" spans="1:18" s="26" customFormat="1" x14ac:dyDescent="0.25">
      <c r="A226" s="151" t="s">
        <v>38</v>
      </c>
      <c r="B226" s="40"/>
      <c r="C226" s="37"/>
      <c r="D226" s="37"/>
      <c r="E226" s="210"/>
      <c r="F226" s="37"/>
      <c r="G226" s="37"/>
      <c r="H226" s="41"/>
      <c r="I226" s="36">
        <v>442750</v>
      </c>
      <c r="J226" s="45">
        <v>1</v>
      </c>
      <c r="K226" s="37"/>
      <c r="L226" s="38"/>
      <c r="M226" s="189"/>
      <c r="N226" s="190"/>
      <c r="O226" s="191" t="str">
        <f>IF(L226="en attente",I226,"")</f>
        <v/>
      </c>
      <c r="P226" s="191">
        <f>IF(K226="",I226-L226,0)</f>
        <v>442750</v>
      </c>
      <c r="Q226" s="191"/>
      <c r="R226" s="197"/>
    </row>
    <row r="227" spans="1:18" s="120" customFormat="1" x14ac:dyDescent="0.25">
      <c r="A227" s="162" t="s">
        <v>39</v>
      </c>
      <c r="B227" s="167" t="s">
        <v>195</v>
      </c>
      <c r="C227" s="182">
        <v>41800</v>
      </c>
      <c r="D227" s="182">
        <f>DATE(YEAR(C227),MONTH(C227)+18,DAY(C227))</f>
        <v>42348</v>
      </c>
      <c r="E227" s="212"/>
      <c r="F227" s="182">
        <f>DATE(YEAR(C227)+4,MONTH(C227),DAY(C227))</f>
        <v>43261</v>
      </c>
      <c r="G227" s="192"/>
      <c r="H227" s="170">
        <v>1</v>
      </c>
      <c r="I227" s="165"/>
      <c r="J227" s="166"/>
      <c r="K227" s="182"/>
      <c r="L227" s="168">
        <f>SUM(L228)</f>
        <v>0</v>
      </c>
      <c r="M227" s="180"/>
      <c r="N227" s="181"/>
      <c r="O227" s="183">
        <f>SUM(O228)</f>
        <v>0</v>
      </c>
      <c r="P227" s="219">
        <f>SUM(P228)</f>
        <v>1</v>
      </c>
      <c r="Q227" s="183"/>
      <c r="R227" s="201">
        <f>H227-(L227+O227+P227)</f>
        <v>0</v>
      </c>
    </row>
    <row r="228" spans="1:18" s="26" customFormat="1" x14ac:dyDescent="0.25">
      <c r="A228" s="47" t="s">
        <v>39</v>
      </c>
      <c r="B228" s="4"/>
      <c r="C228" s="15"/>
      <c r="D228" s="15"/>
      <c r="E228" s="209"/>
      <c r="F228" s="15"/>
      <c r="G228" s="15"/>
      <c r="H228" s="16"/>
      <c r="I228" s="23">
        <v>1</v>
      </c>
      <c r="J228" s="43">
        <v>1</v>
      </c>
      <c r="K228" s="15"/>
      <c r="L228" s="24"/>
      <c r="M228" s="31"/>
      <c r="N228" s="44"/>
      <c r="O228" s="83" t="str">
        <f t="shared" si="49"/>
        <v/>
      </c>
      <c r="P228" s="83">
        <f t="shared" si="44"/>
        <v>1</v>
      </c>
      <c r="Q228" s="83"/>
      <c r="R228" s="197"/>
    </row>
    <row r="229" spans="1:18" s="120" customFormat="1" x14ac:dyDescent="0.25">
      <c r="A229" s="152" t="s">
        <v>40</v>
      </c>
      <c r="B229" s="158" t="s">
        <v>194</v>
      </c>
      <c r="C229" s="192">
        <v>41929</v>
      </c>
      <c r="D229" s="192">
        <f>DATE(YEAR(C229),MONTH(C229)+18,DAY(C229))</f>
        <v>42477</v>
      </c>
      <c r="E229" s="208"/>
      <c r="F229" s="192">
        <f>DATE(YEAR(C229)+4,MONTH(C229),DAY(C229))</f>
        <v>43390</v>
      </c>
      <c r="G229" s="192"/>
      <c r="H229" s="161">
        <v>320000</v>
      </c>
      <c r="I229" s="156"/>
      <c r="J229" s="171"/>
      <c r="K229" s="192"/>
      <c r="L229" s="159">
        <f>SUM(L230)</f>
        <v>0</v>
      </c>
      <c r="M229" s="184"/>
      <c r="N229" s="185"/>
      <c r="O229" s="193">
        <f>SUM(O230)</f>
        <v>0</v>
      </c>
      <c r="P229" s="193">
        <f>SUM(P230)</f>
        <v>320000</v>
      </c>
      <c r="Q229" s="193"/>
      <c r="R229" s="201">
        <f>H229-(L229+O229+P229)</f>
        <v>0</v>
      </c>
    </row>
    <row r="230" spans="1:18" s="26" customFormat="1" x14ac:dyDescent="0.25">
      <c r="A230" s="151" t="s">
        <v>40</v>
      </c>
      <c r="B230" s="40"/>
      <c r="C230" s="37"/>
      <c r="D230" s="37"/>
      <c r="E230" s="210"/>
      <c r="F230" s="37"/>
      <c r="G230" s="37"/>
      <c r="H230" s="41"/>
      <c r="I230" s="36">
        <v>320000</v>
      </c>
      <c r="J230" s="45">
        <v>1</v>
      </c>
      <c r="K230" s="37"/>
      <c r="L230" s="38"/>
      <c r="M230" s="189"/>
      <c r="N230" s="190"/>
      <c r="O230" s="191" t="str">
        <f t="shared" si="49"/>
        <v/>
      </c>
      <c r="P230" s="191">
        <f t="shared" si="44"/>
        <v>320000</v>
      </c>
      <c r="Q230" s="191"/>
      <c r="R230" s="197"/>
    </row>
    <row r="231" spans="1:18" s="120" customFormat="1" x14ac:dyDescent="0.25">
      <c r="A231" s="162" t="s">
        <v>41</v>
      </c>
      <c r="B231" s="167" t="s">
        <v>193</v>
      </c>
      <c r="C231" s="182">
        <v>41802</v>
      </c>
      <c r="D231" s="192">
        <f>DATE(YEAR(C231),MONTH(C231)+18,DAY(C231))</f>
        <v>42350</v>
      </c>
      <c r="E231" s="208"/>
      <c r="F231" s="192">
        <f>DATE(YEAR(C231)+4,MONTH(C231),DAY(C231))</f>
        <v>43263</v>
      </c>
      <c r="G231" s="192"/>
      <c r="H231" s="170">
        <v>1</v>
      </c>
      <c r="I231" s="165"/>
      <c r="J231" s="166"/>
      <c r="K231" s="182"/>
      <c r="L231" s="168">
        <f>SUM(L232)</f>
        <v>0</v>
      </c>
      <c r="M231" s="180"/>
      <c r="N231" s="181"/>
      <c r="O231" s="183">
        <f>SUM(O232)</f>
        <v>0</v>
      </c>
      <c r="P231" s="183">
        <f>SUM(P232)</f>
        <v>1</v>
      </c>
      <c r="Q231" s="183"/>
      <c r="R231" s="201">
        <f>H231-(L231+O231+P231)</f>
        <v>0</v>
      </c>
    </row>
    <row r="232" spans="1:18" s="26" customFormat="1" x14ac:dyDescent="0.25">
      <c r="A232" s="47" t="s">
        <v>41</v>
      </c>
      <c r="B232" s="4"/>
      <c r="C232" s="15"/>
      <c r="D232" s="15"/>
      <c r="E232" s="209"/>
      <c r="F232" s="15"/>
      <c r="G232" s="15"/>
      <c r="H232" s="16"/>
      <c r="I232" s="23">
        <v>1</v>
      </c>
      <c r="J232" s="43">
        <v>1</v>
      </c>
      <c r="K232" s="15"/>
      <c r="L232" s="24"/>
      <c r="M232" s="31"/>
      <c r="N232" s="44"/>
      <c r="O232" s="83" t="str">
        <f t="shared" si="49"/>
        <v/>
      </c>
      <c r="P232" s="83">
        <f t="shared" si="44"/>
        <v>1</v>
      </c>
      <c r="Q232" s="83"/>
      <c r="R232" s="197"/>
    </row>
    <row r="233" spans="1:18" s="120" customFormat="1" x14ac:dyDescent="0.25">
      <c r="A233" s="152" t="s">
        <v>42</v>
      </c>
      <c r="B233" s="158" t="s">
        <v>192</v>
      </c>
      <c r="C233" s="192">
        <v>41890</v>
      </c>
      <c r="D233" s="192">
        <f>DATE(YEAR(C233),MONTH(C233)+18,DAY(C233))</f>
        <v>42437</v>
      </c>
      <c r="E233" s="208"/>
      <c r="F233" s="192">
        <f>DATE(YEAR(C233)+4,MONTH(C233),DAY(C233))</f>
        <v>43351</v>
      </c>
      <c r="G233" s="192"/>
      <c r="H233" s="161">
        <v>600000</v>
      </c>
      <c r="I233" s="156"/>
      <c r="J233" s="171"/>
      <c r="K233" s="192"/>
      <c r="L233" s="159">
        <f>SUM(L234)</f>
        <v>0</v>
      </c>
      <c r="M233" s="184"/>
      <c r="N233" s="185"/>
      <c r="O233" s="193">
        <f>SUM(O234)</f>
        <v>0</v>
      </c>
      <c r="P233" s="193">
        <f>SUM(P234)</f>
        <v>600000</v>
      </c>
      <c r="Q233" s="193"/>
      <c r="R233" s="201">
        <f>H233-(L233+O233+P233)</f>
        <v>0</v>
      </c>
    </row>
    <row r="234" spans="1:18" s="26" customFormat="1" x14ac:dyDescent="0.25">
      <c r="A234" s="151" t="s">
        <v>42</v>
      </c>
      <c r="B234" s="40"/>
      <c r="C234" s="37"/>
      <c r="D234" s="37"/>
      <c r="E234" s="210"/>
      <c r="F234" s="37"/>
      <c r="G234" s="37"/>
      <c r="H234" s="41"/>
      <c r="I234" s="36">
        <v>600000</v>
      </c>
      <c r="J234" s="45">
        <v>1</v>
      </c>
      <c r="K234" s="37"/>
      <c r="L234" s="38"/>
      <c r="M234" s="189"/>
      <c r="N234" s="190"/>
      <c r="O234" s="191" t="str">
        <f t="shared" ref="O234" si="52">IF(L234="en attente",I234,"")</f>
        <v/>
      </c>
      <c r="P234" s="191">
        <f t="shared" ref="P234" si="53">IF(K234="",I234-L234,0)</f>
        <v>600000</v>
      </c>
      <c r="Q234" s="191"/>
      <c r="R234" s="197"/>
    </row>
    <row r="235" spans="1:18" s="120" customFormat="1" x14ac:dyDescent="0.25">
      <c r="A235" s="152" t="s">
        <v>122</v>
      </c>
      <c r="B235" s="158" t="s">
        <v>191</v>
      </c>
      <c r="C235" s="192">
        <v>41855</v>
      </c>
      <c r="D235" s="192">
        <f>DATE(YEAR(C235),MONTH(C235)+18,DAY(C235))</f>
        <v>42404</v>
      </c>
      <c r="E235" s="208"/>
      <c r="F235" s="192">
        <f>DATE(YEAR(C235)+4,MONTH(C235),DAY(C235))</f>
        <v>43316</v>
      </c>
      <c r="G235" s="192"/>
      <c r="H235" s="161">
        <v>925000</v>
      </c>
      <c r="I235" s="156"/>
      <c r="J235" s="171"/>
      <c r="K235" s="192"/>
      <c r="L235" s="159">
        <f>SUM(L236)</f>
        <v>0</v>
      </c>
      <c r="M235" s="184"/>
      <c r="N235" s="185"/>
      <c r="O235" s="193">
        <f>SUM(O236)</f>
        <v>277500</v>
      </c>
      <c r="P235" s="193">
        <f>SUM(P236:P239)</f>
        <v>647500</v>
      </c>
      <c r="Q235" s="193"/>
      <c r="R235" s="201">
        <f>H235-(L235+O235+P235)</f>
        <v>0</v>
      </c>
    </row>
    <row r="236" spans="1:18" s="26" customFormat="1" x14ac:dyDescent="0.25">
      <c r="A236" s="47" t="s">
        <v>122</v>
      </c>
      <c r="B236" s="4"/>
      <c r="C236" s="15"/>
      <c r="D236" s="15"/>
      <c r="E236" s="209"/>
      <c r="F236" s="15"/>
      <c r="G236" s="15"/>
      <c r="H236" s="121">
        <f>I236/H235</f>
        <v>0.3</v>
      </c>
      <c r="I236" s="23">
        <f>30%*H235</f>
        <v>277500</v>
      </c>
      <c r="J236" s="43">
        <v>1</v>
      </c>
      <c r="K236" s="15">
        <v>42411</v>
      </c>
      <c r="L236" s="137" t="s">
        <v>113</v>
      </c>
      <c r="M236" s="31"/>
      <c r="N236" s="44"/>
      <c r="O236" s="83">
        <f t="shared" si="49"/>
        <v>277500</v>
      </c>
      <c r="P236" s="83">
        <f t="shared" si="44"/>
        <v>0</v>
      </c>
      <c r="Q236" s="83"/>
      <c r="R236" s="197"/>
    </row>
    <row r="237" spans="1:18" s="26" customFormat="1" x14ac:dyDescent="0.25">
      <c r="A237" s="47" t="s">
        <v>122</v>
      </c>
      <c r="B237" s="4"/>
      <c r="C237" s="15"/>
      <c r="D237" s="15"/>
      <c r="E237" s="209"/>
      <c r="F237" s="15"/>
      <c r="G237" s="15"/>
      <c r="H237" s="121">
        <v>0.5</v>
      </c>
      <c r="I237" s="23">
        <f>H235*H237-I236</f>
        <v>185000</v>
      </c>
      <c r="J237" s="43">
        <v>2</v>
      </c>
      <c r="K237" s="15"/>
      <c r="L237" s="24"/>
      <c r="M237" s="31"/>
      <c r="N237" s="44"/>
      <c r="O237" s="83"/>
      <c r="P237" s="83">
        <f t="shared" si="44"/>
        <v>185000</v>
      </c>
      <c r="Q237" s="83"/>
      <c r="R237" s="197"/>
    </row>
    <row r="238" spans="1:18" s="26" customFormat="1" x14ac:dyDescent="0.25">
      <c r="A238" s="47" t="s">
        <v>122</v>
      </c>
      <c r="B238" s="4"/>
      <c r="C238" s="15"/>
      <c r="D238" s="15"/>
      <c r="E238" s="209"/>
      <c r="F238" s="15"/>
      <c r="G238" s="15"/>
      <c r="H238" s="121">
        <v>0.8</v>
      </c>
      <c r="I238" s="23">
        <f>H235*H238-(I236+I237)</f>
        <v>277500</v>
      </c>
      <c r="J238" s="43">
        <v>3</v>
      </c>
      <c r="K238" s="15"/>
      <c r="L238" s="24"/>
      <c r="M238" s="31"/>
      <c r="N238" s="44"/>
      <c r="O238" s="499"/>
      <c r="P238" s="500">
        <f t="shared" si="44"/>
        <v>277500</v>
      </c>
      <c r="Q238" s="83"/>
      <c r="R238" s="197"/>
    </row>
    <row r="239" spans="1:18" s="26" customFormat="1" x14ac:dyDescent="0.25">
      <c r="A239" s="47" t="s">
        <v>122</v>
      </c>
      <c r="B239" s="40"/>
      <c r="C239" s="37"/>
      <c r="D239" s="37"/>
      <c r="E239" s="210"/>
      <c r="F239" s="37"/>
      <c r="G239" s="37"/>
      <c r="H239" s="186">
        <f>I239/H235+H236</f>
        <v>0.5</v>
      </c>
      <c r="I239" s="187">
        <f>H235-(I236+I237+I238)</f>
        <v>185000</v>
      </c>
      <c r="J239" s="45">
        <v>4</v>
      </c>
      <c r="K239" s="37"/>
      <c r="L239" s="38"/>
      <c r="M239" s="189"/>
      <c r="N239" s="190"/>
      <c r="O239" s="191"/>
      <c r="P239" s="191">
        <f t="shared" si="44"/>
        <v>185000</v>
      </c>
      <c r="Q239" s="191"/>
      <c r="R239" s="197"/>
    </row>
    <row r="240" spans="1:18" s="120" customFormat="1" x14ac:dyDescent="0.25">
      <c r="A240" s="152" t="s">
        <v>123</v>
      </c>
      <c r="B240" s="158" t="s">
        <v>190</v>
      </c>
      <c r="C240" s="192">
        <v>41956</v>
      </c>
      <c r="D240" s="192">
        <f>DATE(YEAR(C240),MONTH(C240)+18,DAY(C240))</f>
        <v>42503</v>
      </c>
      <c r="E240" s="208"/>
      <c r="F240" s="192">
        <f>DATE(YEAR(C240)+4,MONTH(C240),DAY(C240))</f>
        <v>43417</v>
      </c>
      <c r="G240" s="192"/>
      <c r="H240" s="161">
        <v>543200</v>
      </c>
      <c r="I240" s="156"/>
      <c r="J240" s="171"/>
      <c r="K240" s="192"/>
      <c r="L240" s="159">
        <f>SUM(L241)</f>
        <v>0</v>
      </c>
      <c r="M240" s="184"/>
      <c r="N240" s="185"/>
      <c r="O240" s="193">
        <f>SUM(O241)</f>
        <v>0</v>
      </c>
      <c r="P240" s="193">
        <f>SUM(P241)</f>
        <v>543200</v>
      </c>
      <c r="Q240" s="193"/>
      <c r="R240" s="201">
        <f>H240-(L240+O240+P240)</f>
        <v>0</v>
      </c>
    </row>
    <row r="241" spans="1:18" s="26" customFormat="1" x14ac:dyDescent="0.25">
      <c r="A241" s="151" t="s">
        <v>123</v>
      </c>
      <c r="B241" s="40"/>
      <c r="C241" s="37"/>
      <c r="D241" s="37"/>
      <c r="E241" s="210"/>
      <c r="F241" s="37"/>
      <c r="G241" s="37"/>
      <c r="H241" s="41"/>
      <c r="I241" s="36">
        <v>543200</v>
      </c>
      <c r="J241" s="45">
        <v>1</v>
      </c>
      <c r="K241" s="37"/>
      <c r="L241" s="38"/>
      <c r="M241" s="189"/>
      <c r="N241" s="190"/>
      <c r="O241" s="191" t="str">
        <f t="shared" ref="O241" si="54">IF(L241="en attente",I241,"")</f>
        <v/>
      </c>
      <c r="P241" s="191">
        <f t="shared" ref="P241" si="55">IF(K241="",I241-L241,0)</f>
        <v>543200</v>
      </c>
      <c r="Q241" s="191"/>
      <c r="R241" s="197"/>
    </row>
    <row r="242" spans="1:18" s="120" customFormat="1" x14ac:dyDescent="0.25">
      <c r="A242" s="162" t="s">
        <v>114</v>
      </c>
      <c r="B242" s="167" t="s">
        <v>189</v>
      </c>
      <c r="C242" s="182">
        <v>41926</v>
      </c>
      <c r="D242" s="192">
        <f>DATE(YEAR(C242),MONTH(C242)+18,DAY(C242))</f>
        <v>42474</v>
      </c>
      <c r="E242" s="208">
        <v>42037</v>
      </c>
      <c r="F242" s="192">
        <f>DATE(YEAR(C242)+4,MONTH(C242),DAY(C242))</f>
        <v>43387</v>
      </c>
      <c r="G242" s="192"/>
      <c r="H242" s="170">
        <v>1118000</v>
      </c>
      <c r="I242" s="165"/>
      <c r="J242" s="166"/>
      <c r="K242" s="182"/>
      <c r="L242" s="168">
        <f>SUM(L243:L247)</f>
        <v>769966.6</v>
      </c>
      <c r="M242" s="180"/>
      <c r="N242" s="181"/>
      <c r="O242" s="183">
        <f>SUM(O243:O247)</f>
        <v>0</v>
      </c>
      <c r="P242" s="183">
        <f>SUM(P243:P247)</f>
        <v>348033.4</v>
      </c>
      <c r="Q242" s="183"/>
      <c r="R242" s="201">
        <f>H242-(L242+O242+P242)</f>
        <v>0</v>
      </c>
    </row>
    <row r="243" spans="1:18" s="120" customFormat="1" x14ac:dyDescent="0.25">
      <c r="A243" s="47" t="s">
        <v>114</v>
      </c>
      <c r="B243" s="19"/>
      <c r="C243" s="118"/>
      <c r="D243" s="118"/>
      <c r="E243" s="213"/>
      <c r="F243" s="118"/>
      <c r="G243" s="118"/>
      <c r="H243" s="121">
        <f>I243/$H$242</f>
        <v>0.3</v>
      </c>
      <c r="I243" s="23">
        <f>30%*H242</f>
        <v>335400</v>
      </c>
      <c r="J243" s="43">
        <v>1</v>
      </c>
      <c r="K243" s="15">
        <v>42180</v>
      </c>
      <c r="L243" s="24">
        <v>335400</v>
      </c>
      <c r="M243" s="31">
        <v>42222</v>
      </c>
      <c r="N243" s="44">
        <f t="shared" ref="N243" si="56">IF(M243="",$P$2-K243,M243-K243)</f>
        <v>42</v>
      </c>
      <c r="O243" s="83" t="str">
        <f t="shared" si="49"/>
        <v/>
      </c>
      <c r="P243" s="83">
        <f t="shared" si="44"/>
        <v>0</v>
      </c>
      <c r="Q243" s="119"/>
      <c r="R243" s="201"/>
    </row>
    <row r="244" spans="1:18" s="26" customFormat="1" x14ac:dyDescent="0.25">
      <c r="A244" s="47" t="s">
        <v>114</v>
      </c>
      <c r="B244" s="4"/>
      <c r="C244" s="15"/>
      <c r="D244" s="15"/>
      <c r="E244" s="209"/>
      <c r="F244" s="15"/>
      <c r="G244" s="15"/>
      <c r="H244" s="286">
        <v>0.59219999999999995</v>
      </c>
      <c r="I244" s="23">
        <v>326679.59999999998</v>
      </c>
      <c r="J244" s="43">
        <v>2</v>
      </c>
      <c r="K244" s="15">
        <v>42297</v>
      </c>
      <c r="L244" s="24">
        <v>326679.59999999998</v>
      </c>
      <c r="M244" s="31">
        <v>42327</v>
      </c>
      <c r="N244" s="44"/>
      <c r="O244" s="83" t="str">
        <f t="shared" si="49"/>
        <v/>
      </c>
      <c r="P244" s="83">
        <f t="shared" ref="P244:P247" si="57">IF(K244="",I244-L244,0)</f>
        <v>0</v>
      </c>
      <c r="Q244" s="83"/>
      <c r="R244" s="201"/>
    </row>
    <row r="245" spans="1:18" s="26" customFormat="1" x14ac:dyDescent="0.25">
      <c r="A245" s="47" t="s">
        <v>114</v>
      </c>
      <c r="B245" s="4"/>
      <c r="C245" s="15"/>
      <c r="D245" s="15"/>
      <c r="E245" s="209"/>
      <c r="F245" s="15"/>
      <c r="G245" s="15"/>
      <c r="H245" s="286">
        <v>0.68869999999999998</v>
      </c>
      <c r="I245" s="23">
        <v>107887</v>
      </c>
      <c r="J245" s="43">
        <v>3</v>
      </c>
      <c r="K245" s="15">
        <v>42376</v>
      </c>
      <c r="L245" s="24">
        <v>107887</v>
      </c>
      <c r="M245" s="31">
        <v>42425</v>
      </c>
      <c r="N245" s="44"/>
      <c r="O245" s="83" t="str">
        <f t="shared" si="49"/>
        <v/>
      </c>
      <c r="P245" s="83">
        <f t="shared" si="57"/>
        <v>0</v>
      </c>
      <c r="Q245" s="83"/>
      <c r="R245" s="201"/>
    </row>
    <row r="246" spans="1:18" s="26" customFormat="1" x14ac:dyDescent="0.25">
      <c r="A246" s="47" t="s">
        <v>114</v>
      </c>
      <c r="B246" s="4"/>
      <c r="C246" s="15"/>
      <c r="D246" s="15"/>
      <c r="E246" s="209"/>
      <c r="F246" s="15"/>
      <c r="G246" s="15"/>
      <c r="H246" s="122">
        <v>0.8</v>
      </c>
      <c r="I246" s="23">
        <v>124433.4</v>
      </c>
      <c r="J246" s="43"/>
      <c r="K246" s="15"/>
      <c r="L246" s="24"/>
      <c r="M246" s="31"/>
      <c r="N246" s="44"/>
      <c r="O246" s="83"/>
      <c r="P246" s="83">
        <f t="shared" si="57"/>
        <v>124433.4</v>
      </c>
      <c r="Q246" s="83"/>
      <c r="R246" s="201"/>
    </row>
    <row r="247" spans="1:18" s="26" customFormat="1" x14ac:dyDescent="0.25">
      <c r="A247" s="47" t="s">
        <v>114</v>
      </c>
      <c r="B247" s="4"/>
      <c r="C247" s="15"/>
      <c r="D247" s="15"/>
      <c r="E247" s="209"/>
      <c r="F247" s="15"/>
      <c r="G247" s="15"/>
      <c r="H247" s="121">
        <v>1</v>
      </c>
      <c r="I247" s="23">
        <v>223600</v>
      </c>
      <c r="J247" s="43">
        <v>4</v>
      </c>
      <c r="K247" s="15"/>
      <c r="L247" s="24"/>
      <c r="M247" s="31"/>
      <c r="N247" s="44"/>
      <c r="O247" s="83" t="str">
        <f t="shared" si="49"/>
        <v/>
      </c>
      <c r="P247" s="83">
        <f t="shared" si="57"/>
        <v>223600</v>
      </c>
      <c r="Q247" s="83"/>
      <c r="R247" s="201"/>
    </row>
    <row r="248" spans="1:18" s="120" customFormat="1" x14ac:dyDescent="0.25">
      <c r="A248" s="152" t="s">
        <v>156</v>
      </c>
      <c r="B248" s="158" t="s">
        <v>164</v>
      </c>
      <c r="C248" s="192">
        <v>42249</v>
      </c>
      <c r="D248" s="192">
        <f>DATE(YEAR(C248),MONTH(C248)+18,DAY(C248))</f>
        <v>42796</v>
      </c>
      <c r="E248" s="208"/>
      <c r="F248" s="192">
        <f>DATE(YEAR(C248)+4,MONTH(C248),DAY(C248))</f>
        <v>43710</v>
      </c>
      <c r="G248" s="192"/>
      <c r="H248" s="161">
        <v>400000</v>
      </c>
      <c r="I248" s="156"/>
      <c r="J248" s="171"/>
      <c r="K248" s="192"/>
      <c r="L248" s="159">
        <f>SUM(L249)</f>
        <v>0</v>
      </c>
      <c r="M248" s="184"/>
      <c r="N248" s="185"/>
      <c r="O248" s="193">
        <f>SUM(O249)</f>
        <v>0</v>
      </c>
      <c r="P248" s="193">
        <f>SUM(P249)</f>
        <v>400000</v>
      </c>
      <c r="Q248" s="193"/>
      <c r="R248" s="201">
        <f t="shared" ref="R248:R252" si="58">H248-(L248+O248+P248)</f>
        <v>0</v>
      </c>
    </row>
    <row r="249" spans="1:18" s="26" customFormat="1" x14ac:dyDescent="0.25">
      <c r="A249" s="47" t="s">
        <v>156</v>
      </c>
      <c r="B249" s="4"/>
      <c r="C249" s="15"/>
      <c r="D249" s="15"/>
      <c r="E249" s="209"/>
      <c r="F249" s="15"/>
      <c r="G249" s="15"/>
      <c r="H249" s="121"/>
      <c r="I249" s="23">
        <v>400000</v>
      </c>
      <c r="J249" s="43">
        <v>1</v>
      </c>
      <c r="K249" s="15"/>
      <c r="L249" s="24"/>
      <c r="M249" s="31"/>
      <c r="N249" s="44"/>
      <c r="O249" s="83"/>
      <c r="P249" s="83">
        <f t="shared" ref="P249:P261" si="59">IF(K249="",I249-L249,0)</f>
        <v>400000</v>
      </c>
      <c r="Q249" s="83"/>
      <c r="R249" s="201"/>
    </row>
    <row r="250" spans="1:18" s="120" customFormat="1" x14ac:dyDescent="0.25">
      <c r="A250" s="152" t="s">
        <v>157</v>
      </c>
      <c r="B250" s="158" t="s">
        <v>165</v>
      </c>
      <c r="C250" s="192">
        <v>42248</v>
      </c>
      <c r="D250" s="192">
        <f>DATE(YEAR(C250),MONTH(C250)+18,DAY(C250))</f>
        <v>42795</v>
      </c>
      <c r="E250" s="208"/>
      <c r="F250" s="192">
        <f>DATE(YEAR(C250)+4,MONTH(C250),DAY(C250))</f>
        <v>43709</v>
      </c>
      <c r="G250" s="192"/>
      <c r="H250" s="161">
        <v>420000</v>
      </c>
      <c r="I250" s="156"/>
      <c r="J250" s="171"/>
      <c r="K250" s="192"/>
      <c r="L250" s="159">
        <f>SUM(L251)</f>
        <v>0</v>
      </c>
      <c r="M250" s="184"/>
      <c r="N250" s="185"/>
      <c r="O250" s="193">
        <f>SUM(O251)</f>
        <v>0</v>
      </c>
      <c r="P250" s="193">
        <f>SUM(P251)</f>
        <v>420000</v>
      </c>
      <c r="Q250" s="193"/>
      <c r="R250" s="201">
        <f t="shared" si="58"/>
        <v>0</v>
      </c>
    </row>
    <row r="251" spans="1:18" s="26" customFormat="1" x14ac:dyDescent="0.25">
      <c r="A251" s="47" t="s">
        <v>157</v>
      </c>
      <c r="B251" s="4"/>
      <c r="C251" s="15"/>
      <c r="D251" s="15"/>
      <c r="E251" s="209"/>
      <c r="F251" s="15"/>
      <c r="G251" s="15"/>
      <c r="H251" s="121"/>
      <c r="I251" s="23">
        <v>420000</v>
      </c>
      <c r="J251" s="43"/>
      <c r="K251" s="15"/>
      <c r="L251" s="24"/>
      <c r="M251" s="31"/>
      <c r="N251" s="44"/>
      <c r="O251" s="83"/>
      <c r="P251" s="83">
        <f t="shared" si="59"/>
        <v>420000</v>
      </c>
      <c r="Q251" s="83"/>
      <c r="R251" s="201"/>
    </row>
    <row r="252" spans="1:18" s="26" customFormat="1" x14ac:dyDescent="0.25">
      <c r="A252" s="152" t="s">
        <v>174</v>
      </c>
      <c r="B252" s="160" t="s">
        <v>166</v>
      </c>
      <c r="C252" s="184">
        <v>42304</v>
      </c>
      <c r="D252" s="192">
        <f>DATE(YEAR(C252),MONTH(C252)+18,DAY(C252))</f>
        <v>42852</v>
      </c>
      <c r="E252" s="345"/>
      <c r="F252" s="192">
        <f>DATE(YEAR(C252)+4,MONTH(C252),DAY(C252))</f>
        <v>43765</v>
      </c>
      <c r="G252" s="252"/>
      <c r="H252" s="349">
        <v>406000</v>
      </c>
      <c r="I252" s="340"/>
      <c r="J252" s="346"/>
      <c r="K252" s="252"/>
      <c r="L252" s="156">
        <f>SUM(L253)</f>
        <v>0</v>
      </c>
      <c r="M252" s="252"/>
      <c r="N252" s="347"/>
      <c r="O252" s="348">
        <f>SUM(O253)</f>
        <v>0</v>
      </c>
      <c r="P252" s="205">
        <f>SUM(P253)</f>
        <v>406000</v>
      </c>
      <c r="Q252" s="348"/>
      <c r="R252" s="201">
        <f t="shared" si="58"/>
        <v>0</v>
      </c>
    </row>
    <row r="253" spans="1:18" s="26" customFormat="1" x14ac:dyDescent="0.25">
      <c r="A253" s="47" t="s">
        <v>174</v>
      </c>
      <c r="B253" s="4"/>
      <c r="C253" s="15"/>
      <c r="D253" s="15"/>
      <c r="E253" s="209"/>
      <c r="F253" s="15"/>
      <c r="G253" s="15"/>
      <c r="H253" s="121"/>
      <c r="I253" s="23">
        <v>406000</v>
      </c>
      <c r="J253" s="43">
        <v>1</v>
      </c>
      <c r="K253" s="15"/>
      <c r="L253" s="24"/>
      <c r="M253" s="31"/>
      <c r="N253" s="44"/>
      <c r="O253" s="83"/>
      <c r="P253" s="83">
        <f t="shared" si="59"/>
        <v>406000</v>
      </c>
      <c r="Q253" s="83"/>
      <c r="R253" s="197"/>
    </row>
    <row r="254" spans="1:18" s="26" customFormat="1" x14ac:dyDescent="0.25">
      <c r="A254" s="152" t="s">
        <v>175</v>
      </c>
      <c r="B254" s="158" t="s">
        <v>176</v>
      </c>
      <c r="C254" s="192">
        <v>42306</v>
      </c>
      <c r="D254" s="192">
        <f>DATE(YEAR(C254),MONTH(C254)+18,DAY(C254))</f>
        <v>42854</v>
      </c>
      <c r="E254" s="375"/>
      <c r="F254" s="192">
        <f>DATE(YEAR(C254)+4,MONTH(C254),DAY(C254))</f>
        <v>43767</v>
      </c>
      <c r="G254" s="154"/>
      <c r="H254" s="349">
        <v>266000</v>
      </c>
      <c r="I254" s="340"/>
      <c r="J254" s="341"/>
      <c r="K254" s="154"/>
      <c r="L254" s="342">
        <f>SUM(L255)</f>
        <v>0</v>
      </c>
      <c r="M254" s="252"/>
      <c r="N254" s="343"/>
      <c r="O254" s="344">
        <f>SUM(O255)</f>
        <v>0</v>
      </c>
      <c r="P254" s="193">
        <f>SUM(P255)</f>
        <v>266000</v>
      </c>
      <c r="Q254" s="344"/>
      <c r="R254" s="197"/>
    </row>
    <row r="255" spans="1:18" s="26" customFormat="1" x14ac:dyDescent="0.25">
      <c r="A255" s="47" t="s">
        <v>175</v>
      </c>
      <c r="B255" s="4"/>
      <c r="C255" s="15"/>
      <c r="D255" s="15"/>
      <c r="E255" s="209"/>
      <c r="F255" s="15"/>
      <c r="G255" s="15"/>
      <c r="H255" s="121"/>
      <c r="I255" s="23">
        <v>266000</v>
      </c>
      <c r="J255" s="43">
        <v>1</v>
      </c>
      <c r="K255" s="15"/>
      <c r="L255" s="24"/>
      <c r="M255" s="31"/>
      <c r="N255" s="44"/>
      <c r="O255" s="83"/>
      <c r="P255" s="83">
        <f t="shared" si="59"/>
        <v>266000</v>
      </c>
      <c r="Q255" s="83"/>
      <c r="R255" s="197"/>
    </row>
    <row r="256" spans="1:18" s="26" customFormat="1" x14ac:dyDescent="0.25">
      <c r="A256" s="152" t="s">
        <v>177</v>
      </c>
      <c r="B256" s="158" t="s">
        <v>178</v>
      </c>
      <c r="C256" s="192">
        <v>42298</v>
      </c>
      <c r="D256" s="192">
        <f>DATE(YEAR(C256),MONTH(C256)+18,DAY(C256))</f>
        <v>42846</v>
      </c>
      <c r="E256" s="375"/>
      <c r="F256" s="192">
        <f>DATE(YEAR(C256)+4,MONTH(C256),DAY(C256))</f>
        <v>43759</v>
      </c>
      <c r="G256" s="154"/>
      <c r="H256" s="349">
        <v>360000</v>
      </c>
      <c r="I256" s="340"/>
      <c r="J256" s="341"/>
      <c r="K256" s="154"/>
      <c r="L256" s="342">
        <f>SUM(L257)</f>
        <v>0</v>
      </c>
      <c r="M256" s="252"/>
      <c r="N256" s="343"/>
      <c r="O256" s="344">
        <f>SUM(O257)</f>
        <v>0</v>
      </c>
      <c r="P256" s="193">
        <f>SUM(P257)</f>
        <v>360000</v>
      </c>
      <c r="Q256" s="344"/>
      <c r="R256" s="197"/>
    </row>
    <row r="257" spans="1:18" s="26" customFormat="1" x14ac:dyDescent="0.25">
      <c r="A257" s="47" t="s">
        <v>177</v>
      </c>
      <c r="B257" s="4"/>
      <c r="C257" s="15"/>
      <c r="D257" s="15"/>
      <c r="E257" s="209"/>
      <c r="F257" s="15"/>
      <c r="G257" s="15"/>
      <c r="H257" s="121"/>
      <c r="I257" s="23">
        <v>360000</v>
      </c>
      <c r="J257" s="43">
        <v>1</v>
      </c>
      <c r="K257" s="15"/>
      <c r="L257" s="24"/>
      <c r="M257" s="31"/>
      <c r="N257" s="44"/>
      <c r="O257" s="83"/>
      <c r="P257" s="83">
        <f t="shared" si="59"/>
        <v>360000</v>
      </c>
      <c r="Q257" s="83"/>
      <c r="R257" s="197"/>
    </row>
    <row r="258" spans="1:18" s="26" customFormat="1" x14ac:dyDescent="0.25">
      <c r="A258" s="152" t="s">
        <v>170</v>
      </c>
      <c r="B258" s="158" t="s">
        <v>172</v>
      </c>
      <c r="C258" s="192">
        <v>42320</v>
      </c>
      <c r="D258" s="192">
        <f>DATE(YEAR(C258),MONTH(C258)+18,DAY(C258))</f>
        <v>42867</v>
      </c>
      <c r="E258" s="375"/>
      <c r="F258" s="192">
        <f>DATE(YEAR(C258)+4,MONTH(C258),DAY(C258))</f>
        <v>43781</v>
      </c>
      <c r="G258" s="154"/>
      <c r="H258" s="349">
        <v>1100000</v>
      </c>
      <c r="I258" s="340"/>
      <c r="J258" s="341"/>
      <c r="K258" s="154"/>
      <c r="L258" s="159">
        <f>SUM(L259)</f>
        <v>0</v>
      </c>
      <c r="M258" s="252"/>
      <c r="N258" s="343"/>
      <c r="O258" s="344">
        <f>SUM(O259)</f>
        <v>0</v>
      </c>
      <c r="P258" s="205">
        <f>SUM(P259)</f>
        <v>1100000</v>
      </c>
      <c r="Q258" s="344"/>
      <c r="R258" s="197"/>
    </row>
    <row r="259" spans="1:18" s="26" customFormat="1" x14ac:dyDescent="0.25">
      <c r="A259" s="47" t="s">
        <v>170</v>
      </c>
      <c r="B259" s="4"/>
      <c r="C259" s="15"/>
      <c r="D259" s="15"/>
      <c r="E259" s="209"/>
      <c r="F259" s="15"/>
      <c r="G259" s="15"/>
      <c r="H259" s="121"/>
      <c r="I259" s="23">
        <v>1100000</v>
      </c>
      <c r="J259" s="43">
        <v>1</v>
      </c>
      <c r="K259" s="15"/>
      <c r="L259" s="24"/>
      <c r="M259" s="31"/>
      <c r="N259" s="44"/>
      <c r="O259" s="83"/>
      <c r="P259" s="83">
        <f t="shared" si="59"/>
        <v>1100000</v>
      </c>
      <c r="Q259" s="83"/>
      <c r="R259" s="197"/>
    </row>
    <row r="260" spans="1:18" s="26" customFormat="1" x14ac:dyDescent="0.25">
      <c r="A260" s="152" t="s">
        <v>171</v>
      </c>
      <c r="B260" s="158" t="s">
        <v>173</v>
      </c>
      <c r="C260" s="192">
        <v>42320</v>
      </c>
      <c r="D260" s="192">
        <f>DATE(YEAR(C260),MONTH(C260)+18,DAY(C260))</f>
        <v>42867</v>
      </c>
      <c r="E260" s="375"/>
      <c r="F260" s="192">
        <f>DATE(YEAR(C260)+4,MONTH(C260),DAY(C260))</f>
        <v>43781</v>
      </c>
      <c r="G260" s="154"/>
      <c r="H260" s="349">
        <v>360000</v>
      </c>
      <c r="I260" s="340"/>
      <c r="J260" s="341"/>
      <c r="K260" s="154"/>
      <c r="L260" s="159">
        <f>SUM(L261:L261)</f>
        <v>0</v>
      </c>
      <c r="M260" s="252"/>
      <c r="N260" s="343"/>
      <c r="O260" s="344">
        <f>SUM(O261:O261)</f>
        <v>0</v>
      </c>
      <c r="P260" s="205">
        <f>SUM(P261)</f>
        <v>360000</v>
      </c>
      <c r="Q260" s="344"/>
      <c r="R260" s="197"/>
    </row>
    <row r="261" spans="1:18" s="26" customFormat="1" x14ac:dyDescent="0.25">
      <c r="A261" s="47" t="s">
        <v>171</v>
      </c>
      <c r="B261" s="4"/>
      <c r="C261" s="15"/>
      <c r="D261" s="15"/>
      <c r="E261" s="209"/>
      <c r="F261" s="15"/>
      <c r="G261" s="15"/>
      <c r="H261" s="121"/>
      <c r="I261" s="23">
        <v>360000</v>
      </c>
      <c r="J261" s="43">
        <v>1</v>
      </c>
      <c r="K261" s="15"/>
      <c r="L261" s="24"/>
      <c r="M261" s="31"/>
      <c r="N261" s="44"/>
      <c r="O261" s="83"/>
      <c r="P261" s="83">
        <f t="shared" si="59"/>
        <v>360000</v>
      </c>
      <c r="Q261" s="83"/>
      <c r="R261" s="197"/>
    </row>
    <row r="262" spans="1:18" s="8" customFormat="1" x14ac:dyDescent="0.25">
      <c r="A262" s="50"/>
      <c r="B262" s="50"/>
      <c r="C262" s="50"/>
      <c r="D262" s="50"/>
      <c r="E262" s="214"/>
      <c r="F262" s="50"/>
      <c r="G262" s="50"/>
      <c r="H262" s="42">
        <f>H6+H23+H94+H97+H159+H54+H62+H34+H44+H70+H99+H107+H78+H84+H89+H114+H164+H225+H169+H176+H122+H130+H136+H178+H184+H142+H144+H149+H154+H193+H195+H208+H210+H212+H218+H227+H229+H231+H235+H242+H240+H233+H248+H250+H252+H258+H260+H254+H256</f>
        <v>23691187</v>
      </c>
      <c r="I262" s="42"/>
      <c r="J262" s="51"/>
      <c r="K262" s="52"/>
      <c r="L262" s="42">
        <f>L6+L23+L94+L97+L159+L54+L62+L34+L44+L70+L99+L107+L78+L84+L89+L114+L164+L225+L169+L176+L122+L130+L136+L178+L184+L142+L144+L149+L154+L193+L195+L208+L210+L212+L218+L227+L229+L231+L235+L242+L240+L233+L248+L250+L252+L258+L260+L254+L256</f>
        <v>13393075.020000001</v>
      </c>
      <c r="M262" s="88"/>
      <c r="N262" s="81"/>
      <c r="O262" s="84">
        <f>O6+O23+O94+O97+O159+O54+O62+O34+O44+O70+O99+O107+O78+O84+O89+O114+O164+O225+O169+O176+O122+O130+O136+O178+O184+O142+O144+O149+O154+O193+O195+O208+O210+O212+O218+O227+O229+O231+O235+O242+O240+O233+O248+O250+O252+O258+O260+O254+O256</f>
        <v>1198815.3999999999</v>
      </c>
      <c r="P262" s="84">
        <f>P6+P23+P94+P97+P159+P54+P62+P34+P44+P70+P99+P107+P78+P84+P89+P114+P164+P225+P169+P176+P122+P130+P136+P178+P184+P142+P144+P149+P154+P193+P195+P208+P210+P212+P218+P227+P229+P231+P235+P242+P240+P233+P248+P250+P252+P258+P260+P254+P256</f>
        <v>9203278.4800000004</v>
      </c>
      <c r="Q262" s="84"/>
      <c r="R262" s="201">
        <f>H262-(L262+O262+P262)</f>
        <v>-103981.90000000224</v>
      </c>
    </row>
    <row r="263" spans="1:18" x14ac:dyDescent="0.25">
      <c r="A263" s="77"/>
      <c r="B263" s="78"/>
      <c r="C263" s="78"/>
      <c r="D263" s="78"/>
      <c r="E263" s="215"/>
      <c r="F263" s="78"/>
      <c r="G263" s="78"/>
      <c r="H263" s="78"/>
      <c r="I263" s="78"/>
      <c r="J263" s="77"/>
      <c r="K263" s="78"/>
      <c r="L263" s="78"/>
      <c r="M263" s="89"/>
      <c r="N263" s="82"/>
      <c r="O263" s="516">
        <f>SUM(O262:P262)</f>
        <v>10402093.880000001</v>
      </c>
      <c r="P263" s="517"/>
    </row>
    <row r="264" spans="1:18" x14ac:dyDescent="0.25">
      <c r="I264" s="98"/>
    </row>
    <row r="267" spans="1:18" x14ac:dyDescent="0.25">
      <c r="I267" s="98"/>
      <c r="K267" s="98"/>
    </row>
  </sheetData>
  <autoFilter ref="A4:R263">
    <filterColumn colId="8" showButton="0"/>
    <filterColumn colId="9" showButton="0"/>
    <filterColumn colId="10" showButton="0"/>
    <filterColumn colId="11" showButton="0"/>
    <filterColumn colId="12" showButton="0"/>
    <filterColumn colId="14" showButton="0"/>
  </autoFilter>
  <mergeCells count="10">
    <mergeCell ref="D4:D5"/>
    <mergeCell ref="F4:F5"/>
    <mergeCell ref="O263:P263"/>
    <mergeCell ref="A2:O2"/>
    <mergeCell ref="A4:A5"/>
    <mergeCell ref="B4:B5"/>
    <mergeCell ref="C4:C5"/>
    <mergeCell ref="H4:H5"/>
    <mergeCell ref="I4:N4"/>
    <mergeCell ref="O4:P4"/>
  </mergeCells>
  <conditionalFormatting sqref="E6">
    <cfRule type="cellIs" dxfId="89" priority="101" operator="greaterThan">
      <formula>$D$6</formula>
    </cfRule>
  </conditionalFormatting>
  <conditionalFormatting sqref="E23">
    <cfRule type="cellIs" dxfId="88" priority="100" operator="greaterThan">
      <formula>$D$23</formula>
    </cfRule>
  </conditionalFormatting>
  <conditionalFormatting sqref="E94">
    <cfRule type="cellIs" dxfId="87" priority="99" operator="greaterThan">
      <formula>$D$94</formula>
    </cfRule>
  </conditionalFormatting>
  <conditionalFormatting sqref="E97">
    <cfRule type="cellIs" dxfId="86" priority="98" operator="greaterThan">
      <formula>$D$97</formula>
    </cfRule>
  </conditionalFormatting>
  <conditionalFormatting sqref="E159">
    <cfRule type="cellIs" dxfId="85" priority="97" operator="greaterThan">
      <formula>$D$159</formula>
    </cfRule>
  </conditionalFormatting>
  <conditionalFormatting sqref="E54">
    <cfRule type="cellIs" dxfId="84" priority="96" operator="greaterThan">
      <formula>$D$54</formula>
    </cfRule>
  </conditionalFormatting>
  <conditionalFormatting sqref="E62">
    <cfRule type="cellIs" dxfId="83" priority="95" operator="greaterThan">
      <formula>$D$62</formula>
    </cfRule>
  </conditionalFormatting>
  <conditionalFormatting sqref="E34">
    <cfRule type="cellIs" dxfId="82" priority="94" operator="greaterThan">
      <formula>$D$34</formula>
    </cfRule>
  </conditionalFormatting>
  <conditionalFormatting sqref="E44">
    <cfRule type="cellIs" dxfId="81" priority="93" operator="greaterThan">
      <formula>$D$44</formula>
    </cfRule>
  </conditionalFormatting>
  <conditionalFormatting sqref="E70">
    <cfRule type="cellIs" dxfId="80" priority="92" operator="greaterThan">
      <formula>$D$70</formula>
    </cfRule>
  </conditionalFormatting>
  <conditionalFormatting sqref="E99">
    <cfRule type="cellIs" dxfId="79" priority="91" operator="greaterThan">
      <formula>$D$99</formula>
    </cfRule>
  </conditionalFormatting>
  <conditionalFormatting sqref="E107">
    <cfRule type="cellIs" dxfId="78" priority="90" operator="greaterThan">
      <formula>$D$107</formula>
    </cfRule>
  </conditionalFormatting>
  <conditionalFormatting sqref="E78">
    <cfRule type="cellIs" dxfId="77" priority="89" operator="greaterThan">
      <formula>$D$78</formula>
    </cfRule>
  </conditionalFormatting>
  <conditionalFormatting sqref="E84">
    <cfRule type="cellIs" dxfId="76" priority="88" operator="greaterThan">
      <formula>$D$84</formula>
    </cfRule>
  </conditionalFormatting>
  <conditionalFormatting sqref="E89">
    <cfRule type="cellIs" dxfId="75" priority="87" operator="greaterThan">
      <formula>$D$89</formula>
    </cfRule>
  </conditionalFormatting>
  <conditionalFormatting sqref="E114">
    <cfRule type="cellIs" dxfId="74" priority="86" operator="greaterThan">
      <formula>$D$114</formula>
    </cfRule>
  </conditionalFormatting>
  <conditionalFormatting sqref="E164">
    <cfRule type="cellIs" dxfId="73" priority="85" operator="greaterThan">
      <formula>$D$164</formula>
    </cfRule>
  </conditionalFormatting>
  <conditionalFormatting sqref="E169">
    <cfRule type="cellIs" dxfId="72" priority="82" operator="greaterThan">
      <formula>$D$169</formula>
    </cfRule>
  </conditionalFormatting>
  <conditionalFormatting sqref="E176">
    <cfRule type="cellIs" dxfId="71" priority="81" operator="greaterThan">
      <formula>$D$176</formula>
    </cfRule>
  </conditionalFormatting>
  <conditionalFormatting sqref="E122">
    <cfRule type="cellIs" dxfId="70" priority="80" operator="greaterThan">
      <formula>$D$122</formula>
    </cfRule>
  </conditionalFormatting>
  <conditionalFormatting sqref="E130">
    <cfRule type="cellIs" dxfId="69" priority="79" operator="greaterThan">
      <formula>$D$130</formula>
    </cfRule>
  </conditionalFormatting>
  <conditionalFormatting sqref="E136">
    <cfRule type="cellIs" dxfId="68" priority="78" operator="greaterThan">
      <formula>$D$136</formula>
    </cfRule>
  </conditionalFormatting>
  <conditionalFormatting sqref="E178">
    <cfRule type="cellIs" dxfId="67" priority="77" operator="greaterThan">
      <formula>$D$178</formula>
    </cfRule>
  </conditionalFormatting>
  <conditionalFormatting sqref="E184">
    <cfRule type="cellIs" dxfId="66" priority="76" operator="greaterThan">
      <formula>$D$184</formula>
    </cfRule>
  </conditionalFormatting>
  <conditionalFormatting sqref="E142">
    <cfRule type="cellIs" dxfId="65" priority="75" operator="greaterThan">
      <formula>$D$142</formula>
    </cfRule>
  </conditionalFormatting>
  <conditionalFormatting sqref="E144">
    <cfRule type="cellIs" dxfId="64" priority="74" operator="greaterThan">
      <formula>$D$144</formula>
    </cfRule>
  </conditionalFormatting>
  <conditionalFormatting sqref="E149">
    <cfRule type="cellIs" dxfId="63" priority="73" operator="greaterThan">
      <formula>$D$149</formula>
    </cfRule>
  </conditionalFormatting>
  <conditionalFormatting sqref="E154">
    <cfRule type="cellIs" dxfId="62" priority="72" operator="greaterThan">
      <formula>$D$154</formula>
    </cfRule>
  </conditionalFormatting>
  <conditionalFormatting sqref="E193">
    <cfRule type="cellIs" dxfId="61" priority="71" operator="greaterThan">
      <formula>$D$193</formula>
    </cfRule>
  </conditionalFormatting>
  <conditionalFormatting sqref="E195">
    <cfRule type="cellIs" dxfId="60" priority="70" operator="greaterThan">
      <formula>$D$195</formula>
    </cfRule>
  </conditionalFormatting>
  <conditionalFormatting sqref="E208">
    <cfRule type="cellIs" dxfId="59" priority="69" operator="greaterThan">
      <formula>$D$208</formula>
    </cfRule>
  </conditionalFormatting>
  <conditionalFormatting sqref="E210">
    <cfRule type="cellIs" dxfId="58" priority="68" operator="greaterThan">
      <formula>D210</formula>
    </cfRule>
  </conditionalFormatting>
  <conditionalFormatting sqref="G6">
    <cfRule type="cellIs" dxfId="57" priority="60" operator="greaterThan">
      <formula>$F$6</formula>
    </cfRule>
  </conditionalFormatting>
  <conditionalFormatting sqref="G23">
    <cfRule type="cellIs" dxfId="56" priority="59" operator="greaterThan">
      <formula>F23</formula>
    </cfRule>
  </conditionalFormatting>
  <conditionalFormatting sqref="G34">
    <cfRule type="cellIs" dxfId="55" priority="58" operator="greaterThan">
      <formula>$F$6</formula>
    </cfRule>
  </conditionalFormatting>
  <conditionalFormatting sqref="G44">
    <cfRule type="cellIs" dxfId="54" priority="57" operator="greaterThan">
      <formula>$F$6</formula>
    </cfRule>
  </conditionalFormatting>
  <conditionalFormatting sqref="G54">
    <cfRule type="cellIs" dxfId="53" priority="55" operator="greaterThan">
      <formula>$F$6</formula>
    </cfRule>
  </conditionalFormatting>
  <conditionalFormatting sqref="G62">
    <cfRule type="cellIs" dxfId="52" priority="54" operator="greaterThan">
      <formula>$F$6</formula>
    </cfRule>
  </conditionalFormatting>
  <conditionalFormatting sqref="G70">
    <cfRule type="cellIs" dxfId="51" priority="53" operator="greaterThan">
      <formula>$F$6</formula>
    </cfRule>
  </conditionalFormatting>
  <conditionalFormatting sqref="G78">
    <cfRule type="cellIs" dxfId="50" priority="52" operator="greaterThan">
      <formula>$F$6</formula>
    </cfRule>
  </conditionalFormatting>
  <conditionalFormatting sqref="G84">
    <cfRule type="cellIs" dxfId="49" priority="51" operator="greaterThan">
      <formula>$F$6</formula>
    </cfRule>
  </conditionalFormatting>
  <conditionalFormatting sqref="G89">
    <cfRule type="cellIs" dxfId="48" priority="50" operator="greaterThan">
      <formula>$F$6</formula>
    </cfRule>
  </conditionalFormatting>
  <conditionalFormatting sqref="G94">
    <cfRule type="cellIs" dxfId="47" priority="49" operator="greaterThan">
      <formula>F94</formula>
    </cfRule>
  </conditionalFormatting>
  <conditionalFormatting sqref="E212">
    <cfRule type="cellIs" dxfId="46" priority="48" operator="greaterThan">
      <formula>D212</formula>
    </cfRule>
  </conditionalFormatting>
  <conditionalFormatting sqref="E218">
    <cfRule type="cellIs" dxfId="45" priority="47" operator="greaterThan">
      <formula>D218</formula>
    </cfRule>
  </conditionalFormatting>
  <conditionalFormatting sqref="E225">
    <cfRule type="cellIs" dxfId="44" priority="46" operator="greaterThan">
      <formula>D225</formula>
    </cfRule>
  </conditionalFormatting>
  <conditionalFormatting sqref="E227">
    <cfRule type="cellIs" dxfId="43" priority="45" operator="greaterThan">
      <formula>D227</formula>
    </cfRule>
  </conditionalFormatting>
  <conditionalFormatting sqref="E229">
    <cfRule type="cellIs" dxfId="42" priority="44" operator="greaterThan">
      <formula>D229</formula>
    </cfRule>
  </conditionalFormatting>
  <conditionalFormatting sqref="E231">
    <cfRule type="cellIs" dxfId="41" priority="43" operator="greaterThan">
      <formula>D231</formula>
    </cfRule>
  </conditionalFormatting>
  <conditionalFormatting sqref="E235">
    <cfRule type="cellIs" dxfId="40" priority="42" operator="greaterThan">
      <formula>D235</formula>
    </cfRule>
  </conditionalFormatting>
  <conditionalFormatting sqref="E242">
    <cfRule type="cellIs" dxfId="39" priority="40" operator="greaterThan">
      <formula>D242</formula>
    </cfRule>
  </conditionalFormatting>
  <conditionalFormatting sqref="G97">
    <cfRule type="cellIs" dxfId="38" priority="39" operator="greaterThan">
      <formula>F97</formula>
    </cfRule>
  </conditionalFormatting>
  <conditionalFormatting sqref="G99">
    <cfRule type="cellIs" dxfId="37" priority="38" operator="greaterThan">
      <formula>F99</formula>
    </cfRule>
  </conditionalFormatting>
  <conditionalFormatting sqref="G107">
    <cfRule type="cellIs" dxfId="36" priority="37" operator="greaterThan">
      <formula>F107</formula>
    </cfRule>
  </conditionalFormatting>
  <conditionalFormatting sqref="G114">
    <cfRule type="cellIs" dxfId="35" priority="36" operator="greaterThan">
      <formula>F114</formula>
    </cfRule>
  </conditionalFormatting>
  <conditionalFormatting sqref="G122">
    <cfRule type="cellIs" dxfId="34" priority="35" operator="greaterThan">
      <formula>F122</formula>
    </cfRule>
  </conditionalFormatting>
  <conditionalFormatting sqref="G130">
    <cfRule type="cellIs" dxfId="33" priority="34" operator="greaterThan">
      <formula>F130</formula>
    </cfRule>
  </conditionalFormatting>
  <conditionalFormatting sqref="G136">
    <cfRule type="cellIs" dxfId="32" priority="33" operator="greaterThan">
      <formula>F136</formula>
    </cfRule>
  </conditionalFormatting>
  <conditionalFormatting sqref="G142">
    <cfRule type="cellIs" dxfId="31" priority="32" operator="greaterThan">
      <formula>F142</formula>
    </cfRule>
  </conditionalFormatting>
  <conditionalFormatting sqref="G144">
    <cfRule type="cellIs" dxfId="30" priority="31" operator="greaterThan">
      <formula>F144</formula>
    </cfRule>
  </conditionalFormatting>
  <conditionalFormatting sqref="G149">
    <cfRule type="cellIs" dxfId="29" priority="30" operator="greaterThan">
      <formula>F149</formula>
    </cfRule>
  </conditionalFormatting>
  <conditionalFormatting sqref="G154">
    <cfRule type="cellIs" dxfId="28" priority="29" operator="greaterThan">
      <formula>F154</formula>
    </cfRule>
  </conditionalFormatting>
  <conditionalFormatting sqref="G159">
    <cfRule type="cellIs" dxfId="27" priority="28" operator="greaterThan">
      <formula>F159</formula>
    </cfRule>
  </conditionalFormatting>
  <conditionalFormatting sqref="G164">
    <cfRule type="cellIs" dxfId="26" priority="27" operator="greaterThan">
      <formula>F164</formula>
    </cfRule>
  </conditionalFormatting>
  <conditionalFormatting sqref="G169">
    <cfRule type="cellIs" dxfId="25" priority="26" operator="greaterThan">
      <formula>F169</formula>
    </cfRule>
  </conditionalFormatting>
  <conditionalFormatting sqref="G176">
    <cfRule type="cellIs" dxfId="24" priority="25" operator="greaterThan">
      <formula>F176</formula>
    </cfRule>
  </conditionalFormatting>
  <conditionalFormatting sqref="G178">
    <cfRule type="cellIs" dxfId="23" priority="24" operator="greaterThan">
      <formula>F178</formula>
    </cfRule>
  </conditionalFormatting>
  <conditionalFormatting sqref="G184">
    <cfRule type="cellIs" dxfId="22" priority="23" operator="greaterThan">
      <formula>F184</formula>
    </cfRule>
  </conditionalFormatting>
  <conditionalFormatting sqref="G193">
    <cfRule type="cellIs" dxfId="21" priority="22" operator="greaterThan">
      <formula>F193</formula>
    </cfRule>
  </conditionalFormatting>
  <conditionalFormatting sqref="G195">
    <cfRule type="cellIs" dxfId="20" priority="21" operator="greaterThan">
      <formula>F195</formula>
    </cfRule>
  </conditionalFormatting>
  <conditionalFormatting sqref="G208">
    <cfRule type="cellIs" dxfId="19" priority="20" operator="greaterThan">
      <formula>F208</formula>
    </cfRule>
  </conditionalFormatting>
  <conditionalFormatting sqref="G210">
    <cfRule type="cellIs" dxfId="18" priority="19" operator="greaterThan">
      <formula>F210</formula>
    </cfRule>
  </conditionalFormatting>
  <conditionalFormatting sqref="G212">
    <cfRule type="cellIs" dxfId="17" priority="18" operator="greaterThan">
      <formula>F212</formula>
    </cfRule>
  </conditionalFormatting>
  <conditionalFormatting sqref="G218">
    <cfRule type="cellIs" dxfId="16" priority="17" operator="greaterThan">
      <formula>F218</formula>
    </cfRule>
  </conditionalFormatting>
  <conditionalFormatting sqref="G225">
    <cfRule type="cellIs" dxfId="15" priority="16" operator="greaterThan">
      <formula>F225</formula>
    </cfRule>
  </conditionalFormatting>
  <conditionalFormatting sqref="G227">
    <cfRule type="cellIs" dxfId="14" priority="15" operator="greaterThan">
      <formula>F227</formula>
    </cfRule>
  </conditionalFormatting>
  <conditionalFormatting sqref="G229">
    <cfRule type="cellIs" dxfId="13" priority="14" operator="greaterThan">
      <formula>F229</formula>
    </cfRule>
  </conditionalFormatting>
  <conditionalFormatting sqref="G231">
    <cfRule type="cellIs" dxfId="12" priority="13" operator="greaterThan">
      <formula>F231</formula>
    </cfRule>
  </conditionalFormatting>
  <conditionalFormatting sqref="G235">
    <cfRule type="cellIs" dxfId="11" priority="12" operator="greaterThan">
      <formula>F235</formula>
    </cfRule>
  </conditionalFormatting>
  <conditionalFormatting sqref="G242">
    <cfRule type="cellIs" dxfId="10" priority="11" operator="greaterThan">
      <formula>F242</formula>
    </cfRule>
  </conditionalFormatting>
  <conditionalFormatting sqref="E233">
    <cfRule type="cellIs" dxfId="9" priority="10" operator="greaterThan">
      <formula>D233</formula>
    </cfRule>
  </conditionalFormatting>
  <conditionalFormatting sqref="G233">
    <cfRule type="cellIs" dxfId="8" priority="9" operator="greaterThan">
      <formula>F233</formula>
    </cfRule>
  </conditionalFormatting>
  <conditionalFormatting sqref="E240">
    <cfRule type="cellIs" dxfId="7" priority="8" operator="greaterThan">
      <formula>D240</formula>
    </cfRule>
  </conditionalFormatting>
  <conditionalFormatting sqref="G240">
    <cfRule type="cellIs" dxfId="6" priority="7" operator="greaterThan">
      <formula>F240</formula>
    </cfRule>
  </conditionalFormatting>
  <conditionalFormatting sqref="E248">
    <cfRule type="cellIs" dxfId="5" priority="6" operator="greaterThan">
      <formula>D248</formula>
    </cfRule>
  </conditionalFormatting>
  <conditionalFormatting sqref="G248">
    <cfRule type="cellIs" dxfId="4" priority="5" operator="greaterThan">
      <formula>F248</formula>
    </cfRule>
  </conditionalFormatting>
  <conditionalFormatting sqref="E250">
    <cfRule type="cellIs" dxfId="3" priority="4" operator="greaterThan">
      <formula>D250</formula>
    </cfRule>
  </conditionalFormatting>
  <conditionalFormatting sqref="G250">
    <cfRule type="cellIs" dxfId="2" priority="3" operator="greaterThan">
      <formula>F250</formula>
    </cfRule>
  </conditionalFormatting>
  <conditionalFormatting sqref="E188">
    <cfRule type="cellIs" dxfId="1" priority="2" operator="greaterThan">
      <formula>$D$184</formula>
    </cfRule>
  </conditionalFormatting>
  <conditionalFormatting sqref="G188">
    <cfRule type="cellIs" dxfId="0" priority="1" operator="greaterThan">
      <formula>F188</formula>
    </cfRule>
  </conditionalFormatting>
  <pageMargins left="0.7" right="0.7" top="0.75" bottom="0.75" header="0.3" footer="0.3"/>
  <pageSetup paperSize="9" scale="32" orientation="portrait" r:id="rId1"/>
  <rowBreaks count="1" manualBreakCount="1">
    <brk id="168" max="17" man="1"/>
  </rowBreaks>
  <colBreaks count="1" manualBreakCount="1">
    <brk id="18" max="25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2:S188"/>
  <sheetViews>
    <sheetView tabSelected="1" view="pageBreakPreview" zoomScaleNormal="70" zoomScaleSheetLayoutView="100" workbookViewId="0">
      <pane xSplit="1" ySplit="5" topLeftCell="E180" activePane="bottomRight" state="frozen"/>
      <selection pane="topRight" activeCell="B1" sqref="B1"/>
      <selection pane="bottomLeft" activeCell="A6" sqref="A6"/>
      <selection pane="bottomRight" activeCell="H137" sqref="H137"/>
    </sheetView>
  </sheetViews>
  <sheetFormatPr baseColWidth="10" defaultColWidth="11.375" defaultRowHeight="12.25" x14ac:dyDescent="0.25"/>
  <cols>
    <col min="1" max="1" width="31.625" style="6" bestFit="1" customWidth="1"/>
    <col min="2" max="2" width="24.25" style="6" customWidth="1"/>
    <col min="3" max="3" width="14" style="1" customWidth="1"/>
    <col min="4" max="4" width="14.625" style="1" customWidth="1"/>
    <col min="5" max="5" width="14.25" style="1" customWidth="1"/>
    <col min="6" max="6" width="14.375" style="1" customWidth="1"/>
    <col min="7" max="7" width="16" style="1" customWidth="1"/>
    <col min="8" max="8" width="16.375" style="1" customWidth="1"/>
    <col min="9" max="9" width="14.375" style="1" customWidth="1"/>
    <col min="10" max="10" width="4.125" style="6" bestFit="1" customWidth="1"/>
    <col min="11" max="11" width="10.375" style="1" bestFit="1" customWidth="1"/>
    <col min="12" max="12" width="16" style="1" customWidth="1"/>
    <col min="13" max="13" width="10.375" style="85" bestFit="1" customWidth="1"/>
    <col min="14" max="14" width="18.625" style="79" bestFit="1" customWidth="1"/>
    <col min="15" max="15" width="17.625" style="1" customWidth="1"/>
    <col min="16" max="17" width="18.75" style="1" customWidth="1"/>
    <col min="18" max="18" width="13.375" style="195" bestFit="1" customWidth="1"/>
    <col min="19" max="16384" width="11.375" style="1"/>
  </cols>
  <sheetData>
    <row r="2" spans="1:19" x14ac:dyDescent="0.25">
      <c r="A2" s="510" t="s">
        <v>117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9">
        <f ca="1">TODAY()</f>
        <v>42435</v>
      </c>
      <c r="Q2" s="9"/>
      <c r="R2" s="196"/>
    </row>
    <row r="3" spans="1:19" x14ac:dyDescent="0.25">
      <c r="R3" s="196"/>
    </row>
    <row r="4" spans="1:19" s="2" customFormat="1" x14ac:dyDescent="0.25">
      <c r="A4" s="324"/>
      <c r="B4" s="434"/>
      <c r="C4" s="323"/>
      <c r="D4" s="149"/>
      <c r="E4" s="149"/>
      <c r="F4" s="149"/>
      <c r="G4" s="149"/>
      <c r="H4" s="323"/>
      <c r="I4" s="507" t="s">
        <v>4</v>
      </c>
      <c r="J4" s="508"/>
      <c r="K4" s="508"/>
      <c r="L4" s="508"/>
      <c r="M4" s="508"/>
      <c r="N4" s="509"/>
      <c r="O4" s="515" t="s">
        <v>13</v>
      </c>
      <c r="P4" s="513"/>
      <c r="Q4" s="3" t="s">
        <v>116</v>
      </c>
      <c r="R4" s="196"/>
      <c r="S4" s="65"/>
    </row>
    <row r="5" spans="1:19" s="282" customFormat="1" ht="24.45" x14ac:dyDescent="0.2">
      <c r="A5" s="325" t="s">
        <v>2</v>
      </c>
      <c r="B5" s="435"/>
      <c r="C5" s="207" t="s">
        <v>21</v>
      </c>
      <c r="D5" s="207" t="s">
        <v>130</v>
      </c>
      <c r="E5" s="207" t="s">
        <v>131</v>
      </c>
      <c r="F5" s="207" t="s">
        <v>129</v>
      </c>
      <c r="G5" s="207" t="s">
        <v>120</v>
      </c>
      <c r="H5" s="206" t="s">
        <v>12</v>
      </c>
      <c r="I5" s="326" t="s">
        <v>1</v>
      </c>
      <c r="J5" s="327" t="s">
        <v>3</v>
      </c>
      <c r="K5" s="327" t="s">
        <v>15</v>
      </c>
      <c r="L5" s="328" t="s">
        <v>14</v>
      </c>
      <c r="M5" s="329" t="s">
        <v>15</v>
      </c>
      <c r="N5" s="330" t="s">
        <v>18</v>
      </c>
      <c r="O5" s="331" t="s">
        <v>20</v>
      </c>
      <c r="P5" s="331" t="s">
        <v>19</v>
      </c>
      <c r="Q5" s="331"/>
      <c r="R5" s="332"/>
    </row>
    <row r="6" spans="1:19" s="120" customFormat="1" ht="12.25" customHeight="1" x14ac:dyDescent="0.25">
      <c r="A6" s="287" t="s">
        <v>83</v>
      </c>
      <c r="B6" s="436"/>
      <c r="C6" s="290">
        <v>40506</v>
      </c>
      <c r="D6" s="290">
        <f>DATE(YEAR(C6)+2,MONTH(C6),DAY(C6))</f>
        <v>41237</v>
      </c>
      <c r="E6" s="290">
        <v>40945</v>
      </c>
      <c r="F6" s="290">
        <f>DATE(YEAR(E6)+4,MONTH(E6),DAY(E6))</f>
        <v>42406</v>
      </c>
      <c r="G6" s="290">
        <v>41669</v>
      </c>
      <c r="H6" s="292">
        <v>555000</v>
      </c>
      <c r="I6" s="293"/>
      <c r="J6" s="350"/>
      <c r="K6" s="290"/>
      <c r="L6" s="296">
        <f>SUM(L7:L12)</f>
        <v>555000</v>
      </c>
      <c r="M6" s="289"/>
      <c r="N6" s="297"/>
      <c r="O6" s="351">
        <f>SUM(O7:O12)</f>
        <v>0</v>
      </c>
      <c r="P6" s="351">
        <f>SUM(P7:P12)</f>
        <v>0</v>
      </c>
      <c r="Q6" s="351"/>
      <c r="R6" s="197">
        <f>H6-(L6+O6+P6)</f>
        <v>0</v>
      </c>
    </row>
    <row r="7" spans="1:19" s="26" customFormat="1" ht="12.25" customHeight="1" x14ac:dyDescent="0.25">
      <c r="A7" s="298" t="s">
        <v>83</v>
      </c>
      <c r="B7" s="437"/>
      <c r="C7" s="300"/>
      <c r="D7" s="300"/>
      <c r="E7" s="300"/>
      <c r="F7" s="300"/>
      <c r="G7" s="300"/>
      <c r="H7" s="363"/>
      <c r="I7" s="303">
        <v>242850</v>
      </c>
      <c r="J7" s="304">
        <v>1</v>
      </c>
      <c r="K7" s="300">
        <v>40648</v>
      </c>
      <c r="L7" s="308">
        <v>242850</v>
      </c>
      <c r="M7" s="305">
        <v>40787</v>
      </c>
      <c r="N7" s="306">
        <f t="shared" ref="N7:N12" si="0">IF(M7="",$P$2-K7,M7-K7)</f>
        <v>139</v>
      </c>
      <c r="O7" s="307" t="str">
        <f t="shared" ref="O7:O12" si="1">IF(L7="en attente",I7,"")</f>
        <v/>
      </c>
      <c r="P7" s="307">
        <f t="shared" ref="P7:P12" si="2">IF(K7="",I7-L7,0)</f>
        <v>0</v>
      </c>
      <c r="Q7" s="307"/>
      <c r="R7" s="197"/>
    </row>
    <row r="8" spans="1:19" s="26" customFormat="1" ht="12.25" customHeight="1" x14ac:dyDescent="0.25">
      <c r="A8" s="298" t="s">
        <v>83</v>
      </c>
      <c r="B8" s="437"/>
      <c r="C8" s="300"/>
      <c r="D8" s="300"/>
      <c r="E8" s="300"/>
      <c r="F8" s="300"/>
      <c r="G8" s="300"/>
      <c r="H8" s="364"/>
      <c r="I8" s="303">
        <v>45966.39</v>
      </c>
      <c r="J8" s="304">
        <v>2</v>
      </c>
      <c r="K8" s="300">
        <v>41073</v>
      </c>
      <c r="L8" s="308">
        <v>45966.39</v>
      </c>
      <c r="M8" s="305">
        <v>41170</v>
      </c>
      <c r="N8" s="306">
        <f t="shared" si="0"/>
        <v>97</v>
      </c>
      <c r="O8" s="307" t="str">
        <f t="shared" si="1"/>
        <v/>
      </c>
      <c r="P8" s="307">
        <f t="shared" si="2"/>
        <v>0</v>
      </c>
      <c r="Q8" s="307"/>
      <c r="R8" s="197"/>
    </row>
    <row r="9" spans="1:19" s="26" customFormat="1" ht="12.25" customHeight="1" x14ac:dyDescent="0.25">
      <c r="A9" s="298" t="s">
        <v>83</v>
      </c>
      <c r="B9" s="437"/>
      <c r="C9" s="300"/>
      <c r="D9" s="300"/>
      <c r="E9" s="300"/>
      <c r="F9" s="300"/>
      <c r="G9" s="300"/>
      <c r="H9" s="364"/>
      <c r="I9" s="303">
        <v>45329.07</v>
      </c>
      <c r="J9" s="304">
        <v>3</v>
      </c>
      <c r="K9" s="300">
        <v>41143</v>
      </c>
      <c r="L9" s="308">
        <v>45329.07</v>
      </c>
      <c r="M9" s="305">
        <v>41187</v>
      </c>
      <c r="N9" s="306">
        <f t="shared" si="0"/>
        <v>44</v>
      </c>
      <c r="O9" s="307" t="str">
        <f t="shared" si="1"/>
        <v/>
      </c>
      <c r="P9" s="307">
        <f t="shared" si="2"/>
        <v>0</v>
      </c>
      <c r="Q9" s="307"/>
      <c r="R9" s="197"/>
    </row>
    <row r="10" spans="1:19" s="26" customFormat="1" ht="12.25" customHeight="1" x14ac:dyDescent="0.25">
      <c r="A10" s="298" t="s">
        <v>83</v>
      </c>
      <c r="B10" s="437"/>
      <c r="C10" s="300"/>
      <c r="D10" s="300"/>
      <c r="E10" s="300"/>
      <c r="F10" s="300"/>
      <c r="G10" s="300"/>
      <c r="H10" s="364"/>
      <c r="I10" s="303">
        <v>70348.05</v>
      </c>
      <c r="J10" s="304">
        <v>4</v>
      </c>
      <c r="K10" s="300">
        <v>41192</v>
      </c>
      <c r="L10" s="308">
        <v>70348.05</v>
      </c>
      <c r="M10" s="305">
        <v>41243</v>
      </c>
      <c r="N10" s="306">
        <f t="shared" si="0"/>
        <v>51</v>
      </c>
      <c r="O10" s="307" t="str">
        <f t="shared" si="1"/>
        <v/>
      </c>
      <c r="P10" s="307">
        <f t="shared" si="2"/>
        <v>0</v>
      </c>
      <c r="Q10" s="307"/>
      <c r="R10" s="197"/>
    </row>
    <row r="11" spans="1:19" s="26" customFormat="1" ht="12.25" customHeight="1" x14ac:dyDescent="0.25">
      <c r="A11" s="298" t="s">
        <v>83</v>
      </c>
      <c r="B11" s="437"/>
      <c r="C11" s="300"/>
      <c r="D11" s="300"/>
      <c r="E11" s="300"/>
      <c r="F11" s="300"/>
      <c r="G11" s="300"/>
      <c r="H11" s="363"/>
      <c r="I11" s="303">
        <v>40785.4</v>
      </c>
      <c r="J11" s="304">
        <v>5</v>
      </c>
      <c r="K11" s="300">
        <v>41387</v>
      </c>
      <c r="L11" s="308">
        <v>40785.4</v>
      </c>
      <c r="M11" s="305">
        <v>41551</v>
      </c>
      <c r="N11" s="306">
        <f t="shared" si="0"/>
        <v>164</v>
      </c>
      <c r="O11" s="307" t="str">
        <f t="shared" si="1"/>
        <v/>
      </c>
      <c r="P11" s="307">
        <f t="shared" si="2"/>
        <v>0</v>
      </c>
      <c r="Q11" s="307"/>
      <c r="R11" s="197"/>
    </row>
    <row r="12" spans="1:19" s="26" customFormat="1" ht="12.25" customHeight="1" x14ac:dyDescent="0.25">
      <c r="A12" s="298" t="s">
        <v>83</v>
      </c>
      <c r="B12" s="437"/>
      <c r="C12" s="300"/>
      <c r="D12" s="300"/>
      <c r="E12" s="300"/>
      <c r="F12" s="300"/>
      <c r="G12" s="300"/>
      <c r="H12" s="363"/>
      <c r="I12" s="363">
        <v>109721.09</v>
      </c>
      <c r="J12" s="304">
        <v>6</v>
      </c>
      <c r="K12" s="300">
        <v>41957</v>
      </c>
      <c r="L12" s="308">
        <v>109721.09</v>
      </c>
      <c r="M12" s="305">
        <v>42104</v>
      </c>
      <c r="N12" s="306">
        <f t="shared" si="0"/>
        <v>147</v>
      </c>
      <c r="O12" s="307" t="str">
        <f t="shared" si="1"/>
        <v/>
      </c>
      <c r="P12" s="307">
        <f t="shared" si="2"/>
        <v>0</v>
      </c>
      <c r="Q12" s="307"/>
      <c r="R12" s="197"/>
    </row>
    <row r="13" spans="1:19" s="120" customFormat="1" ht="12.25" customHeight="1" x14ac:dyDescent="0.25">
      <c r="A13" s="287" t="s">
        <v>77</v>
      </c>
      <c r="B13" s="436"/>
      <c r="C13" s="290">
        <v>40491</v>
      </c>
      <c r="D13" s="290">
        <f>DATE(YEAR(C13)+2,MONTH(C13),DAY(C13))</f>
        <v>41222</v>
      </c>
      <c r="E13" s="290">
        <v>40939</v>
      </c>
      <c r="F13" s="290">
        <f>DATE(YEAR(E13)+4,MONTH(E13),DAY(E13))</f>
        <v>42400</v>
      </c>
      <c r="G13" s="290">
        <v>41709</v>
      </c>
      <c r="H13" s="292">
        <v>400000</v>
      </c>
      <c r="I13" s="293"/>
      <c r="J13" s="350"/>
      <c r="K13" s="290"/>
      <c r="L13" s="296">
        <f>SUM(L14:L19)</f>
        <v>400000</v>
      </c>
      <c r="M13" s="289"/>
      <c r="N13" s="297"/>
      <c r="O13" s="351">
        <f>SUM(O14:O19)</f>
        <v>0</v>
      </c>
      <c r="P13" s="351">
        <f>SUM(P14:P19)</f>
        <v>0</v>
      </c>
      <c r="Q13" s="351"/>
      <c r="R13" s="197">
        <f>H13-(L13+O13+P13)</f>
        <v>0</v>
      </c>
    </row>
    <row r="14" spans="1:19" s="26" customFormat="1" ht="12.25" customHeight="1" x14ac:dyDescent="0.25">
      <c r="A14" s="352" t="s">
        <v>77</v>
      </c>
      <c r="B14" s="438"/>
      <c r="C14" s="300"/>
      <c r="D14" s="300"/>
      <c r="E14" s="300"/>
      <c r="F14" s="300"/>
      <c r="G14" s="300"/>
      <c r="H14" s="302">
        <f>I14/$H$13</f>
        <v>0.23730000000000001</v>
      </c>
      <c r="I14" s="303">
        <v>94920</v>
      </c>
      <c r="J14" s="304">
        <v>1</v>
      </c>
      <c r="K14" s="300">
        <v>40561</v>
      </c>
      <c r="L14" s="308">
        <v>94920</v>
      </c>
      <c r="M14" s="305">
        <v>40877</v>
      </c>
      <c r="N14" s="306">
        <f t="shared" ref="N14:N55" si="3">IF(M14="",$P$2-K14,M14-K14)</f>
        <v>316</v>
      </c>
      <c r="O14" s="307" t="str">
        <f t="shared" ref="O14:O31" si="4">IF(L14="en attente",I14,"")</f>
        <v/>
      </c>
      <c r="P14" s="307">
        <f t="shared" ref="P14:P21" si="5">IF(K14="",I14-L14,0)</f>
        <v>0</v>
      </c>
      <c r="Q14" s="307"/>
      <c r="R14" s="197"/>
    </row>
    <row r="15" spans="1:19" s="26" customFormat="1" ht="12.25" customHeight="1" x14ac:dyDescent="0.25">
      <c r="A15" s="298" t="s">
        <v>77</v>
      </c>
      <c r="B15" s="437"/>
      <c r="C15" s="300"/>
      <c r="D15" s="300"/>
      <c r="E15" s="300"/>
      <c r="F15" s="300"/>
      <c r="G15" s="300"/>
      <c r="H15" s="302">
        <f>I15/$H$13+H14</f>
        <v>0.41492249999999997</v>
      </c>
      <c r="I15" s="303">
        <v>71049</v>
      </c>
      <c r="J15" s="304">
        <v>2</v>
      </c>
      <c r="K15" s="300">
        <v>41143</v>
      </c>
      <c r="L15" s="308">
        <v>71049</v>
      </c>
      <c r="M15" s="305">
        <v>41257</v>
      </c>
      <c r="N15" s="306">
        <f t="shared" si="3"/>
        <v>114</v>
      </c>
      <c r="O15" s="307" t="str">
        <f t="shared" si="4"/>
        <v/>
      </c>
      <c r="P15" s="307">
        <f t="shared" si="5"/>
        <v>0</v>
      </c>
      <c r="Q15" s="307"/>
      <c r="R15" s="197"/>
    </row>
    <row r="16" spans="1:19" s="26" customFormat="1" ht="12.25" customHeight="1" x14ac:dyDescent="0.25">
      <c r="A16" s="298" t="s">
        <v>77</v>
      </c>
      <c r="B16" s="437"/>
      <c r="C16" s="300"/>
      <c r="D16" s="300"/>
      <c r="E16" s="300"/>
      <c r="F16" s="300"/>
      <c r="G16" s="300"/>
      <c r="H16" s="302">
        <f t="shared" ref="H16:H18" si="6">I16/$H$13+H15</f>
        <v>0.54004782499999993</v>
      </c>
      <c r="I16" s="303">
        <v>50050.13</v>
      </c>
      <c r="J16" s="304">
        <v>3</v>
      </c>
      <c r="K16" s="300">
        <v>41191</v>
      </c>
      <c r="L16" s="308">
        <v>50050.13</v>
      </c>
      <c r="M16" s="305">
        <v>41987</v>
      </c>
      <c r="N16" s="306">
        <f t="shared" si="3"/>
        <v>796</v>
      </c>
      <c r="O16" s="307" t="str">
        <f t="shared" si="4"/>
        <v/>
      </c>
      <c r="P16" s="307">
        <f t="shared" si="5"/>
        <v>0</v>
      </c>
      <c r="Q16" s="307"/>
      <c r="R16" s="197"/>
    </row>
    <row r="17" spans="1:18" s="26" customFormat="1" ht="12.25" customHeight="1" x14ac:dyDescent="0.25">
      <c r="A17" s="298" t="s">
        <v>77</v>
      </c>
      <c r="B17" s="437"/>
      <c r="C17" s="300"/>
      <c r="D17" s="300"/>
      <c r="E17" s="300"/>
      <c r="F17" s="300"/>
      <c r="G17" s="300"/>
      <c r="H17" s="302">
        <f t="shared" si="6"/>
        <v>0.65286377499999992</v>
      </c>
      <c r="I17" s="303">
        <v>45126.38</v>
      </c>
      <c r="J17" s="304">
        <v>4</v>
      </c>
      <c r="K17" s="300">
        <v>41361</v>
      </c>
      <c r="L17" s="308">
        <v>45126.38</v>
      </c>
      <c r="M17" s="305">
        <v>41508</v>
      </c>
      <c r="N17" s="306">
        <f t="shared" si="3"/>
        <v>147</v>
      </c>
      <c r="O17" s="307" t="str">
        <f t="shared" si="4"/>
        <v/>
      </c>
      <c r="P17" s="307">
        <f t="shared" si="5"/>
        <v>0</v>
      </c>
      <c r="Q17" s="307"/>
      <c r="R17" s="197"/>
    </row>
    <row r="18" spans="1:18" s="26" customFormat="1" ht="20.05" customHeight="1" x14ac:dyDescent="0.25">
      <c r="A18" s="298" t="s">
        <v>77</v>
      </c>
      <c r="B18" s="437"/>
      <c r="C18" s="300"/>
      <c r="D18" s="300"/>
      <c r="E18" s="300"/>
      <c r="F18" s="300"/>
      <c r="G18" s="300"/>
      <c r="H18" s="302">
        <f t="shared" si="6"/>
        <v>0.7868040999999999</v>
      </c>
      <c r="I18" s="303">
        <v>53576.13</v>
      </c>
      <c r="J18" s="304">
        <v>5</v>
      </c>
      <c r="K18" s="300">
        <v>41549</v>
      </c>
      <c r="L18" s="308">
        <v>53576.13</v>
      </c>
      <c r="M18" s="305">
        <v>41680</v>
      </c>
      <c r="N18" s="306">
        <f t="shared" si="3"/>
        <v>131</v>
      </c>
      <c r="O18" s="307" t="str">
        <f t="shared" si="4"/>
        <v/>
      </c>
      <c r="P18" s="307">
        <f t="shared" si="5"/>
        <v>0</v>
      </c>
      <c r="Q18" s="307"/>
      <c r="R18" s="197"/>
    </row>
    <row r="19" spans="1:18" s="26" customFormat="1" ht="12.25" customHeight="1" x14ac:dyDescent="0.25">
      <c r="A19" s="309" t="s">
        <v>77</v>
      </c>
      <c r="B19" s="439"/>
      <c r="C19" s="311"/>
      <c r="D19" s="311"/>
      <c r="E19" s="311"/>
      <c r="F19" s="311"/>
      <c r="G19" s="311"/>
      <c r="H19" s="313">
        <f>I19/$H$13+H18</f>
        <v>0.99999999999999989</v>
      </c>
      <c r="I19" s="314">
        <v>85278.36</v>
      </c>
      <c r="J19" s="315">
        <v>6</v>
      </c>
      <c r="K19" s="311">
        <v>42037</v>
      </c>
      <c r="L19" s="316">
        <v>85278.36</v>
      </c>
      <c r="M19" s="317">
        <v>42314</v>
      </c>
      <c r="N19" s="318">
        <f t="shared" si="3"/>
        <v>277</v>
      </c>
      <c r="O19" s="320" t="str">
        <f t="shared" si="4"/>
        <v/>
      </c>
      <c r="P19" s="320">
        <f t="shared" si="5"/>
        <v>0</v>
      </c>
      <c r="Q19" s="320"/>
      <c r="R19" s="197"/>
    </row>
    <row r="20" spans="1:18" s="120" customFormat="1" ht="12.25" customHeight="1" x14ac:dyDescent="0.25">
      <c r="A20" s="352" t="s">
        <v>84</v>
      </c>
      <c r="B20" s="438"/>
      <c r="C20" s="354">
        <v>40506</v>
      </c>
      <c r="D20" s="290">
        <f>DATE(YEAR(C20)+2,MONTH(C20),DAY(C20))</f>
        <v>41237</v>
      </c>
      <c r="E20" s="354">
        <v>40721</v>
      </c>
      <c r="F20" s="354">
        <f>DATE(YEAR(E20)+4,MONTH(E20),DAY(E20))</f>
        <v>42182</v>
      </c>
      <c r="G20" s="354">
        <v>41605</v>
      </c>
      <c r="H20" s="356">
        <v>660000</v>
      </c>
      <c r="I20" s="357"/>
      <c r="J20" s="358"/>
      <c r="K20" s="354"/>
      <c r="L20" s="359">
        <f>SUM(L21:L27)</f>
        <v>656094.66</v>
      </c>
      <c r="M20" s="360"/>
      <c r="N20" s="361"/>
      <c r="O20" s="362">
        <f>SUM(O21:O27)</f>
        <v>0</v>
      </c>
      <c r="P20" s="362">
        <f>SUM(P21:P27)</f>
        <v>0</v>
      </c>
      <c r="Q20" s="362"/>
      <c r="R20" s="197">
        <f>H20-(L20+O20+P20)</f>
        <v>3905.3399999999674</v>
      </c>
    </row>
    <row r="21" spans="1:18" s="26" customFormat="1" ht="12.25" customHeight="1" x14ac:dyDescent="0.25">
      <c r="A21" s="298" t="s">
        <v>84</v>
      </c>
      <c r="B21" s="437"/>
      <c r="C21" s="300"/>
      <c r="D21" s="300"/>
      <c r="E21" s="300"/>
      <c r="F21" s="300"/>
      <c r="G21" s="300"/>
      <c r="H21" s="302">
        <f>I21/$H$20</f>
        <v>0.23835909090909091</v>
      </c>
      <c r="I21" s="303">
        <v>157317</v>
      </c>
      <c r="J21" s="304">
        <v>1</v>
      </c>
      <c r="K21" s="300">
        <v>40648</v>
      </c>
      <c r="L21" s="303">
        <v>157317</v>
      </c>
      <c r="M21" s="305">
        <v>40787</v>
      </c>
      <c r="N21" s="306">
        <f t="shared" si="3"/>
        <v>139</v>
      </c>
      <c r="O21" s="307" t="str">
        <f t="shared" si="4"/>
        <v/>
      </c>
      <c r="P21" s="307">
        <f t="shared" si="5"/>
        <v>0</v>
      </c>
      <c r="Q21" s="307"/>
      <c r="R21" s="197"/>
    </row>
    <row r="22" spans="1:18" s="26" customFormat="1" ht="12.25" customHeight="1" x14ac:dyDescent="0.25">
      <c r="A22" s="298" t="s">
        <v>84</v>
      </c>
      <c r="B22" s="437"/>
      <c r="C22" s="300"/>
      <c r="D22" s="300"/>
      <c r="E22" s="300"/>
      <c r="F22" s="300"/>
      <c r="G22" s="300"/>
      <c r="H22" s="302">
        <f>I22/$H$20+H21</f>
        <v>0.40604545454545454</v>
      </c>
      <c r="I22" s="303">
        <v>110673</v>
      </c>
      <c r="J22" s="304">
        <v>2</v>
      </c>
      <c r="K22" s="300">
        <v>40830</v>
      </c>
      <c r="L22" s="303">
        <v>110673</v>
      </c>
      <c r="M22" s="305">
        <v>40876</v>
      </c>
      <c r="N22" s="306">
        <f t="shared" si="3"/>
        <v>46</v>
      </c>
      <c r="O22" s="307" t="str">
        <f t="shared" si="4"/>
        <v/>
      </c>
      <c r="P22" s="307">
        <f t="shared" ref="P22:P121" si="7">IF(K22="",I22-L22,0)</f>
        <v>0</v>
      </c>
      <c r="Q22" s="307"/>
      <c r="R22" s="197"/>
    </row>
    <row r="23" spans="1:18" s="26" customFormat="1" ht="12.25" customHeight="1" x14ac:dyDescent="0.25">
      <c r="A23" s="298" t="s">
        <v>84</v>
      </c>
      <c r="B23" s="437"/>
      <c r="C23" s="300"/>
      <c r="D23" s="300"/>
      <c r="E23" s="300"/>
      <c r="F23" s="300"/>
      <c r="G23" s="300"/>
      <c r="H23" s="302">
        <f t="shared" ref="H23:H27" si="8">I23/$H$20+H22</f>
        <v>0.47223130303030303</v>
      </c>
      <c r="I23" s="303">
        <v>43682.66</v>
      </c>
      <c r="J23" s="304">
        <v>3</v>
      </c>
      <c r="K23" s="300">
        <v>41143</v>
      </c>
      <c r="L23" s="303">
        <v>43682.66</v>
      </c>
      <c r="M23" s="305">
        <v>41187</v>
      </c>
      <c r="N23" s="306">
        <f t="shared" si="3"/>
        <v>44</v>
      </c>
      <c r="O23" s="307" t="str">
        <f t="shared" si="4"/>
        <v/>
      </c>
      <c r="P23" s="307">
        <f t="shared" si="7"/>
        <v>0</v>
      </c>
      <c r="Q23" s="307"/>
      <c r="R23" s="197"/>
    </row>
    <row r="24" spans="1:18" s="26" customFormat="1" ht="12.25" customHeight="1" x14ac:dyDescent="0.25">
      <c r="A24" s="298" t="s">
        <v>84</v>
      </c>
      <c r="B24" s="437"/>
      <c r="C24" s="300"/>
      <c r="D24" s="300"/>
      <c r="E24" s="300"/>
      <c r="F24" s="300"/>
      <c r="G24" s="300"/>
      <c r="H24" s="302">
        <f t="shared" si="8"/>
        <v>0.68728846969696966</v>
      </c>
      <c r="I24" s="303">
        <v>141937.73000000001</v>
      </c>
      <c r="J24" s="304">
        <v>4</v>
      </c>
      <c r="K24" s="300">
        <v>41362</v>
      </c>
      <c r="L24" s="303">
        <v>141937.73000000001</v>
      </c>
      <c r="M24" s="305">
        <v>41428</v>
      </c>
      <c r="N24" s="306">
        <f t="shared" si="3"/>
        <v>66</v>
      </c>
      <c r="O24" s="307" t="str">
        <f t="shared" si="4"/>
        <v/>
      </c>
      <c r="P24" s="307">
        <f t="shared" si="7"/>
        <v>0</v>
      </c>
      <c r="Q24" s="307"/>
      <c r="R24" s="197"/>
    </row>
    <row r="25" spans="1:18" s="26" customFormat="1" ht="12.25" customHeight="1" x14ac:dyDescent="0.25">
      <c r="A25" s="298" t="s">
        <v>84</v>
      </c>
      <c r="B25" s="437"/>
      <c r="C25" s="300"/>
      <c r="D25" s="300"/>
      <c r="E25" s="300"/>
      <c r="F25" s="300"/>
      <c r="G25" s="300"/>
      <c r="H25" s="302">
        <f t="shared" si="8"/>
        <v>0.76837296969696967</v>
      </c>
      <c r="I25" s="303">
        <v>53515.77</v>
      </c>
      <c r="J25" s="304">
        <v>5</v>
      </c>
      <c r="K25" s="300">
        <v>41549</v>
      </c>
      <c r="L25" s="303">
        <v>53515.77</v>
      </c>
      <c r="M25" s="305">
        <v>41638</v>
      </c>
      <c r="N25" s="306">
        <f t="shared" si="3"/>
        <v>89</v>
      </c>
      <c r="O25" s="307" t="str">
        <f t="shared" si="4"/>
        <v/>
      </c>
      <c r="P25" s="307">
        <f t="shared" si="7"/>
        <v>0</v>
      </c>
      <c r="Q25" s="307"/>
      <c r="R25" s="197"/>
    </row>
    <row r="26" spans="1:18" s="26" customFormat="1" ht="12.25" customHeight="1" x14ac:dyDescent="0.25">
      <c r="A26" s="298" t="s">
        <v>84</v>
      </c>
      <c r="B26" s="437"/>
      <c r="C26" s="300"/>
      <c r="D26" s="300"/>
      <c r="E26" s="300"/>
      <c r="F26" s="300"/>
      <c r="G26" s="300"/>
      <c r="H26" s="302">
        <f t="shared" si="8"/>
        <v>0.79999999999999993</v>
      </c>
      <c r="I26" s="303">
        <v>20873.84</v>
      </c>
      <c r="J26" s="304">
        <v>6</v>
      </c>
      <c r="K26" s="300">
        <v>41673</v>
      </c>
      <c r="L26" s="303">
        <v>20873.84</v>
      </c>
      <c r="M26" s="305">
        <v>41743</v>
      </c>
      <c r="N26" s="306">
        <f t="shared" si="3"/>
        <v>70</v>
      </c>
      <c r="O26" s="307" t="str">
        <f t="shared" si="4"/>
        <v/>
      </c>
      <c r="P26" s="307">
        <f t="shared" si="7"/>
        <v>0</v>
      </c>
      <c r="Q26" s="307"/>
      <c r="R26" s="197"/>
    </row>
    <row r="27" spans="1:18" s="26" customFormat="1" ht="12.25" customHeight="1" x14ac:dyDescent="0.25">
      <c r="A27" s="298" t="s">
        <v>84</v>
      </c>
      <c r="B27" s="437"/>
      <c r="C27" s="300"/>
      <c r="D27" s="300"/>
      <c r="E27" s="300"/>
      <c r="F27" s="300"/>
      <c r="G27" s="300"/>
      <c r="H27" s="302">
        <f t="shared" si="8"/>
        <v>1</v>
      </c>
      <c r="I27" s="303">
        <v>132000</v>
      </c>
      <c r="J27" s="304">
        <v>7</v>
      </c>
      <c r="K27" s="300">
        <v>42214</v>
      </c>
      <c r="L27" s="308">
        <v>128094.66</v>
      </c>
      <c r="M27" s="305">
        <v>42307</v>
      </c>
      <c r="N27" s="306">
        <f t="shared" si="3"/>
        <v>93</v>
      </c>
      <c r="O27" s="307" t="str">
        <f t="shared" si="4"/>
        <v/>
      </c>
      <c r="P27" s="307">
        <f t="shared" si="7"/>
        <v>0</v>
      </c>
      <c r="Q27" s="307"/>
      <c r="R27" s="197"/>
    </row>
    <row r="28" spans="1:18" s="120" customFormat="1" ht="12.25" customHeight="1" x14ac:dyDescent="0.25">
      <c r="A28" s="287" t="s">
        <v>85</v>
      </c>
      <c r="B28" s="436"/>
      <c r="C28" s="290">
        <v>40795</v>
      </c>
      <c r="D28" s="290"/>
      <c r="E28" s="290"/>
      <c r="F28" s="290"/>
      <c r="G28" s="290"/>
      <c r="H28" s="292">
        <v>280000</v>
      </c>
      <c r="I28" s="293"/>
      <c r="J28" s="350"/>
      <c r="K28" s="290"/>
      <c r="L28" s="351">
        <f>SUM(L29:L32)</f>
        <v>280000</v>
      </c>
      <c r="M28" s="289"/>
      <c r="N28" s="297"/>
      <c r="O28" s="351">
        <f>SUM(O29:O32)</f>
        <v>0</v>
      </c>
      <c r="P28" s="351">
        <f>SUM(P29:P32)</f>
        <v>0</v>
      </c>
      <c r="Q28" s="351"/>
      <c r="R28" s="197">
        <f>H28-(L28+O28+P28)</f>
        <v>0</v>
      </c>
    </row>
    <row r="29" spans="1:18" s="26" customFormat="1" ht="12.25" customHeight="1" x14ac:dyDescent="0.25">
      <c r="A29" s="298" t="s">
        <v>85</v>
      </c>
      <c r="B29" s="437"/>
      <c r="C29" s="300"/>
      <c r="D29" s="300"/>
      <c r="E29" s="300"/>
      <c r="F29" s="300"/>
      <c r="G29" s="300"/>
      <c r="H29" s="363"/>
      <c r="I29" s="303">
        <v>129444</v>
      </c>
      <c r="J29" s="304">
        <v>1</v>
      </c>
      <c r="K29" s="300">
        <v>41143</v>
      </c>
      <c r="L29" s="303">
        <v>129444</v>
      </c>
      <c r="M29" s="305">
        <v>41199</v>
      </c>
      <c r="N29" s="306">
        <f t="shared" si="3"/>
        <v>56</v>
      </c>
      <c r="O29" s="307" t="str">
        <f t="shared" si="4"/>
        <v/>
      </c>
      <c r="P29" s="307">
        <f t="shared" si="7"/>
        <v>0</v>
      </c>
      <c r="Q29" s="307"/>
      <c r="R29" s="197"/>
    </row>
    <row r="30" spans="1:18" s="26" customFormat="1" ht="12.25" customHeight="1" x14ac:dyDescent="0.25">
      <c r="A30" s="298" t="s">
        <v>85</v>
      </c>
      <c r="B30" s="437"/>
      <c r="C30" s="300"/>
      <c r="D30" s="300"/>
      <c r="E30" s="300"/>
      <c r="F30" s="300"/>
      <c r="G30" s="300"/>
      <c r="H30" s="363"/>
      <c r="I30" s="303">
        <v>41989.59</v>
      </c>
      <c r="J30" s="304">
        <v>2</v>
      </c>
      <c r="K30" s="300">
        <v>41423</v>
      </c>
      <c r="L30" s="303">
        <v>41989.59</v>
      </c>
      <c r="M30" s="305">
        <v>41551</v>
      </c>
      <c r="N30" s="306">
        <f t="shared" si="3"/>
        <v>128</v>
      </c>
      <c r="O30" s="307" t="str">
        <f t="shared" si="4"/>
        <v/>
      </c>
      <c r="P30" s="307">
        <f t="shared" si="7"/>
        <v>0</v>
      </c>
      <c r="Q30" s="307"/>
      <c r="R30" s="197"/>
    </row>
    <row r="31" spans="1:18" s="26" customFormat="1" ht="12.25" customHeight="1" x14ac:dyDescent="0.25">
      <c r="A31" s="298" t="s">
        <v>85</v>
      </c>
      <c r="B31" s="437"/>
      <c r="C31" s="300"/>
      <c r="D31" s="300"/>
      <c r="E31" s="300"/>
      <c r="F31" s="300"/>
      <c r="G31" s="300"/>
      <c r="H31" s="363"/>
      <c r="I31" s="303">
        <v>52566.41</v>
      </c>
      <c r="J31" s="304">
        <v>3</v>
      </c>
      <c r="K31" s="300">
        <v>41673</v>
      </c>
      <c r="L31" s="303">
        <v>52566.41</v>
      </c>
      <c r="M31" s="305">
        <v>41743</v>
      </c>
      <c r="N31" s="306">
        <f t="shared" si="3"/>
        <v>70</v>
      </c>
      <c r="O31" s="307" t="str">
        <f t="shared" si="4"/>
        <v/>
      </c>
      <c r="P31" s="307">
        <f t="shared" si="7"/>
        <v>0</v>
      </c>
      <c r="Q31" s="307"/>
      <c r="R31" s="197"/>
    </row>
    <row r="32" spans="1:18" s="26" customFormat="1" ht="12.25" customHeight="1" x14ac:dyDescent="0.25">
      <c r="A32" s="298" t="s">
        <v>85</v>
      </c>
      <c r="B32" s="437"/>
      <c r="C32" s="300"/>
      <c r="D32" s="300"/>
      <c r="E32" s="300"/>
      <c r="F32" s="300"/>
      <c r="G32" s="300"/>
      <c r="H32" s="363"/>
      <c r="I32" s="303">
        <v>56000</v>
      </c>
      <c r="J32" s="304">
        <v>4</v>
      </c>
      <c r="K32" s="300">
        <v>42034</v>
      </c>
      <c r="L32" s="303">
        <v>56000</v>
      </c>
      <c r="M32" s="305">
        <v>42069</v>
      </c>
      <c r="N32" s="306">
        <f t="shared" si="3"/>
        <v>35</v>
      </c>
      <c r="O32" s="307" t="str">
        <f t="shared" ref="O32" si="9">IF(L32="en attente",I32,"")</f>
        <v/>
      </c>
      <c r="P32" s="307">
        <f t="shared" si="7"/>
        <v>0</v>
      </c>
      <c r="Q32" s="307" t="s">
        <v>99</v>
      </c>
      <c r="R32" s="197"/>
    </row>
    <row r="33" spans="1:18" s="120" customFormat="1" ht="12.25" customHeight="1" x14ac:dyDescent="0.25">
      <c r="A33" s="152" t="s">
        <v>86</v>
      </c>
      <c r="B33" s="440" t="s">
        <v>233</v>
      </c>
      <c r="C33" s="192">
        <v>40864</v>
      </c>
      <c r="D33" s="192">
        <f>DATE(YEAR(C33)+2,MONTH(C33),DAY(C33))</f>
        <v>41595</v>
      </c>
      <c r="E33" s="192">
        <v>41309</v>
      </c>
      <c r="F33" s="192">
        <f>DATE(YEAR(E33)+4,MONTH(E33),DAY(E33))</f>
        <v>42770</v>
      </c>
      <c r="G33" s="192"/>
      <c r="H33" s="161">
        <v>340000</v>
      </c>
      <c r="I33" s="156"/>
      <c r="J33" s="171"/>
      <c r="K33" s="192"/>
      <c r="L33" s="159">
        <f>SUM(L34:L37)</f>
        <v>258502</v>
      </c>
      <c r="M33" s="184"/>
      <c r="N33" s="185"/>
      <c r="O33" s="193">
        <f>SUM(O34:O37)</f>
        <v>0</v>
      </c>
      <c r="P33" s="193">
        <f>SUM(P34:P37)</f>
        <v>81498</v>
      </c>
      <c r="Q33" s="193"/>
      <c r="R33" s="197">
        <f>H33-(L33+O33+P33)</f>
        <v>0</v>
      </c>
    </row>
    <row r="34" spans="1:18" s="26" customFormat="1" ht="12.25" customHeight="1" x14ac:dyDescent="0.25">
      <c r="A34" s="47" t="s">
        <v>86</v>
      </c>
      <c r="B34" s="441"/>
      <c r="C34" s="15"/>
      <c r="D34" s="15"/>
      <c r="E34" s="15"/>
      <c r="F34" s="15"/>
      <c r="G34" s="15"/>
      <c r="H34" s="121">
        <f>I34/$H$33</f>
        <v>0.43809999999999999</v>
      </c>
      <c r="I34" s="23">
        <v>148954</v>
      </c>
      <c r="J34" s="43">
        <v>1</v>
      </c>
      <c r="K34" s="15">
        <v>40892</v>
      </c>
      <c r="L34" s="24">
        <v>148954</v>
      </c>
      <c r="M34" s="31">
        <v>40994</v>
      </c>
      <c r="N34" s="44">
        <f t="shared" si="3"/>
        <v>102</v>
      </c>
      <c r="O34" s="83" t="str">
        <f t="shared" ref="O34:O37" si="10">IF(L34="en attente",I34,"")</f>
        <v/>
      </c>
      <c r="P34" s="83">
        <f t="shared" si="7"/>
        <v>0</v>
      </c>
      <c r="Q34" s="83"/>
      <c r="R34" s="197"/>
    </row>
    <row r="35" spans="1:18" s="26" customFormat="1" ht="12.25" customHeight="1" x14ac:dyDescent="0.25">
      <c r="A35" s="47" t="s">
        <v>86</v>
      </c>
      <c r="B35" s="441"/>
      <c r="C35" s="15"/>
      <c r="D35" s="15"/>
      <c r="E35" s="15"/>
      <c r="F35" s="15"/>
      <c r="G35" s="15"/>
      <c r="H35" s="121">
        <f>I35/$H$33+H34</f>
        <v>0.56899999999999995</v>
      </c>
      <c r="I35" s="23">
        <v>44506</v>
      </c>
      <c r="J35" s="43">
        <v>2</v>
      </c>
      <c r="K35" s="15">
        <v>41549</v>
      </c>
      <c r="L35" s="24">
        <v>44506</v>
      </c>
      <c r="M35" s="31">
        <v>41680</v>
      </c>
      <c r="N35" s="44">
        <f t="shared" si="3"/>
        <v>131</v>
      </c>
      <c r="O35" s="83" t="str">
        <f t="shared" si="10"/>
        <v/>
      </c>
      <c r="P35" s="83">
        <f t="shared" si="7"/>
        <v>0</v>
      </c>
      <c r="Q35" s="83"/>
      <c r="R35" s="197"/>
    </row>
    <row r="36" spans="1:18" s="26" customFormat="1" x14ac:dyDescent="0.25">
      <c r="A36" s="47" t="s">
        <v>86</v>
      </c>
      <c r="B36" s="441"/>
      <c r="C36" s="15"/>
      <c r="D36" s="15"/>
      <c r="E36" s="15"/>
      <c r="F36" s="15"/>
      <c r="G36" s="15"/>
      <c r="H36" s="286">
        <v>0.76029999999999998</v>
      </c>
      <c r="I36" s="23">
        <v>65042</v>
      </c>
      <c r="J36" s="43">
        <v>3</v>
      </c>
      <c r="K36" s="15">
        <v>42325</v>
      </c>
      <c r="L36" s="24">
        <v>65042</v>
      </c>
      <c r="M36" s="31">
        <v>42422</v>
      </c>
      <c r="N36" s="44"/>
      <c r="O36" s="83" t="str">
        <f t="shared" si="10"/>
        <v/>
      </c>
      <c r="P36" s="83">
        <f t="shared" si="7"/>
        <v>0</v>
      </c>
      <c r="Q36" s="83"/>
      <c r="R36" s="197"/>
    </row>
    <row r="37" spans="1:18" s="26" customFormat="1" ht="12.25" customHeight="1" x14ac:dyDescent="0.25">
      <c r="A37" s="151" t="s">
        <v>86</v>
      </c>
      <c r="B37" s="442"/>
      <c r="C37" s="37"/>
      <c r="D37" s="37"/>
      <c r="E37" s="37"/>
      <c r="F37" s="37"/>
      <c r="G37" s="37"/>
      <c r="H37" s="121">
        <v>1</v>
      </c>
      <c r="I37" s="36">
        <v>81498</v>
      </c>
      <c r="J37" s="45"/>
      <c r="K37" s="37"/>
      <c r="L37" s="38"/>
      <c r="M37" s="189"/>
      <c r="N37" s="190"/>
      <c r="O37" s="191" t="str">
        <f t="shared" si="10"/>
        <v/>
      </c>
      <c r="P37" s="83">
        <f t="shared" si="7"/>
        <v>81498</v>
      </c>
      <c r="Q37" s="191"/>
      <c r="R37" s="197"/>
    </row>
    <row r="38" spans="1:18" s="120" customFormat="1" ht="12.25" customHeight="1" x14ac:dyDescent="0.25">
      <c r="A38" s="162" t="s">
        <v>87</v>
      </c>
      <c r="B38" s="443" t="s">
        <v>232</v>
      </c>
      <c r="C38" s="182">
        <v>40864</v>
      </c>
      <c r="D38" s="192">
        <f>DATE(YEAR(C38)+2,MONTH(C38),DAY(C38))</f>
        <v>41595</v>
      </c>
      <c r="E38" s="182">
        <v>41303</v>
      </c>
      <c r="F38" s="182">
        <f>DATE(YEAR(E38)+4,MONTH(E38),DAY(E38))</f>
        <v>42764</v>
      </c>
      <c r="G38" s="182"/>
      <c r="H38" s="156">
        <v>1300000</v>
      </c>
      <c r="I38" s="165"/>
      <c r="J38" s="166"/>
      <c r="K38" s="182"/>
      <c r="L38" s="168">
        <f>SUM(L39:L44)</f>
        <v>1039999.9999999999</v>
      </c>
      <c r="M38" s="180"/>
      <c r="N38" s="181"/>
      <c r="O38" s="183">
        <f>SUM(O39:O44)</f>
        <v>0</v>
      </c>
      <c r="P38" s="193">
        <f>SUM(P39:P44)</f>
        <v>260000</v>
      </c>
      <c r="Q38" s="183"/>
      <c r="R38" s="197">
        <f>H38-(L38+O38+P38)</f>
        <v>0</v>
      </c>
    </row>
    <row r="39" spans="1:18" s="26" customFormat="1" ht="12.25" customHeight="1" x14ac:dyDescent="0.25">
      <c r="A39" s="47" t="s">
        <v>87</v>
      </c>
      <c r="B39" s="441"/>
      <c r="C39" s="15"/>
      <c r="D39" s="15"/>
      <c r="E39" s="15"/>
      <c r="F39" s="15"/>
      <c r="G39" s="15"/>
      <c r="H39" s="121">
        <f>I39/$H$38</f>
        <v>0.48630000000000001</v>
      </c>
      <c r="I39" s="23">
        <v>632190</v>
      </c>
      <c r="J39" s="43">
        <v>1</v>
      </c>
      <c r="K39" s="15">
        <v>40962</v>
      </c>
      <c r="L39" s="24">
        <v>632190</v>
      </c>
      <c r="M39" s="31">
        <v>41067</v>
      </c>
      <c r="N39" s="44">
        <f t="shared" si="3"/>
        <v>105</v>
      </c>
      <c r="O39" s="83" t="str">
        <f t="shared" ref="O39:O44" si="11">IF(L39="en attente",I39,"")</f>
        <v/>
      </c>
      <c r="P39" s="83">
        <f t="shared" si="7"/>
        <v>0</v>
      </c>
      <c r="Q39" s="83"/>
      <c r="R39" s="197"/>
    </row>
    <row r="40" spans="1:18" s="26" customFormat="1" ht="12.25" customHeight="1" x14ac:dyDescent="0.25">
      <c r="A40" s="47" t="s">
        <v>87</v>
      </c>
      <c r="B40" s="441"/>
      <c r="C40" s="15"/>
      <c r="D40" s="15"/>
      <c r="E40" s="15"/>
      <c r="F40" s="15"/>
      <c r="G40" s="15"/>
      <c r="H40" s="121">
        <f>I40/$H$38+H39</f>
        <v>0.56350456923076919</v>
      </c>
      <c r="I40" s="23">
        <v>100365.94</v>
      </c>
      <c r="J40" s="43">
        <v>2</v>
      </c>
      <c r="K40" s="15">
        <v>41549</v>
      </c>
      <c r="L40" s="24">
        <v>100365.94</v>
      </c>
      <c r="M40" s="31">
        <v>41653</v>
      </c>
      <c r="N40" s="44">
        <f t="shared" si="3"/>
        <v>104</v>
      </c>
      <c r="O40" s="83" t="str">
        <f t="shared" si="11"/>
        <v/>
      </c>
      <c r="P40" s="83">
        <f t="shared" si="7"/>
        <v>0</v>
      </c>
      <c r="Q40" s="83"/>
      <c r="R40" s="197"/>
    </row>
    <row r="41" spans="1:18" s="26" customFormat="1" ht="12.25" customHeight="1" x14ac:dyDescent="0.25">
      <c r="A41" s="47" t="s">
        <v>87</v>
      </c>
      <c r="B41" s="441"/>
      <c r="C41" s="15"/>
      <c r="D41" s="15"/>
      <c r="E41" s="15"/>
      <c r="F41" s="15"/>
      <c r="G41" s="15"/>
      <c r="H41" s="121">
        <f t="shared" ref="H41:H44" si="12">I41/$H$38+H40</f>
        <v>0.68899496153846151</v>
      </c>
      <c r="I41" s="23">
        <v>163137.51</v>
      </c>
      <c r="J41" s="43">
        <v>3</v>
      </c>
      <c r="K41" s="15">
        <v>41673</v>
      </c>
      <c r="L41" s="24">
        <v>163137.51</v>
      </c>
      <c r="M41" s="31">
        <v>41731</v>
      </c>
      <c r="N41" s="44">
        <f t="shared" si="3"/>
        <v>58</v>
      </c>
      <c r="O41" s="83" t="str">
        <f t="shared" si="11"/>
        <v/>
      </c>
      <c r="P41" s="83">
        <f t="shared" si="7"/>
        <v>0</v>
      </c>
      <c r="Q41" s="83"/>
      <c r="R41" s="197"/>
    </row>
    <row r="42" spans="1:18" s="26" customFormat="1" ht="12.25" customHeight="1" x14ac:dyDescent="0.25">
      <c r="A42" s="47" t="s">
        <v>87</v>
      </c>
      <c r="B42" s="441"/>
      <c r="C42" s="15"/>
      <c r="D42" s="15"/>
      <c r="E42" s="15"/>
      <c r="F42" s="15"/>
      <c r="G42" s="15"/>
      <c r="H42" s="121">
        <f t="shared" si="12"/>
        <v>0.71552039999999995</v>
      </c>
      <c r="I42" s="23">
        <v>34483.07</v>
      </c>
      <c r="J42" s="43">
        <v>4</v>
      </c>
      <c r="K42" s="15">
        <v>41941</v>
      </c>
      <c r="L42" s="24">
        <v>34483.07</v>
      </c>
      <c r="M42" s="31">
        <v>42030</v>
      </c>
      <c r="N42" s="44">
        <f t="shared" si="3"/>
        <v>89</v>
      </c>
      <c r="O42" s="83" t="str">
        <f t="shared" si="11"/>
        <v/>
      </c>
      <c r="P42" s="83">
        <f t="shared" si="7"/>
        <v>0</v>
      </c>
      <c r="Q42" s="83"/>
      <c r="R42" s="197"/>
    </row>
    <row r="43" spans="1:18" s="26" customFormat="1" ht="12.25" customHeight="1" x14ac:dyDescent="0.25">
      <c r="A43" s="47" t="s">
        <v>87</v>
      </c>
      <c r="B43" s="441"/>
      <c r="C43" s="15"/>
      <c r="D43" s="15"/>
      <c r="E43" s="15"/>
      <c r="F43" s="15"/>
      <c r="G43" s="15"/>
      <c r="H43" s="121">
        <f t="shared" si="12"/>
        <v>0.79999999999999993</v>
      </c>
      <c r="I43" s="23">
        <v>109823.48</v>
      </c>
      <c r="J43" s="43">
        <v>5</v>
      </c>
      <c r="K43" s="15">
        <v>42264</v>
      </c>
      <c r="L43" s="24">
        <v>109823.48</v>
      </c>
      <c r="M43" s="31">
        <v>42325</v>
      </c>
      <c r="N43" s="44">
        <f t="shared" si="3"/>
        <v>61</v>
      </c>
      <c r="O43" s="83" t="str">
        <f t="shared" si="11"/>
        <v/>
      </c>
      <c r="P43" s="83">
        <f t="shared" si="7"/>
        <v>0</v>
      </c>
      <c r="Q43" s="83"/>
      <c r="R43" s="197"/>
    </row>
    <row r="44" spans="1:18" s="26" customFormat="1" ht="12.25" customHeight="1" x14ac:dyDescent="0.25">
      <c r="A44" s="47" t="s">
        <v>87</v>
      </c>
      <c r="B44" s="441"/>
      <c r="C44" s="15"/>
      <c r="D44" s="15"/>
      <c r="E44" s="15"/>
      <c r="F44" s="15"/>
      <c r="G44" s="15"/>
      <c r="H44" s="121">
        <f t="shared" si="12"/>
        <v>1</v>
      </c>
      <c r="I44" s="23">
        <v>260000</v>
      </c>
      <c r="J44" s="43"/>
      <c r="K44" s="15"/>
      <c r="L44" s="24"/>
      <c r="M44" s="31"/>
      <c r="N44" s="44"/>
      <c r="O44" s="83" t="str">
        <f t="shared" si="11"/>
        <v/>
      </c>
      <c r="P44" s="83">
        <f t="shared" si="7"/>
        <v>260000</v>
      </c>
      <c r="Q44" s="83"/>
      <c r="R44" s="197"/>
    </row>
    <row r="45" spans="1:18" s="120" customFormat="1" ht="12.25" customHeight="1" x14ac:dyDescent="0.25">
      <c r="A45" s="152" t="s">
        <v>88</v>
      </c>
      <c r="B45" s="152" t="s">
        <v>231</v>
      </c>
      <c r="C45" s="184">
        <v>40864</v>
      </c>
      <c r="D45" s="192">
        <f>DATE(YEAR(C45)+2,MONTH(C45),DAY(C45))</f>
        <v>41595</v>
      </c>
      <c r="E45" s="192">
        <v>41309</v>
      </c>
      <c r="F45" s="192">
        <f>DATE(YEAR(E45)+4,MONTH(E45),DAY(E45))</f>
        <v>42770</v>
      </c>
      <c r="G45" s="192">
        <v>42202</v>
      </c>
      <c r="H45" s="161">
        <v>800000</v>
      </c>
      <c r="I45" s="156"/>
      <c r="J45" s="171"/>
      <c r="K45" s="192"/>
      <c r="L45" s="159">
        <f>SUM(L46:L48)</f>
        <v>322694.14</v>
      </c>
      <c r="M45" s="184"/>
      <c r="N45" s="185"/>
      <c r="O45" s="193">
        <f>SUM(O46:O48)</f>
        <v>0</v>
      </c>
      <c r="P45" s="193">
        <f>SUM(P46:P48)</f>
        <v>477305.86</v>
      </c>
      <c r="Q45" s="193"/>
      <c r="R45" s="197">
        <f>H45-(L45+O45+P45)</f>
        <v>0</v>
      </c>
    </row>
    <row r="46" spans="1:18" s="26" customFormat="1" ht="12.25" customHeight="1" x14ac:dyDescent="0.25">
      <c r="A46" s="47" t="s">
        <v>88</v>
      </c>
      <c r="B46" s="441"/>
      <c r="C46" s="15"/>
      <c r="D46" s="15"/>
      <c r="E46" s="15"/>
      <c r="F46" s="15"/>
      <c r="G46" s="15"/>
      <c r="H46" s="121">
        <f>I46/$H$45</f>
        <v>0.1996968875</v>
      </c>
      <c r="I46" s="23">
        <v>159757.51</v>
      </c>
      <c r="J46" s="43">
        <v>1</v>
      </c>
      <c r="K46" s="15">
        <v>41701</v>
      </c>
      <c r="L46" s="24">
        <v>159757.51</v>
      </c>
      <c r="M46" s="31">
        <v>41758</v>
      </c>
      <c r="N46" s="44">
        <f t="shared" si="3"/>
        <v>57</v>
      </c>
      <c r="O46" s="83" t="str">
        <f t="shared" ref="O46:O48" si="13">IF(L46="en attente",I46,"")</f>
        <v/>
      </c>
      <c r="P46" s="83">
        <f t="shared" si="7"/>
        <v>0</v>
      </c>
      <c r="Q46" s="83"/>
      <c r="R46" s="197"/>
    </row>
    <row r="47" spans="1:18" s="26" customFormat="1" ht="12.25" customHeight="1" x14ac:dyDescent="0.25">
      <c r="A47" s="47" t="s">
        <v>88</v>
      </c>
      <c r="B47" s="441"/>
      <c r="C47" s="15"/>
      <c r="D47" s="15"/>
      <c r="E47" s="15"/>
      <c r="F47" s="15"/>
      <c r="G47" s="15"/>
      <c r="H47" s="121">
        <f>I47/$H$45+H46</f>
        <v>0.40336767500000004</v>
      </c>
      <c r="I47" s="23">
        <v>162936.63</v>
      </c>
      <c r="J47" s="43">
        <v>2</v>
      </c>
      <c r="K47" s="15">
        <v>42032</v>
      </c>
      <c r="L47" s="24">
        <v>162936.63</v>
      </c>
      <c r="M47" s="31">
        <v>42075</v>
      </c>
      <c r="N47" s="44">
        <f t="shared" si="3"/>
        <v>43</v>
      </c>
      <c r="O47" s="83" t="str">
        <f t="shared" si="13"/>
        <v/>
      </c>
      <c r="P47" s="83">
        <f t="shared" si="7"/>
        <v>0</v>
      </c>
      <c r="Q47" s="83"/>
      <c r="R47" s="197"/>
    </row>
    <row r="48" spans="1:18" s="26" customFormat="1" x14ac:dyDescent="0.25">
      <c r="A48" s="151" t="s">
        <v>88</v>
      </c>
      <c r="B48" s="442"/>
      <c r="C48" s="37"/>
      <c r="D48" s="37"/>
      <c r="E48" s="37"/>
      <c r="F48" s="37"/>
      <c r="G48" s="37"/>
      <c r="H48" s="186">
        <f>I48/$H$45+H47</f>
        <v>1</v>
      </c>
      <c r="I48" s="194">
        <f>H45-I46-I47</f>
        <v>477305.86</v>
      </c>
      <c r="J48" s="45">
        <v>3</v>
      </c>
      <c r="K48" s="37"/>
      <c r="L48" s="38"/>
      <c r="M48" s="189"/>
      <c r="N48" s="190"/>
      <c r="O48" s="191" t="str">
        <f t="shared" si="13"/>
        <v/>
      </c>
      <c r="P48" s="191">
        <f t="shared" si="7"/>
        <v>477305.86</v>
      </c>
      <c r="Q48" s="191"/>
      <c r="R48" s="197"/>
    </row>
    <row r="49" spans="1:18" s="120" customFormat="1" ht="12.25" customHeight="1" x14ac:dyDescent="0.25">
      <c r="A49" s="162" t="s">
        <v>89</v>
      </c>
      <c r="B49" s="443" t="s">
        <v>230</v>
      </c>
      <c r="C49" s="182">
        <v>41207</v>
      </c>
      <c r="D49" s="192">
        <f>DATE(YEAR(C49)+2,MONTH(C49),DAY(C49))</f>
        <v>41937</v>
      </c>
      <c r="E49" s="182">
        <v>41295</v>
      </c>
      <c r="F49" s="182">
        <f>DATE(YEAR(E49)+4,MONTH(E49),DAY(E49))</f>
        <v>42756</v>
      </c>
      <c r="G49" s="182"/>
      <c r="H49" s="170">
        <v>440000</v>
      </c>
      <c r="I49" s="165"/>
      <c r="J49" s="166"/>
      <c r="K49" s="182"/>
      <c r="L49" s="168">
        <f>SUM(L50:L52)</f>
        <v>352000</v>
      </c>
      <c r="M49" s="180"/>
      <c r="N49" s="181"/>
      <c r="O49" s="183">
        <f>SUM(O50:O52)</f>
        <v>0</v>
      </c>
      <c r="P49" s="183">
        <f>SUM(P50:P52)</f>
        <v>88000</v>
      </c>
      <c r="Q49" s="183"/>
      <c r="R49" s="197">
        <f>H49-(L49+O49+P49)</f>
        <v>0</v>
      </c>
    </row>
    <row r="50" spans="1:18" s="26" customFormat="1" ht="12.25" customHeight="1" x14ac:dyDescent="0.25">
      <c r="A50" s="47" t="s">
        <v>89</v>
      </c>
      <c r="B50" s="441"/>
      <c r="C50" s="15"/>
      <c r="D50" s="15"/>
      <c r="E50" s="15"/>
      <c r="F50" s="15"/>
      <c r="G50" s="15"/>
      <c r="H50" s="121">
        <f>I50/$H$49</f>
        <v>0.39935324999999999</v>
      </c>
      <c r="I50" s="23">
        <v>175715.43</v>
      </c>
      <c r="J50" s="43">
        <v>1</v>
      </c>
      <c r="K50" s="15">
        <v>41554</v>
      </c>
      <c r="L50" s="24">
        <v>175715.43</v>
      </c>
      <c r="M50" s="31">
        <v>41683</v>
      </c>
      <c r="N50" s="44">
        <f t="shared" si="3"/>
        <v>129</v>
      </c>
      <c r="O50" s="83" t="str">
        <f t="shared" ref="O50:O52" si="14">IF(L50="en attente",I50,"")</f>
        <v/>
      </c>
      <c r="P50" s="83">
        <f t="shared" si="7"/>
        <v>0</v>
      </c>
      <c r="Q50" s="83"/>
      <c r="R50" s="197"/>
    </row>
    <row r="51" spans="1:18" s="26" customFormat="1" ht="12.25" customHeight="1" x14ac:dyDescent="0.25">
      <c r="A51" s="47" t="s">
        <v>89</v>
      </c>
      <c r="B51" s="441"/>
      <c r="C51" s="15"/>
      <c r="D51" s="15"/>
      <c r="E51" s="15"/>
      <c r="F51" s="15"/>
      <c r="G51" s="15"/>
      <c r="H51" s="286">
        <f>I51/$H$49+H50</f>
        <v>0.8</v>
      </c>
      <c r="I51" s="23">
        <v>176284.57</v>
      </c>
      <c r="J51" s="43">
        <v>2</v>
      </c>
      <c r="K51" s="15">
        <v>42261</v>
      </c>
      <c r="L51" s="24">
        <v>176284.57</v>
      </c>
      <c r="M51" s="31">
        <v>42314</v>
      </c>
      <c r="N51" s="44"/>
      <c r="O51" s="83" t="str">
        <f t="shared" si="14"/>
        <v/>
      </c>
      <c r="P51" s="83">
        <f t="shared" si="7"/>
        <v>0</v>
      </c>
      <c r="Q51" s="83"/>
      <c r="R51" s="197"/>
    </row>
    <row r="52" spans="1:18" s="26" customFormat="1" ht="12.25" customHeight="1" x14ac:dyDescent="0.25">
      <c r="A52" s="47" t="s">
        <v>89</v>
      </c>
      <c r="B52" s="441"/>
      <c r="C52" s="15"/>
      <c r="D52" s="15"/>
      <c r="E52" s="15"/>
      <c r="F52" s="15"/>
      <c r="G52" s="15"/>
      <c r="H52" s="121">
        <f>I52/$H$49+H51</f>
        <v>1</v>
      </c>
      <c r="I52" s="23">
        <v>88000</v>
      </c>
      <c r="J52" s="43">
        <v>3</v>
      </c>
      <c r="K52" s="15"/>
      <c r="L52" s="24"/>
      <c r="M52" s="31"/>
      <c r="N52" s="44"/>
      <c r="O52" s="83" t="str">
        <f t="shared" si="14"/>
        <v/>
      </c>
      <c r="P52" s="83">
        <f t="shared" si="7"/>
        <v>88000</v>
      </c>
      <c r="Q52" s="83"/>
      <c r="R52" s="197"/>
    </row>
    <row r="53" spans="1:18" s="120" customFormat="1" ht="12.25" customHeight="1" x14ac:dyDescent="0.25">
      <c r="A53" s="152" t="s">
        <v>90</v>
      </c>
      <c r="B53" s="440" t="s">
        <v>229</v>
      </c>
      <c r="C53" s="192">
        <v>41185</v>
      </c>
      <c r="D53" s="192">
        <f>DATE(YEAR(C53)+2,MONTH(C53),DAY(C53))</f>
        <v>41915</v>
      </c>
      <c r="E53" s="192">
        <v>41554</v>
      </c>
      <c r="F53" s="192">
        <f>DATE(YEAR(E53)+4,MONTH(E53),DAY(E53))</f>
        <v>43015</v>
      </c>
      <c r="G53" s="192"/>
      <c r="H53" s="161">
        <v>480000</v>
      </c>
      <c r="I53" s="156"/>
      <c r="J53" s="171"/>
      <c r="K53" s="192"/>
      <c r="L53" s="159">
        <f>SUM(L54:L57)</f>
        <v>351968.87</v>
      </c>
      <c r="M53" s="184"/>
      <c r="N53" s="185"/>
      <c r="O53" s="193">
        <f>SUM(O54:O57)</f>
        <v>86025.01</v>
      </c>
      <c r="P53" s="193">
        <f>SUM(P54:P57)</f>
        <v>128031.13</v>
      </c>
      <c r="Q53" s="193"/>
      <c r="R53" s="197">
        <f>H53-(L53+O53+P53)</f>
        <v>-86025.010000000009</v>
      </c>
    </row>
    <row r="54" spans="1:18" s="26" customFormat="1" ht="12.25" customHeight="1" x14ac:dyDescent="0.25">
      <c r="A54" s="47" t="s">
        <v>90</v>
      </c>
      <c r="B54" s="441"/>
      <c r="C54" s="15"/>
      <c r="D54" s="15"/>
      <c r="E54" s="15"/>
      <c r="F54" s="15"/>
      <c r="G54" s="15"/>
      <c r="H54" s="121">
        <f>I54/$H$53</f>
        <v>0.37244579166666669</v>
      </c>
      <c r="I54" s="23">
        <v>178773.98</v>
      </c>
      <c r="J54" s="43">
        <v>1</v>
      </c>
      <c r="K54" s="15">
        <v>41674</v>
      </c>
      <c r="L54" s="24">
        <v>178773.98</v>
      </c>
      <c r="M54" s="31">
        <v>41736</v>
      </c>
      <c r="N54" s="44">
        <f t="shared" si="3"/>
        <v>62</v>
      </c>
      <c r="O54" s="83" t="str">
        <f t="shared" ref="O54:O57" si="15">IF(L54="en attente",I54,"")</f>
        <v/>
      </c>
      <c r="P54" s="83">
        <f t="shared" si="7"/>
        <v>0</v>
      </c>
      <c r="Q54" s="83"/>
      <c r="R54" s="197"/>
    </row>
    <row r="55" spans="1:18" s="26" customFormat="1" ht="12.25" customHeight="1" x14ac:dyDescent="0.25">
      <c r="A55" s="47" t="s">
        <v>90</v>
      </c>
      <c r="B55" s="441"/>
      <c r="C55" s="15"/>
      <c r="D55" s="15"/>
      <c r="E55" s="15"/>
      <c r="F55" s="15"/>
      <c r="G55" s="15"/>
      <c r="H55" s="121">
        <f>I55/$H$53+H54</f>
        <v>0.55404970833333334</v>
      </c>
      <c r="I55" s="23">
        <v>87169.88</v>
      </c>
      <c r="J55" s="43">
        <v>2</v>
      </c>
      <c r="K55" s="15">
        <v>41869</v>
      </c>
      <c r="L55" s="24">
        <v>87169.88</v>
      </c>
      <c r="M55" s="31">
        <v>41915</v>
      </c>
      <c r="N55" s="44">
        <f t="shared" si="3"/>
        <v>46</v>
      </c>
      <c r="O55" s="83" t="str">
        <f t="shared" si="15"/>
        <v/>
      </c>
      <c r="P55" s="83">
        <f t="shared" si="7"/>
        <v>0</v>
      </c>
      <c r="Q55" s="83"/>
      <c r="R55" s="197"/>
    </row>
    <row r="56" spans="1:18" s="26" customFormat="1" x14ac:dyDescent="0.25">
      <c r="A56" s="47" t="s">
        <v>90</v>
      </c>
      <c r="B56" s="441"/>
      <c r="C56" s="15"/>
      <c r="D56" s="15"/>
      <c r="E56" s="15"/>
      <c r="F56" s="15"/>
      <c r="G56" s="15"/>
      <c r="H56" s="286">
        <v>0.73329999999999995</v>
      </c>
      <c r="I56" s="23">
        <v>86025.01</v>
      </c>
      <c r="J56" s="43">
        <v>3</v>
      </c>
      <c r="K56" s="15">
        <v>42327</v>
      </c>
      <c r="L56" s="24">
        <v>86025.01</v>
      </c>
      <c r="M56" s="31">
        <v>42422</v>
      </c>
      <c r="N56" s="44"/>
      <c r="O56" s="83">
        <v>86025.01</v>
      </c>
      <c r="P56" s="83">
        <f t="shared" si="7"/>
        <v>0</v>
      </c>
      <c r="Q56" s="83"/>
      <c r="R56" s="197"/>
    </row>
    <row r="57" spans="1:18" s="26" customFormat="1" ht="12.25" customHeight="1" x14ac:dyDescent="0.25">
      <c r="A57" s="151" t="s">
        <v>90</v>
      </c>
      <c r="B57" s="442"/>
      <c r="C57" s="37"/>
      <c r="D57" s="37"/>
      <c r="E57" s="37"/>
      <c r="F57" s="37"/>
      <c r="G57" s="37"/>
      <c r="H57" s="186">
        <v>1</v>
      </c>
      <c r="I57" s="36">
        <f>H53-SUM(I54:I56)</f>
        <v>128031.13</v>
      </c>
      <c r="J57" s="45">
        <v>5</v>
      </c>
      <c r="K57" s="37"/>
      <c r="L57" s="38"/>
      <c r="M57" s="189"/>
      <c r="N57" s="190"/>
      <c r="O57" s="191" t="str">
        <f t="shared" si="15"/>
        <v/>
      </c>
      <c r="P57" s="191">
        <f t="shared" si="7"/>
        <v>128031.13</v>
      </c>
      <c r="Q57" s="191"/>
      <c r="R57" s="197"/>
    </row>
    <row r="58" spans="1:18" s="120" customFormat="1" ht="12.25" customHeight="1" x14ac:dyDescent="0.25">
      <c r="A58" s="162" t="s">
        <v>91</v>
      </c>
      <c r="B58" s="443" t="s">
        <v>228</v>
      </c>
      <c r="C58" s="182">
        <v>41185</v>
      </c>
      <c r="D58" s="192">
        <f>DATE(YEAR(C58)+2,MONTH(C58),DAY(C58))</f>
        <v>41915</v>
      </c>
      <c r="E58" s="182">
        <v>41400</v>
      </c>
      <c r="F58" s="182">
        <f>DATE(YEAR(E58)+4,MONTH(E58),DAY(E58))</f>
        <v>42861</v>
      </c>
      <c r="G58" s="182">
        <v>41883</v>
      </c>
      <c r="H58" s="170">
        <v>138200</v>
      </c>
      <c r="I58" s="165"/>
      <c r="J58" s="166"/>
      <c r="K58" s="182"/>
      <c r="L58" s="168">
        <f>SUM(L59:L60)</f>
        <v>109999.23</v>
      </c>
      <c r="M58" s="180"/>
      <c r="N58" s="181"/>
      <c r="O58" s="183">
        <f>SUM(O59:O60)</f>
        <v>0</v>
      </c>
      <c r="P58" s="183">
        <f>SUM(P59:P60)</f>
        <v>28200.770000000004</v>
      </c>
      <c r="Q58" s="183"/>
      <c r="R58" s="197">
        <f>H58-(L58+O58+P58)</f>
        <v>0</v>
      </c>
    </row>
    <row r="59" spans="1:18" s="26" customFormat="1" ht="12.25" customHeight="1" x14ac:dyDescent="0.25">
      <c r="A59" s="47" t="s">
        <v>91</v>
      </c>
      <c r="B59" s="441"/>
      <c r="C59" s="15"/>
      <c r="D59" s="15"/>
      <c r="E59" s="15"/>
      <c r="F59" s="15"/>
      <c r="G59" s="15"/>
      <c r="H59" s="121">
        <f>I59/$H$58</f>
        <v>0.79594232995658465</v>
      </c>
      <c r="I59" s="23">
        <v>109999.23</v>
      </c>
      <c r="J59" s="43">
        <v>1</v>
      </c>
      <c r="K59" s="15">
        <v>41746</v>
      </c>
      <c r="L59" s="24">
        <v>109999.23</v>
      </c>
      <c r="M59" s="31">
        <v>41827</v>
      </c>
      <c r="N59" s="44">
        <f t="shared" ref="N59:N126" si="16">IF(M59="",$P$2-K59,M59-K59)</f>
        <v>81</v>
      </c>
      <c r="O59" s="83" t="str">
        <f t="shared" ref="O59:O60" si="17">IF(L59="en attente",I59,"")</f>
        <v/>
      </c>
      <c r="P59" s="83">
        <f t="shared" si="7"/>
        <v>0</v>
      </c>
      <c r="Q59" s="83"/>
      <c r="R59" s="197"/>
    </row>
    <row r="60" spans="1:18" s="26" customFormat="1" x14ac:dyDescent="0.25">
      <c r="A60" s="47" t="s">
        <v>91</v>
      </c>
      <c r="B60" s="441"/>
      <c r="C60" s="15"/>
      <c r="D60" s="15"/>
      <c r="E60" s="15"/>
      <c r="F60" s="15"/>
      <c r="G60" s="15"/>
      <c r="H60" s="121">
        <f>I60/$H$58+H59</f>
        <v>1</v>
      </c>
      <c r="I60" s="124">
        <f>+H58-L59</f>
        <v>28200.770000000004</v>
      </c>
      <c r="J60" s="43">
        <v>2</v>
      </c>
      <c r="K60" s="15"/>
      <c r="L60" s="24"/>
      <c r="M60" s="31"/>
      <c r="N60" s="44"/>
      <c r="O60" s="83" t="str">
        <f t="shared" si="17"/>
        <v/>
      </c>
      <c r="P60" s="83">
        <f t="shared" si="7"/>
        <v>28200.770000000004</v>
      </c>
      <c r="Q60" s="83"/>
      <c r="R60" s="197"/>
    </row>
    <row r="61" spans="1:18" s="120" customFormat="1" ht="12.25" customHeight="1" x14ac:dyDescent="0.25">
      <c r="A61" s="152" t="s">
        <v>92</v>
      </c>
      <c r="B61" s="440" t="s">
        <v>227</v>
      </c>
      <c r="C61" s="192">
        <v>41600</v>
      </c>
      <c r="D61" s="192">
        <f>DATE(YEAR(C61)+2,MONTH(C61),DAY(C61))</f>
        <v>42330</v>
      </c>
      <c r="E61" s="192">
        <v>41848</v>
      </c>
      <c r="F61" s="192">
        <f>DATE(YEAR(E61)+4,MONTH(E61),DAY(E61))</f>
        <v>43309</v>
      </c>
      <c r="G61" s="192">
        <v>42313</v>
      </c>
      <c r="H61" s="161">
        <v>238500</v>
      </c>
      <c r="I61" s="156"/>
      <c r="J61" s="171"/>
      <c r="K61" s="192"/>
      <c r="L61" s="159">
        <f>SUM(L62:L64)</f>
        <v>190800</v>
      </c>
      <c r="M61" s="184"/>
      <c r="N61" s="185"/>
      <c r="O61" s="193">
        <f>SUM(O62:O64)</f>
        <v>0</v>
      </c>
      <c r="P61" s="193">
        <f>SUM(P62:P64)</f>
        <v>47700</v>
      </c>
      <c r="Q61" s="193"/>
      <c r="R61" s="197">
        <f>H61-(L61+O61+P61)</f>
        <v>0</v>
      </c>
    </row>
    <row r="62" spans="1:18" s="26" customFormat="1" ht="12.25" customHeight="1" x14ac:dyDescent="0.25">
      <c r="A62" s="47" t="s">
        <v>92</v>
      </c>
      <c r="B62" s="441"/>
      <c r="C62" s="15"/>
      <c r="D62" s="15"/>
      <c r="E62" s="15"/>
      <c r="F62" s="15"/>
      <c r="G62" s="15"/>
      <c r="H62" s="121">
        <f>I62/$H$61</f>
        <v>0.52422373165618452</v>
      </c>
      <c r="I62" s="23">
        <v>125027.36</v>
      </c>
      <c r="J62" s="43">
        <v>1</v>
      </c>
      <c r="K62" s="15">
        <v>41869</v>
      </c>
      <c r="L62" s="24">
        <v>125027.36</v>
      </c>
      <c r="M62" s="31">
        <v>41925</v>
      </c>
      <c r="N62" s="44">
        <f t="shared" si="16"/>
        <v>56</v>
      </c>
      <c r="O62" s="83" t="str">
        <f t="shared" ref="O62:O64" si="18">IF(L62="en attente",I62,"")</f>
        <v/>
      </c>
      <c r="P62" s="83">
        <f t="shared" si="7"/>
        <v>0</v>
      </c>
      <c r="Q62" s="83"/>
      <c r="R62" s="197"/>
    </row>
    <row r="63" spans="1:18" s="26" customFormat="1" ht="12.25" customHeight="1" x14ac:dyDescent="0.25">
      <c r="A63" s="47" t="s">
        <v>92</v>
      </c>
      <c r="B63" s="441"/>
      <c r="C63" s="15"/>
      <c r="D63" s="15"/>
      <c r="E63" s="15"/>
      <c r="F63" s="15"/>
      <c r="G63" s="15"/>
      <c r="H63" s="121">
        <f>I63/$H$61+H62</f>
        <v>0.8</v>
      </c>
      <c r="I63" s="23">
        <v>65772.639999999999</v>
      </c>
      <c r="J63" s="43">
        <v>2</v>
      </c>
      <c r="K63" s="15">
        <v>42264</v>
      </c>
      <c r="L63" s="24">
        <v>65772.639999999999</v>
      </c>
      <c r="M63" s="31">
        <v>42325</v>
      </c>
      <c r="N63" s="44"/>
      <c r="O63" s="83" t="str">
        <f t="shared" si="18"/>
        <v/>
      </c>
      <c r="P63" s="83">
        <f t="shared" si="7"/>
        <v>0</v>
      </c>
      <c r="Q63" s="83"/>
      <c r="R63" s="197"/>
    </row>
    <row r="64" spans="1:18" s="26" customFormat="1" ht="12.25" customHeight="1" x14ac:dyDescent="0.25">
      <c r="A64" s="151" t="s">
        <v>92</v>
      </c>
      <c r="B64" s="442"/>
      <c r="C64" s="37"/>
      <c r="D64" s="37"/>
      <c r="E64" s="37"/>
      <c r="F64" s="37"/>
      <c r="G64" s="37"/>
      <c r="H64" s="186">
        <f>I64/$H$61+H63</f>
        <v>1</v>
      </c>
      <c r="I64" s="194">
        <f>H61-SUM(I62:I63)</f>
        <v>47700</v>
      </c>
      <c r="J64" s="45">
        <v>3</v>
      </c>
      <c r="K64" s="37"/>
      <c r="L64" s="38"/>
      <c r="M64" s="189"/>
      <c r="N64" s="190"/>
      <c r="O64" s="191" t="str">
        <f t="shared" si="18"/>
        <v/>
      </c>
      <c r="P64" s="83">
        <f t="shared" si="7"/>
        <v>47700</v>
      </c>
      <c r="Q64" s="191"/>
      <c r="R64" s="197"/>
    </row>
    <row r="65" spans="1:18" s="120" customFormat="1" ht="12.25" customHeight="1" x14ac:dyDescent="0.25">
      <c r="A65" s="162" t="s">
        <v>93</v>
      </c>
      <c r="B65" s="443" t="s">
        <v>226</v>
      </c>
      <c r="C65" s="182">
        <v>41570</v>
      </c>
      <c r="D65" s="192">
        <f>DATE(YEAR(C65)+2,MONTH(C65),DAY(C65))</f>
        <v>42300</v>
      </c>
      <c r="E65" s="182">
        <v>41900</v>
      </c>
      <c r="F65" s="182">
        <f>DATE(YEAR(E65)+4,MONTH(E65),DAY(E65))</f>
        <v>43361</v>
      </c>
      <c r="G65" s="182"/>
      <c r="H65" s="170">
        <v>180000</v>
      </c>
      <c r="I65" s="165"/>
      <c r="J65" s="166"/>
      <c r="K65" s="182"/>
      <c r="L65" s="168">
        <f>SUM(L66:L69)</f>
        <v>0</v>
      </c>
      <c r="M65" s="180"/>
      <c r="N65" s="181"/>
      <c r="O65" s="183">
        <f>SUM(O66)</f>
        <v>63214</v>
      </c>
      <c r="P65" s="205">
        <f>SUM(P66:P69)</f>
        <v>116786</v>
      </c>
      <c r="Q65" s="183"/>
      <c r="R65" s="197">
        <f>H65-(L65+O65+P65)</f>
        <v>0</v>
      </c>
    </row>
    <row r="66" spans="1:18" s="26" customFormat="1" x14ac:dyDescent="0.25">
      <c r="A66" s="47" t="s">
        <v>93</v>
      </c>
      <c r="B66" s="441"/>
      <c r="C66" s="15"/>
      <c r="D66" s="15"/>
      <c r="E66" s="15"/>
      <c r="F66" s="15"/>
      <c r="G66" s="15"/>
      <c r="H66" s="286">
        <v>0.35120000000000001</v>
      </c>
      <c r="I66" s="23">
        <v>63214</v>
      </c>
      <c r="J66" s="43">
        <v>1</v>
      </c>
      <c r="K66" s="15">
        <v>42376</v>
      </c>
      <c r="L66" s="137" t="s">
        <v>113</v>
      </c>
      <c r="M66" s="31"/>
      <c r="N66" s="44"/>
      <c r="O66" s="83">
        <f t="shared" ref="O66:O69" si="19">IF(L66="en attente",I66,"")</f>
        <v>63214</v>
      </c>
      <c r="P66" s="83">
        <f t="shared" si="7"/>
        <v>0</v>
      </c>
      <c r="Q66" s="83"/>
      <c r="R66" s="197"/>
    </row>
    <row r="67" spans="1:18" s="26" customFormat="1" ht="12.25" customHeight="1" x14ac:dyDescent="0.25">
      <c r="A67" s="47" t="s">
        <v>93</v>
      </c>
      <c r="B67" s="441"/>
      <c r="C67" s="15"/>
      <c r="D67" s="15"/>
      <c r="E67" s="15"/>
      <c r="F67" s="15"/>
      <c r="G67" s="15"/>
      <c r="H67" s="121">
        <v>0.65</v>
      </c>
      <c r="I67" s="123">
        <f>(H65*H67)-I66</f>
        <v>53786</v>
      </c>
      <c r="J67" s="43">
        <v>2</v>
      </c>
      <c r="K67" s="15"/>
      <c r="L67" s="24"/>
      <c r="M67" s="31"/>
      <c r="N67" s="44"/>
      <c r="O67" s="83" t="str">
        <f t="shared" si="19"/>
        <v/>
      </c>
      <c r="P67" s="83">
        <f t="shared" si="7"/>
        <v>53786</v>
      </c>
      <c r="Q67" s="83"/>
      <c r="R67" s="197"/>
    </row>
    <row r="68" spans="1:18" s="26" customFormat="1" ht="12.25" customHeight="1" x14ac:dyDescent="0.25">
      <c r="A68" s="47" t="s">
        <v>93</v>
      </c>
      <c r="B68" s="441"/>
      <c r="C68" s="15"/>
      <c r="D68" s="15"/>
      <c r="E68" s="15"/>
      <c r="F68" s="15"/>
      <c r="G68" s="15"/>
      <c r="H68" s="121">
        <v>0.8</v>
      </c>
      <c r="I68" s="123">
        <f>(H65*H68)-(I66+I67)</f>
        <v>27000</v>
      </c>
      <c r="J68" s="43">
        <v>3</v>
      </c>
      <c r="K68" s="15"/>
      <c r="L68" s="24"/>
      <c r="M68" s="31"/>
      <c r="N68" s="44"/>
      <c r="O68" s="83" t="str">
        <f t="shared" si="19"/>
        <v/>
      </c>
      <c r="P68" s="83">
        <f t="shared" si="7"/>
        <v>27000</v>
      </c>
      <c r="Q68" s="83"/>
      <c r="R68" s="197"/>
    </row>
    <row r="69" spans="1:18" s="26" customFormat="1" ht="12.25" customHeight="1" x14ac:dyDescent="0.25">
      <c r="A69" s="47" t="s">
        <v>93</v>
      </c>
      <c r="B69" s="441"/>
      <c r="C69" s="15"/>
      <c r="D69" s="15"/>
      <c r="E69" s="15"/>
      <c r="F69" s="15"/>
      <c r="G69" s="15"/>
      <c r="H69" s="121">
        <f>I69/$H$65+H68</f>
        <v>1</v>
      </c>
      <c r="I69" s="123">
        <f>H65-(I66+I67+I68)</f>
        <v>36000</v>
      </c>
      <c r="J69" s="43">
        <v>4</v>
      </c>
      <c r="K69" s="15"/>
      <c r="L69" s="24"/>
      <c r="M69" s="31"/>
      <c r="N69" s="44"/>
      <c r="O69" s="83" t="str">
        <f t="shared" si="19"/>
        <v/>
      </c>
      <c r="P69" s="83">
        <f t="shared" si="7"/>
        <v>36000</v>
      </c>
      <c r="Q69" s="83"/>
      <c r="R69" s="197"/>
    </row>
    <row r="70" spans="1:18" s="218" customFormat="1" ht="12.25" customHeight="1" x14ac:dyDescent="0.25">
      <c r="A70" s="152" t="s">
        <v>94</v>
      </c>
      <c r="B70" s="440" t="s">
        <v>225</v>
      </c>
      <c r="C70" s="192">
        <v>41544</v>
      </c>
      <c r="D70" s="192">
        <f>DATE(YEAR(C70)+2,MONTH(C70),DAY(C70))</f>
        <v>42274</v>
      </c>
      <c r="E70" s="192">
        <v>41801</v>
      </c>
      <c r="F70" s="192">
        <f>DATE(YEAR(E70)+4,MONTH(E70),DAY(E70))</f>
        <v>43262</v>
      </c>
      <c r="G70" s="192"/>
      <c r="H70" s="161">
        <v>1303101.69</v>
      </c>
      <c r="I70" s="156"/>
      <c r="J70" s="171"/>
      <c r="K70" s="192"/>
      <c r="L70" s="159">
        <f>SUM(L71:L76)</f>
        <v>612508.69999999995</v>
      </c>
      <c r="M70" s="184"/>
      <c r="N70" s="185"/>
      <c r="O70" s="193">
        <f>SUM(O71)</f>
        <v>0</v>
      </c>
      <c r="P70" s="193">
        <f>SUM(P71:P76)</f>
        <v>557252.18999999994</v>
      </c>
      <c r="Q70" s="193"/>
      <c r="R70" s="198">
        <f>H70-(L70+O70+P70)</f>
        <v>133340.80000000005</v>
      </c>
    </row>
    <row r="71" spans="1:18" s="26" customFormat="1" ht="12.25" customHeight="1" x14ac:dyDescent="0.25">
      <c r="A71" s="47" t="s">
        <v>94</v>
      </c>
      <c r="B71" s="441"/>
      <c r="C71" s="15"/>
      <c r="D71" s="15"/>
      <c r="E71" s="15"/>
      <c r="F71" s="15"/>
      <c r="G71" s="15"/>
      <c r="H71" s="121">
        <f>I71/$H$70</f>
        <v>0.47003906502492526</v>
      </c>
      <c r="I71" s="23">
        <v>612508.69999999995</v>
      </c>
      <c r="J71" s="43">
        <v>1</v>
      </c>
      <c r="K71" s="15">
        <v>42226</v>
      </c>
      <c r="L71" s="24">
        <v>612508.69999999995</v>
      </c>
      <c r="M71" s="31">
        <v>42307</v>
      </c>
      <c r="N71" s="44"/>
      <c r="O71" s="83" t="str">
        <f t="shared" ref="O71:O76" si="20">IF(L71="en attente",I71,"")</f>
        <v/>
      </c>
      <c r="P71" s="83">
        <f t="shared" si="7"/>
        <v>0</v>
      </c>
      <c r="Q71" s="83"/>
      <c r="R71" s="197"/>
    </row>
    <row r="72" spans="1:18" s="26" customFormat="1" ht="12.25" customHeight="1" x14ac:dyDescent="0.25">
      <c r="A72" s="47" t="s">
        <v>94</v>
      </c>
      <c r="B72" s="441"/>
      <c r="C72" s="15"/>
      <c r="D72" s="15"/>
      <c r="E72" s="15"/>
      <c r="F72" s="15"/>
      <c r="G72" s="15"/>
      <c r="H72" s="286">
        <v>0.57240000000000002</v>
      </c>
      <c r="I72" s="123">
        <v>133340.79999999999</v>
      </c>
      <c r="J72" s="43">
        <v>2</v>
      </c>
      <c r="K72" s="15">
        <v>42409</v>
      </c>
      <c r="L72" s="137" t="s">
        <v>113</v>
      </c>
      <c r="M72" s="31"/>
      <c r="N72" s="44"/>
      <c r="O72" s="83">
        <f t="shared" si="20"/>
        <v>133340.79999999999</v>
      </c>
      <c r="P72" s="83">
        <f t="shared" si="7"/>
        <v>0</v>
      </c>
      <c r="Q72" s="83"/>
      <c r="R72" s="197"/>
    </row>
    <row r="73" spans="1:18" s="26" customFormat="1" ht="12.25" customHeight="1" x14ac:dyDescent="0.25">
      <c r="A73" s="47" t="s">
        <v>94</v>
      </c>
      <c r="B73" s="441"/>
      <c r="C73" s="15"/>
      <c r="D73" s="15"/>
      <c r="E73" s="15"/>
      <c r="F73" s="15"/>
      <c r="G73" s="15"/>
      <c r="H73" s="121">
        <f>I73/$H$70+H72</f>
        <v>0.67216197636578923</v>
      </c>
      <c r="I73" s="123">
        <v>130000</v>
      </c>
      <c r="J73" s="43">
        <v>3</v>
      </c>
      <c r="K73" s="15"/>
      <c r="L73" s="24"/>
      <c r="M73" s="31"/>
      <c r="N73" s="44"/>
      <c r="O73" s="83" t="str">
        <f t="shared" si="20"/>
        <v/>
      </c>
      <c r="P73" s="83">
        <f t="shared" si="7"/>
        <v>130000</v>
      </c>
      <c r="Q73" s="83"/>
      <c r="R73" s="197"/>
    </row>
    <row r="74" spans="1:18" s="26" customFormat="1" ht="12.25" customHeight="1" x14ac:dyDescent="0.25">
      <c r="A74" s="47" t="s">
        <v>94</v>
      </c>
      <c r="B74" s="441"/>
      <c r="C74" s="15"/>
      <c r="D74" s="15"/>
      <c r="E74" s="15"/>
      <c r="F74" s="15"/>
      <c r="G74" s="15"/>
      <c r="H74" s="121">
        <f>I74/$H$70+H73</f>
        <v>0.77192395273157843</v>
      </c>
      <c r="I74" s="123">
        <v>130000</v>
      </c>
      <c r="J74" s="43">
        <v>4</v>
      </c>
      <c r="K74" s="15"/>
      <c r="L74" s="24"/>
      <c r="M74" s="31"/>
      <c r="N74" s="44"/>
      <c r="O74" s="83" t="str">
        <f t="shared" si="20"/>
        <v/>
      </c>
      <c r="P74" s="83">
        <f t="shared" si="7"/>
        <v>130000</v>
      </c>
      <c r="Q74" s="83"/>
      <c r="R74" s="197"/>
    </row>
    <row r="75" spans="1:18" s="26" customFormat="1" ht="12.25" customHeight="1" x14ac:dyDescent="0.25">
      <c r="A75" s="47" t="s">
        <v>94</v>
      </c>
      <c r="B75" s="441"/>
      <c r="C75" s="15"/>
      <c r="D75" s="15"/>
      <c r="E75" s="15"/>
      <c r="F75" s="15"/>
      <c r="G75" s="15"/>
      <c r="H75" s="121">
        <f>I75/$H$70+H74</f>
        <v>0.80263802539923035</v>
      </c>
      <c r="I75" s="123">
        <v>40023.56</v>
      </c>
      <c r="J75" s="43">
        <v>5</v>
      </c>
      <c r="K75" s="15"/>
      <c r="L75" s="24"/>
      <c r="M75" s="31"/>
      <c r="N75" s="44"/>
      <c r="O75" s="83" t="str">
        <f t="shared" si="20"/>
        <v/>
      </c>
      <c r="P75" s="83">
        <f t="shared" si="7"/>
        <v>40023.56</v>
      </c>
      <c r="Q75" s="83"/>
      <c r="R75" s="197"/>
    </row>
    <row r="76" spans="1:18" s="26" customFormat="1" ht="12.25" customHeight="1" x14ac:dyDescent="0.25">
      <c r="A76" s="151" t="s">
        <v>94</v>
      </c>
      <c r="B76" s="442"/>
      <c r="C76" s="37"/>
      <c r="D76" s="37"/>
      <c r="E76" s="37"/>
      <c r="F76" s="37"/>
      <c r="G76" s="37"/>
      <c r="H76" s="186">
        <f>I76/$H$70+H75</f>
        <v>1.0000352292966483</v>
      </c>
      <c r="I76" s="123">
        <f>H70-(I71+I72+I73+I74+I75)</f>
        <v>257228.62999999989</v>
      </c>
      <c r="J76" s="45">
        <v>6</v>
      </c>
      <c r="K76" s="37"/>
      <c r="L76" s="38"/>
      <c r="M76" s="189"/>
      <c r="N76" s="190"/>
      <c r="O76" s="191" t="str">
        <f t="shared" si="20"/>
        <v/>
      </c>
      <c r="P76" s="191">
        <f t="shared" si="7"/>
        <v>257228.62999999989</v>
      </c>
      <c r="Q76" s="191"/>
      <c r="R76" s="197"/>
    </row>
    <row r="77" spans="1:18" s="120" customFormat="1" ht="12.25" customHeight="1" x14ac:dyDescent="0.25">
      <c r="A77" s="162" t="s">
        <v>95</v>
      </c>
      <c r="B77" s="443" t="s">
        <v>224</v>
      </c>
      <c r="C77" s="182">
        <v>41544</v>
      </c>
      <c r="D77" s="192">
        <f>DATE(YEAR(C77)+2,MONTH(C77),DAY(C77))</f>
        <v>42274</v>
      </c>
      <c r="E77" s="182">
        <v>41729</v>
      </c>
      <c r="F77" s="182">
        <f>DATE(YEAR(E77)+4,MONTH(E77),DAY(E77))</f>
        <v>43190</v>
      </c>
      <c r="G77" s="182"/>
      <c r="H77" s="170">
        <v>680000</v>
      </c>
      <c r="I77" s="156"/>
      <c r="J77" s="166"/>
      <c r="K77" s="182"/>
      <c r="L77" s="168">
        <f>SUM(L78:L80)</f>
        <v>543734.56000000006</v>
      </c>
      <c r="M77" s="180"/>
      <c r="N77" s="181"/>
      <c r="O77" s="183">
        <f>SUM(O78:O80)</f>
        <v>0</v>
      </c>
      <c r="P77" s="183">
        <f>SUM(P78:P80)</f>
        <v>136265.43999999994</v>
      </c>
      <c r="Q77" s="183"/>
      <c r="R77" s="197">
        <f>H77-(L77+O77+P77)</f>
        <v>0</v>
      </c>
    </row>
    <row r="78" spans="1:18" s="26" customFormat="1" ht="12.25" customHeight="1" x14ac:dyDescent="0.25">
      <c r="A78" s="47" t="s">
        <v>95</v>
      </c>
      <c r="B78" s="441"/>
      <c r="C78" s="15"/>
      <c r="D78" s="15"/>
      <c r="E78" s="15"/>
      <c r="F78" s="15"/>
      <c r="G78" s="15"/>
      <c r="H78" s="121">
        <f>I78/$H$77</f>
        <v>0.47570761764705882</v>
      </c>
      <c r="I78" s="23">
        <v>323481.18</v>
      </c>
      <c r="J78" s="43">
        <v>1</v>
      </c>
      <c r="K78" s="15">
        <v>41746</v>
      </c>
      <c r="L78" s="24">
        <v>323481.18</v>
      </c>
      <c r="M78" s="31">
        <v>41814</v>
      </c>
      <c r="N78" s="44">
        <f t="shared" si="16"/>
        <v>68</v>
      </c>
      <c r="O78" s="83" t="str">
        <f t="shared" ref="O78:O80" si="21">IF(L78="en attente",I78,"")</f>
        <v/>
      </c>
      <c r="P78" s="83">
        <f t="shared" si="7"/>
        <v>0</v>
      </c>
      <c r="Q78" s="83"/>
      <c r="R78" s="197"/>
    </row>
    <row r="79" spans="1:18" s="26" customFormat="1" ht="12.25" customHeight="1" x14ac:dyDescent="0.25">
      <c r="A79" s="47" t="s">
        <v>95</v>
      </c>
      <c r="B79" s="441"/>
      <c r="C79" s="15"/>
      <c r="D79" s="15"/>
      <c r="E79" s="15"/>
      <c r="F79" s="15"/>
      <c r="G79" s="15"/>
      <c r="H79" s="286">
        <f>I79/$H$77+H78</f>
        <v>0.79960964705882354</v>
      </c>
      <c r="I79" s="23">
        <v>220253.38</v>
      </c>
      <c r="J79" s="43">
        <v>2</v>
      </c>
      <c r="K79" s="15">
        <v>42264</v>
      </c>
      <c r="L79" s="24">
        <v>220253.38</v>
      </c>
      <c r="M79" s="31">
        <v>42325</v>
      </c>
      <c r="N79" s="44"/>
      <c r="O79" s="83" t="str">
        <f t="shared" si="21"/>
        <v/>
      </c>
      <c r="P79" s="83">
        <f t="shared" si="7"/>
        <v>0</v>
      </c>
      <c r="Q79" s="83"/>
      <c r="R79" s="197"/>
    </row>
    <row r="80" spans="1:18" s="26" customFormat="1" ht="12.25" customHeight="1" x14ac:dyDescent="0.25">
      <c r="A80" s="47" t="s">
        <v>95</v>
      </c>
      <c r="B80" s="441"/>
      <c r="C80" s="15"/>
      <c r="D80" s="15"/>
      <c r="E80" s="15"/>
      <c r="F80" s="15"/>
      <c r="G80" s="15"/>
      <c r="H80" s="286">
        <f>I80/$H$77+H79</f>
        <v>0.99999999999999989</v>
      </c>
      <c r="I80" s="23">
        <f>H77-SUM(I78:I79)</f>
        <v>136265.43999999994</v>
      </c>
      <c r="J80" s="43">
        <v>4</v>
      </c>
      <c r="K80" s="15"/>
      <c r="L80" s="24"/>
      <c r="M80" s="31"/>
      <c r="N80" s="44"/>
      <c r="O80" s="83" t="str">
        <f t="shared" si="21"/>
        <v/>
      </c>
      <c r="P80" s="83">
        <f t="shared" si="7"/>
        <v>136265.43999999994</v>
      </c>
      <c r="Q80" s="83"/>
      <c r="R80" s="197"/>
    </row>
    <row r="81" spans="1:18" s="120" customFormat="1" ht="12.25" customHeight="1" x14ac:dyDescent="0.25">
      <c r="A81" s="152" t="s">
        <v>96</v>
      </c>
      <c r="B81" s="440" t="s">
        <v>223</v>
      </c>
      <c r="C81" s="192">
        <v>41612</v>
      </c>
      <c r="D81" s="192">
        <f>DATE(YEAR(C81)+2,MONTH(C81),DAY(C81))</f>
        <v>42342</v>
      </c>
      <c r="E81" s="192">
        <v>42341</v>
      </c>
      <c r="F81" s="192">
        <f>DATE(YEAR(E81)+4,MONTH(E81),DAY(E81))</f>
        <v>43802</v>
      </c>
      <c r="G81" s="192"/>
      <c r="H81" s="161">
        <v>300000</v>
      </c>
      <c r="I81" s="156"/>
      <c r="J81" s="171"/>
      <c r="K81" s="192"/>
      <c r="L81" s="159">
        <f>SUM(L82:L85)</f>
        <v>0</v>
      </c>
      <c r="M81" s="184"/>
      <c r="N81" s="185"/>
      <c r="O81" s="193">
        <f>SUM(O82)</f>
        <v>132435.64000000001</v>
      </c>
      <c r="P81" s="193">
        <f>SUM(P82:P85)</f>
        <v>167564.35999999999</v>
      </c>
      <c r="Q81" s="193"/>
      <c r="R81" s="197">
        <f>H81-(L81+O81+P81)</f>
        <v>0</v>
      </c>
    </row>
    <row r="82" spans="1:18" s="26" customFormat="1" ht="12.25" customHeight="1" x14ac:dyDescent="0.25">
      <c r="A82" s="47" t="s">
        <v>96</v>
      </c>
      <c r="B82" s="441"/>
      <c r="C82" s="15"/>
      <c r="D82" s="15"/>
      <c r="E82" s="15"/>
      <c r="F82" s="15"/>
      <c r="G82" s="15"/>
      <c r="H82" s="286">
        <v>0.4415</v>
      </c>
      <c r="I82" s="23">
        <v>132435.64000000001</v>
      </c>
      <c r="J82" s="43">
        <v>1</v>
      </c>
      <c r="K82" s="15">
        <v>42355</v>
      </c>
      <c r="L82" s="137" t="s">
        <v>113</v>
      </c>
      <c r="M82" s="31"/>
      <c r="N82" s="44"/>
      <c r="O82" s="83">
        <f t="shared" ref="O82:O85" si="22">IF(L82="en attente",I82,"")</f>
        <v>132435.64000000001</v>
      </c>
      <c r="P82" s="83">
        <f t="shared" si="7"/>
        <v>0</v>
      </c>
      <c r="Q82" s="83" t="s">
        <v>185</v>
      </c>
      <c r="R82" s="197"/>
    </row>
    <row r="83" spans="1:18" s="26" customFormat="1" ht="12.25" customHeight="1" x14ac:dyDescent="0.25">
      <c r="A83" s="47" t="s">
        <v>96</v>
      </c>
      <c r="B83" s="441"/>
      <c r="C83" s="15"/>
      <c r="D83" s="15"/>
      <c r="E83" s="15"/>
      <c r="F83" s="15"/>
      <c r="G83" s="15"/>
      <c r="H83" s="121">
        <v>0.6</v>
      </c>
      <c r="I83" s="23">
        <f>180000-132435.64</f>
        <v>47564.359999999986</v>
      </c>
      <c r="J83" s="43">
        <v>2</v>
      </c>
      <c r="K83" s="15"/>
      <c r="L83" s="24"/>
      <c r="M83" s="31"/>
      <c r="N83" s="44"/>
      <c r="O83" s="83" t="str">
        <f t="shared" si="22"/>
        <v/>
      </c>
      <c r="P83" s="83">
        <f t="shared" si="7"/>
        <v>47564.359999999986</v>
      </c>
      <c r="Q83" s="83"/>
      <c r="R83" s="197"/>
    </row>
    <row r="84" spans="1:18" s="26" customFormat="1" ht="12.25" customHeight="1" x14ac:dyDescent="0.25">
      <c r="A84" s="47" t="s">
        <v>96</v>
      </c>
      <c r="B84" s="441"/>
      <c r="C84" s="15"/>
      <c r="D84" s="15"/>
      <c r="E84" s="15"/>
      <c r="F84" s="15"/>
      <c r="G84" s="15"/>
      <c r="H84" s="121">
        <v>0.8</v>
      </c>
      <c r="I84" s="23">
        <f>240000-I82-I83</f>
        <v>60000</v>
      </c>
      <c r="J84" s="43">
        <v>4</v>
      </c>
      <c r="K84" s="15"/>
      <c r="L84" s="24"/>
      <c r="M84" s="31"/>
      <c r="N84" s="44"/>
      <c r="O84" s="83" t="str">
        <f t="shared" si="22"/>
        <v/>
      </c>
      <c r="P84" s="83">
        <f t="shared" si="7"/>
        <v>60000</v>
      </c>
      <c r="Q84" s="83"/>
      <c r="R84" s="197"/>
    </row>
    <row r="85" spans="1:18" s="26" customFormat="1" ht="12.25" customHeight="1" x14ac:dyDescent="0.25">
      <c r="A85" s="151" t="s">
        <v>96</v>
      </c>
      <c r="B85" s="442"/>
      <c r="C85" s="37"/>
      <c r="D85" s="37"/>
      <c r="E85" s="37"/>
      <c r="F85" s="37"/>
      <c r="G85" s="37"/>
      <c r="H85" s="186">
        <v>1</v>
      </c>
      <c r="I85" s="36">
        <f>H81-I82-I83-I84</f>
        <v>60000</v>
      </c>
      <c r="J85" s="45">
        <v>5</v>
      </c>
      <c r="K85" s="37"/>
      <c r="L85" s="38"/>
      <c r="M85" s="189"/>
      <c r="N85" s="190"/>
      <c r="O85" s="191" t="str">
        <f t="shared" si="22"/>
        <v/>
      </c>
      <c r="P85" s="191">
        <f t="shared" si="7"/>
        <v>60000</v>
      </c>
      <c r="Q85" s="191"/>
      <c r="R85" s="197"/>
    </row>
    <row r="86" spans="1:18" s="120" customFormat="1" ht="12.25" customHeight="1" x14ac:dyDescent="0.25">
      <c r="A86" s="162" t="s">
        <v>97</v>
      </c>
      <c r="B86" s="443" t="s">
        <v>222</v>
      </c>
      <c r="C86" s="182">
        <v>41544</v>
      </c>
      <c r="D86" s="192">
        <f>DATE(YEAR(C86)+2,MONTH(C86),DAY(C86))</f>
        <v>42274</v>
      </c>
      <c r="E86" s="182">
        <v>42142</v>
      </c>
      <c r="F86" s="182">
        <f>DATE(YEAR(E86)+4,MONTH(E86),DAY(E86))</f>
        <v>43603</v>
      </c>
      <c r="G86" s="182"/>
      <c r="H86" s="170">
        <v>2200000</v>
      </c>
      <c r="I86" s="165"/>
      <c r="J86" s="166"/>
      <c r="K86" s="182"/>
      <c r="L86" s="168">
        <f>SUM(L87:L89)</f>
        <v>1125520</v>
      </c>
      <c r="M86" s="180"/>
      <c r="N86" s="181"/>
      <c r="O86" s="183">
        <f>SUM(O87:O89)</f>
        <v>0</v>
      </c>
      <c r="P86" s="183">
        <f>SUM(P87:P89)</f>
        <v>1074480</v>
      </c>
      <c r="Q86" s="183"/>
      <c r="R86" s="197">
        <f>H86-(L86+O86+P86)</f>
        <v>0</v>
      </c>
    </row>
    <row r="87" spans="1:18" s="26" customFormat="1" ht="12.25" customHeight="1" x14ac:dyDescent="0.25">
      <c r="A87" s="47" t="s">
        <v>97</v>
      </c>
      <c r="B87" s="441"/>
      <c r="C87" s="15"/>
      <c r="D87" s="15"/>
      <c r="E87" s="15"/>
      <c r="F87" s="15"/>
      <c r="G87" s="15"/>
      <c r="H87" s="286">
        <v>0.50160000000000005</v>
      </c>
      <c r="I87" s="23">
        <v>1125520</v>
      </c>
      <c r="J87" s="43">
        <v>1</v>
      </c>
      <c r="K87" s="15">
        <v>42314</v>
      </c>
      <c r="L87" s="24">
        <v>1125520</v>
      </c>
      <c r="M87" s="31">
        <v>42384</v>
      </c>
      <c r="N87" s="44"/>
      <c r="O87" s="83" t="str">
        <f t="shared" ref="O87:O89" si="23">IF(L87="en attente",I87,"")</f>
        <v/>
      </c>
      <c r="P87" s="83">
        <f t="shared" si="7"/>
        <v>0</v>
      </c>
      <c r="Q87" s="83"/>
      <c r="R87" s="197"/>
    </row>
    <row r="88" spans="1:18" s="26" customFormat="1" ht="12.25" customHeight="1" x14ac:dyDescent="0.25">
      <c r="A88" s="47" t="s">
        <v>97</v>
      </c>
      <c r="B88" s="441"/>
      <c r="C88" s="15"/>
      <c r="D88" s="15"/>
      <c r="E88" s="15"/>
      <c r="F88" s="15"/>
      <c r="G88" s="15"/>
      <c r="H88" s="121">
        <v>0.8</v>
      </c>
      <c r="I88" s="23">
        <v>634480</v>
      </c>
      <c r="J88" s="43">
        <v>17</v>
      </c>
      <c r="K88" s="15"/>
      <c r="L88" s="24"/>
      <c r="M88" s="31"/>
      <c r="N88" s="44"/>
      <c r="O88" s="83" t="str">
        <f t="shared" si="23"/>
        <v/>
      </c>
      <c r="P88" s="83">
        <f t="shared" si="7"/>
        <v>634480</v>
      </c>
      <c r="Q88" s="83"/>
      <c r="R88" s="197"/>
    </row>
    <row r="89" spans="1:18" s="26" customFormat="1" ht="12.25" customHeight="1" x14ac:dyDescent="0.25">
      <c r="A89" s="47" t="s">
        <v>97</v>
      </c>
      <c r="B89" s="441"/>
      <c r="C89" s="15"/>
      <c r="D89" s="15"/>
      <c r="E89" s="15"/>
      <c r="F89" s="15"/>
      <c r="G89" s="15"/>
      <c r="H89" s="121">
        <f t="shared" ref="H89" si="24">I89/$H$86+H88</f>
        <v>1</v>
      </c>
      <c r="I89" s="23">
        <f>H86-I87-I88</f>
        <v>440000</v>
      </c>
      <c r="J89" s="43">
        <v>18</v>
      </c>
      <c r="K89" s="15"/>
      <c r="L89" s="24"/>
      <c r="M89" s="31"/>
      <c r="N89" s="44"/>
      <c r="O89" s="83" t="str">
        <f t="shared" si="23"/>
        <v/>
      </c>
      <c r="P89" s="83">
        <f t="shared" si="7"/>
        <v>440000</v>
      </c>
      <c r="Q89" s="83"/>
      <c r="R89" s="197"/>
    </row>
    <row r="90" spans="1:18" s="120" customFormat="1" ht="12.25" customHeight="1" x14ac:dyDescent="0.25">
      <c r="A90" s="152" t="s">
        <v>132</v>
      </c>
      <c r="B90" s="440" t="s">
        <v>221</v>
      </c>
      <c r="C90" s="192">
        <v>41544</v>
      </c>
      <c r="D90" s="192">
        <f>DATE(YEAR(C90)+2,MONTH(C90),DAY(C90))</f>
        <v>42274</v>
      </c>
      <c r="E90" s="192">
        <v>41876</v>
      </c>
      <c r="F90" s="192">
        <f>DATE(YEAR(E90)+4,MONTH(E90),DAY(E90))</f>
        <v>43337</v>
      </c>
      <c r="G90" s="192"/>
      <c r="H90" s="161">
        <v>480000</v>
      </c>
      <c r="I90" s="156"/>
      <c r="J90" s="171"/>
      <c r="K90" s="192"/>
      <c r="L90" s="159">
        <f>SUM(L91:L95)</f>
        <v>0</v>
      </c>
      <c r="M90" s="184"/>
      <c r="N90" s="185"/>
      <c r="O90" s="193">
        <f>SUM(O91:O95)</f>
        <v>226957.77</v>
      </c>
      <c r="P90" s="193">
        <f>SUM(P91:P95)</f>
        <v>253042.23</v>
      </c>
      <c r="Q90" s="193"/>
      <c r="R90" s="197">
        <f>H90-(L90+O90+P90)</f>
        <v>0</v>
      </c>
    </row>
    <row r="91" spans="1:18" s="239" customFormat="1" ht="12.25" customHeight="1" x14ac:dyDescent="0.25">
      <c r="A91" s="322" t="s">
        <v>132</v>
      </c>
      <c r="B91" s="444"/>
      <c r="C91" s="234"/>
      <c r="D91" s="234"/>
      <c r="E91" s="234"/>
      <c r="F91" s="234"/>
      <c r="G91" s="234"/>
      <c r="H91" s="321">
        <f>I91/$H$90</f>
        <v>0.47282868749999996</v>
      </c>
      <c r="I91" s="23">
        <v>226957.77</v>
      </c>
      <c r="J91" s="240">
        <v>1</v>
      </c>
      <c r="K91" s="227">
        <v>42264</v>
      </c>
      <c r="L91" s="137" t="s">
        <v>113</v>
      </c>
      <c r="M91" s="236"/>
      <c r="N91" s="237"/>
      <c r="O91" s="242">
        <f t="shared" ref="O91:O95" si="25">IF(L91="en attente",I91,"")</f>
        <v>226957.77</v>
      </c>
      <c r="P91" s="242">
        <f t="shared" ref="P91:P95" si="26">IF(K91="",I91-L91,0)</f>
        <v>0</v>
      </c>
      <c r="Q91" s="242" t="s">
        <v>241</v>
      </c>
      <c r="R91" s="199"/>
    </row>
    <row r="92" spans="1:18" s="239" customFormat="1" x14ac:dyDescent="0.25">
      <c r="A92" s="322" t="s">
        <v>132</v>
      </c>
      <c r="B92" s="444"/>
      <c r="C92" s="234"/>
      <c r="D92" s="234"/>
      <c r="E92" s="234"/>
      <c r="F92" s="234"/>
      <c r="G92" s="234"/>
      <c r="H92" s="321">
        <f>I92/$H$90+H91</f>
        <v>0.58741202083333333</v>
      </c>
      <c r="I92" s="124">
        <v>55000</v>
      </c>
      <c r="J92" s="240">
        <v>2</v>
      </c>
      <c r="K92" s="227"/>
      <c r="L92" s="235"/>
      <c r="M92" s="236"/>
      <c r="N92" s="237"/>
      <c r="O92" s="242"/>
      <c r="P92" s="242">
        <f t="shared" si="26"/>
        <v>55000</v>
      </c>
      <c r="Q92" s="238"/>
      <c r="R92" s="199"/>
    </row>
    <row r="93" spans="1:18" s="239" customFormat="1" ht="12.25" customHeight="1" x14ac:dyDescent="0.25">
      <c r="A93" s="322" t="s">
        <v>132</v>
      </c>
      <c r="B93" s="444"/>
      <c r="C93" s="234"/>
      <c r="D93" s="234"/>
      <c r="E93" s="234"/>
      <c r="F93" s="234"/>
      <c r="G93" s="234"/>
      <c r="H93" s="241">
        <f>I93/$H$90+H92</f>
        <v>0.72077868749999996</v>
      </c>
      <c r="I93" s="123">
        <v>64016</v>
      </c>
      <c r="J93" s="240">
        <v>3</v>
      </c>
      <c r="K93" s="234"/>
      <c r="L93" s="235"/>
      <c r="M93" s="236"/>
      <c r="N93" s="237"/>
      <c r="O93" s="238" t="str">
        <f t="shared" si="25"/>
        <v/>
      </c>
      <c r="P93" s="242">
        <f t="shared" si="26"/>
        <v>64016</v>
      </c>
      <c r="Q93" s="238"/>
      <c r="R93" s="199"/>
    </row>
    <row r="94" spans="1:18" s="239" customFormat="1" ht="12.25" customHeight="1" x14ac:dyDescent="0.25">
      <c r="A94" s="322" t="s">
        <v>132</v>
      </c>
      <c r="B94" s="444"/>
      <c r="C94" s="234"/>
      <c r="D94" s="234"/>
      <c r="E94" s="234"/>
      <c r="F94" s="234"/>
      <c r="G94" s="234"/>
      <c r="H94" s="241">
        <f>I94/$H$90+H93</f>
        <v>0.79999999999999993</v>
      </c>
      <c r="I94" s="123">
        <f>0.8*H90-I91-I92-I93</f>
        <v>38026.23000000001</v>
      </c>
      <c r="J94" s="240">
        <v>4</v>
      </c>
      <c r="K94" s="234"/>
      <c r="L94" s="235"/>
      <c r="M94" s="236"/>
      <c r="N94" s="237"/>
      <c r="O94" s="238"/>
      <c r="P94" s="242">
        <f t="shared" si="26"/>
        <v>38026.23000000001</v>
      </c>
      <c r="Q94" s="238"/>
      <c r="R94" s="199"/>
    </row>
    <row r="95" spans="1:18" s="239" customFormat="1" ht="12.25" customHeight="1" x14ac:dyDescent="0.25">
      <c r="A95" s="322" t="s">
        <v>132</v>
      </c>
      <c r="B95" s="444"/>
      <c r="C95" s="234"/>
      <c r="D95" s="234"/>
      <c r="E95" s="234"/>
      <c r="F95" s="234"/>
      <c r="G95" s="234"/>
      <c r="H95" s="241">
        <f t="shared" ref="H95" si="27">I95/$H$90+H93</f>
        <v>0.92077868749999991</v>
      </c>
      <c r="I95" s="123">
        <f>0.2*H90</f>
        <v>96000</v>
      </c>
      <c r="J95" s="240">
        <v>5</v>
      </c>
      <c r="K95" s="234"/>
      <c r="L95" s="235"/>
      <c r="M95" s="236"/>
      <c r="N95" s="237"/>
      <c r="O95" s="238" t="str">
        <f t="shared" si="25"/>
        <v/>
      </c>
      <c r="P95" s="242">
        <f t="shared" si="26"/>
        <v>96000</v>
      </c>
      <c r="Q95" s="238"/>
      <c r="R95" s="199"/>
    </row>
    <row r="96" spans="1:18" s="120" customFormat="1" ht="12.25" customHeight="1" x14ac:dyDescent="0.25">
      <c r="A96" s="152" t="s">
        <v>98</v>
      </c>
      <c r="B96" s="440" t="s">
        <v>220</v>
      </c>
      <c r="C96" s="192">
        <v>41620</v>
      </c>
      <c r="D96" s="192">
        <f>DATE(YEAR(C96)+2,MONTH(C96),DAY(C96))</f>
        <v>42350</v>
      </c>
      <c r="E96" s="192"/>
      <c r="F96" s="192">
        <f>DATE(YEAR(E96)+4,MONTH(E96),DAY(E96))</f>
        <v>1461</v>
      </c>
      <c r="G96" s="192"/>
      <c r="H96" s="161">
        <v>149758.60999999999</v>
      </c>
      <c r="I96" s="156"/>
      <c r="J96" s="171"/>
      <c r="K96" s="192"/>
      <c r="L96" s="159">
        <f>SUM(L97:L99)</f>
        <v>0</v>
      </c>
      <c r="M96" s="184"/>
      <c r="N96" s="185"/>
      <c r="O96" s="193">
        <f>SUM(O99)</f>
        <v>0</v>
      </c>
      <c r="P96" s="193">
        <f>SUM(P97:P99)</f>
        <v>149758.60799999998</v>
      </c>
      <c r="Q96" s="193"/>
      <c r="R96" s="197">
        <f>H96-(L96+O96+P96)</f>
        <v>2.0000000076834112E-3</v>
      </c>
    </row>
    <row r="97" spans="1:18" s="239" customFormat="1" ht="12.25" customHeight="1" x14ac:dyDescent="0.25">
      <c r="A97" s="322" t="s">
        <v>98</v>
      </c>
      <c r="B97" s="444"/>
      <c r="C97" s="234"/>
      <c r="D97" s="234"/>
      <c r="E97" s="234"/>
      <c r="F97" s="234"/>
      <c r="G97" s="234"/>
      <c r="H97" s="241">
        <f>I97/$H$96</f>
        <v>0.2</v>
      </c>
      <c r="I97" s="123">
        <f>0.2*H96</f>
        <v>29951.721999999998</v>
      </c>
      <c r="J97" s="240">
        <v>1</v>
      </c>
      <c r="K97" s="234"/>
      <c r="L97" s="235"/>
      <c r="M97" s="236"/>
      <c r="N97" s="237"/>
      <c r="O97" s="238" t="str">
        <f t="shared" ref="O97:O99" si="28">IF(L97="en attente",I97,"")</f>
        <v/>
      </c>
      <c r="P97" s="242">
        <f t="shared" si="7"/>
        <v>29951.721999999998</v>
      </c>
      <c r="Q97" s="238"/>
      <c r="R97" s="199"/>
    </row>
    <row r="98" spans="1:18" s="239" customFormat="1" ht="12.25" customHeight="1" x14ac:dyDescent="0.25">
      <c r="A98" s="322" t="s">
        <v>98</v>
      </c>
      <c r="B98" s="444"/>
      <c r="C98" s="234"/>
      <c r="D98" s="234"/>
      <c r="E98" s="234"/>
      <c r="F98" s="234"/>
      <c r="G98" s="234"/>
      <c r="H98" s="241">
        <f>I98/$H$96+H97</f>
        <v>0.8</v>
      </c>
      <c r="I98" s="123">
        <f>0.6*H96</f>
        <v>89855.165999999983</v>
      </c>
      <c r="J98" s="240">
        <v>2</v>
      </c>
      <c r="K98" s="234"/>
      <c r="L98" s="235"/>
      <c r="M98" s="236"/>
      <c r="N98" s="237"/>
      <c r="O98" s="238" t="str">
        <f t="shared" si="28"/>
        <v/>
      </c>
      <c r="P98" s="242">
        <f t="shared" si="7"/>
        <v>89855.165999999983</v>
      </c>
      <c r="Q98" s="238"/>
      <c r="R98" s="199"/>
    </row>
    <row r="99" spans="1:18" s="26" customFormat="1" ht="12.25" customHeight="1" x14ac:dyDescent="0.25">
      <c r="A99" s="151" t="s">
        <v>98</v>
      </c>
      <c r="B99" s="442"/>
      <c r="C99" s="37"/>
      <c r="D99" s="15"/>
      <c r="E99" s="15"/>
      <c r="F99" s="15"/>
      <c r="G99" s="15"/>
      <c r="H99" s="241">
        <f>I99/$H$96+H98</f>
        <v>0.9999999866451752</v>
      </c>
      <c r="I99" s="36">
        <v>29951.72</v>
      </c>
      <c r="J99" s="45">
        <v>3</v>
      </c>
      <c r="K99" s="37"/>
      <c r="L99" s="38"/>
      <c r="M99" s="189"/>
      <c r="N99" s="190"/>
      <c r="O99" s="191" t="str">
        <f t="shared" si="28"/>
        <v/>
      </c>
      <c r="P99" s="191">
        <f t="shared" si="7"/>
        <v>29951.72</v>
      </c>
      <c r="Q99" s="191"/>
      <c r="R99" s="197"/>
    </row>
    <row r="100" spans="1:18" s="120" customFormat="1" ht="12.25" customHeight="1" x14ac:dyDescent="0.25">
      <c r="A100" s="152" t="s">
        <v>133</v>
      </c>
      <c r="B100" s="440"/>
      <c r="C100" s="192"/>
      <c r="D100" s="192">
        <f>DATE(YEAR(C100)+2,MONTH(C100),DAY(C100))</f>
        <v>731</v>
      </c>
      <c r="E100" s="192"/>
      <c r="F100" s="192">
        <f>DATE(YEAR(E100)+4,MONTH(E100),DAY(E100))</f>
        <v>1461</v>
      </c>
      <c r="G100" s="192"/>
      <c r="H100" s="161">
        <v>315000</v>
      </c>
      <c r="I100" s="156"/>
      <c r="J100" s="171"/>
      <c r="K100" s="192"/>
      <c r="L100" s="159">
        <f>SUM(L101:L108)</f>
        <v>0</v>
      </c>
      <c r="M100" s="184"/>
      <c r="N100" s="185"/>
      <c r="O100" s="193">
        <f>SUM(O108)</f>
        <v>0</v>
      </c>
      <c r="P100" s="193">
        <f>SUM(P101:P108)</f>
        <v>315000</v>
      </c>
      <c r="Q100" s="193"/>
      <c r="R100" s="197">
        <f>H100-(L100+O100+P100)</f>
        <v>0</v>
      </c>
    </row>
    <row r="101" spans="1:18" s="239" customFormat="1" ht="12.25" customHeight="1" x14ac:dyDescent="0.25">
      <c r="A101" s="322" t="s">
        <v>133</v>
      </c>
      <c r="B101" s="444"/>
      <c r="C101" s="234"/>
      <c r="D101" s="234"/>
      <c r="E101" s="234"/>
      <c r="F101" s="234"/>
      <c r="G101" s="234"/>
      <c r="H101" s="241">
        <f>I101/$H$100</f>
        <v>0.1111111111111111</v>
      </c>
      <c r="I101" s="123">
        <v>35000</v>
      </c>
      <c r="J101" s="240">
        <v>1</v>
      </c>
      <c r="K101" s="234"/>
      <c r="L101" s="235"/>
      <c r="M101" s="236"/>
      <c r="N101" s="237"/>
      <c r="O101" s="238" t="str">
        <f t="shared" ref="O101:O108" si="29">IF(L101="en attente",I101,"")</f>
        <v/>
      </c>
      <c r="P101" s="242">
        <f t="shared" ref="P101:P108" si="30">IF(K101="",I101-L101,0)</f>
        <v>35000</v>
      </c>
      <c r="Q101" s="238"/>
      <c r="R101" s="199"/>
    </row>
    <row r="102" spans="1:18" s="239" customFormat="1" ht="12.25" customHeight="1" x14ac:dyDescent="0.25">
      <c r="A102" s="322" t="s">
        <v>133</v>
      </c>
      <c r="B102" s="444"/>
      <c r="C102" s="234"/>
      <c r="D102" s="234"/>
      <c r="E102" s="234"/>
      <c r="F102" s="234"/>
      <c r="G102" s="234"/>
      <c r="H102" s="241">
        <f>I102/$H$100+H101</f>
        <v>0.22222222222222221</v>
      </c>
      <c r="I102" s="123">
        <v>35000</v>
      </c>
      <c r="J102" s="240">
        <v>2</v>
      </c>
      <c r="K102" s="234"/>
      <c r="L102" s="235"/>
      <c r="M102" s="236"/>
      <c r="N102" s="237"/>
      <c r="O102" s="238" t="str">
        <f t="shared" si="29"/>
        <v/>
      </c>
      <c r="P102" s="242">
        <f t="shared" si="30"/>
        <v>35000</v>
      </c>
      <c r="Q102" s="238"/>
      <c r="R102" s="199"/>
    </row>
    <row r="103" spans="1:18" s="239" customFormat="1" ht="12.25" customHeight="1" x14ac:dyDescent="0.25">
      <c r="A103" s="322" t="s">
        <v>133</v>
      </c>
      <c r="B103" s="444"/>
      <c r="C103" s="234"/>
      <c r="D103" s="234"/>
      <c r="E103" s="234"/>
      <c r="F103" s="234"/>
      <c r="G103" s="234"/>
      <c r="H103" s="241">
        <f t="shared" ref="H103:H108" si="31">I103/$H$100+H102</f>
        <v>0.33333333333333331</v>
      </c>
      <c r="I103" s="123">
        <v>35000</v>
      </c>
      <c r="J103" s="240">
        <v>3</v>
      </c>
      <c r="K103" s="234"/>
      <c r="L103" s="235"/>
      <c r="M103" s="236"/>
      <c r="N103" s="237"/>
      <c r="O103" s="238" t="str">
        <f t="shared" si="29"/>
        <v/>
      </c>
      <c r="P103" s="242">
        <f t="shared" si="30"/>
        <v>35000</v>
      </c>
      <c r="Q103" s="238"/>
      <c r="R103" s="199"/>
    </row>
    <row r="104" spans="1:18" s="239" customFormat="1" ht="12.25" customHeight="1" x14ac:dyDescent="0.25">
      <c r="A104" s="322" t="s">
        <v>133</v>
      </c>
      <c r="B104" s="444"/>
      <c r="C104" s="234"/>
      <c r="D104" s="234"/>
      <c r="E104" s="234"/>
      <c r="F104" s="234"/>
      <c r="G104" s="234"/>
      <c r="H104" s="241">
        <f t="shared" si="31"/>
        <v>0.44444444444444442</v>
      </c>
      <c r="I104" s="123">
        <v>35000</v>
      </c>
      <c r="J104" s="240">
        <v>4</v>
      </c>
      <c r="K104" s="234"/>
      <c r="L104" s="235"/>
      <c r="M104" s="236"/>
      <c r="N104" s="237"/>
      <c r="O104" s="238" t="str">
        <f t="shared" si="29"/>
        <v/>
      </c>
      <c r="P104" s="242">
        <f t="shared" si="30"/>
        <v>35000</v>
      </c>
      <c r="Q104" s="238"/>
      <c r="R104" s="199"/>
    </row>
    <row r="105" spans="1:18" s="239" customFormat="1" ht="12.25" customHeight="1" x14ac:dyDescent="0.25">
      <c r="A105" s="322" t="s">
        <v>133</v>
      </c>
      <c r="B105" s="444"/>
      <c r="C105" s="234"/>
      <c r="D105" s="234"/>
      <c r="E105" s="234"/>
      <c r="F105" s="234"/>
      <c r="G105" s="234"/>
      <c r="H105" s="241">
        <f t="shared" si="31"/>
        <v>0.55555555555555558</v>
      </c>
      <c r="I105" s="123">
        <v>35000</v>
      </c>
      <c r="J105" s="240">
        <v>5</v>
      </c>
      <c r="K105" s="234"/>
      <c r="L105" s="235"/>
      <c r="M105" s="236"/>
      <c r="N105" s="237"/>
      <c r="O105" s="238" t="str">
        <f t="shared" si="29"/>
        <v/>
      </c>
      <c r="P105" s="242">
        <f t="shared" si="30"/>
        <v>35000</v>
      </c>
      <c r="Q105" s="238"/>
      <c r="R105" s="199"/>
    </row>
    <row r="106" spans="1:18" s="239" customFormat="1" ht="12.25" customHeight="1" x14ac:dyDescent="0.25">
      <c r="A106" s="322" t="s">
        <v>133</v>
      </c>
      <c r="B106" s="444"/>
      <c r="C106" s="234"/>
      <c r="D106" s="234"/>
      <c r="E106" s="234"/>
      <c r="F106" s="234"/>
      <c r="G106" s="234"/>
      <c r="H106" s="241">
        <f t="shared" si="31"/>
        <v>0.66666666666666674</v>
      </c>
      <c r="I106" s="123">
        <v>35000</v>
      </c>
      <c r="J106" s="240">
        <v>6</v>
      </c>
      <c r="K106" s="234"/>
      <c r="L106" s="235"/>
      <c r="M106" s="236"/>
      <c r="N106" s="237"/>
      <c r="O106" s="238" t="str">
        <f t="shared" si="29"/>
        <v/>
      </c>
      <c r="P106" s="242">
        <f t="shared" si="30"/>
        <v>35000</v>
      </c>
      <c r="Q106" s="238"/>
      <c r="R106" s="199"/>
    </row>
    <row r="107" spans="1:18" s="239" customFormat="1" ht="12.25" customHeight="1" x14ac:dyDescent="0.25">
      <c r="A107" s="322" t="s">
        <v>133</v>
      </c>
      <c r="B107" s="444"/>
      <c r="C107" s="234"/>
      <c r="D107" s="234"/>
      <c r="E107" s="234"/>
      <c r="F107" s="234"/>
      <c r="G107" s="234"/>
      <c r="H107" s="241">
        <f t="shared" si="31"/>
        <v>0.8</v>
      </c>
      <c r="I107" s="123">
        <v>42000</v>
      </c>
      <c r="J107" s="240">
        <v>7</v>
      </c>
      <c r="K107" s="234"/>
      <c r="L107" s="235"/>
      <c r="M107" s="236"/>
      <c r="N107" s="237"/>
      <c r="O107" s="238" t="str">
        <f t="shared" si="29"/>
        <v/>
      </c>
      <c r="P107" s="242">
        <f t="shared" si="30"/>
        <v>42000</v>
      </c>
      <c r="Q107" s="238"/>
      <c r="R107" s="199"/>
    </row>
    <row r="108" spans="1:18" s="26" customFormat="1" ht="12.25" customHeight="1" x14ac:dyDescent="0.25">
      <c r="A108" s="151" t="s">
        <v>133</v>
      </c>
      <c r="B108" s="442"/>
      <c r="C108" s="37"/>
      <c r="D108" s="15"/>
      <c r="E108" s="15"/>
      <c r="F108" s="15"/>
      <c r="G108" s="15"/>
      <c r="H108" s="241">
        <f t="shared" si="31"/>
        <v>1</v>
      </c>
      <c r="I108" s="36">
        <v>63000</v>
      </c>
      <c r="J108" s="240">
        <v>8</v>
      </c>
      <c r="K108" s="37"/>
      <c r="L108" s="38"/>
      <c r="M108" s="189"/>
      <c r="N108" s="190"/>
      <c r="O108" s="191" t="str">
        <f t="shared" si="29"/>
        <v/>
      </c>
      <c r="P108" s="242">
        <f t="shared" si="30"/>
        <v>63000</v>
      </c>
      <c r="Q108" s="191"/>
      <c r="R108" s="197"/>
    </row>
    <row r="109" spans="1:18" s="120" customFormat="1" ht="12.25" customHeight="1" x14ac:dyDescent="0.25">
      <c r="A109" s="162" t="s">
        <v>80</v>
      </c>
      <c r="B109" s="443"/>
      <c r="C109" s="182"/>
      <c r="D109" s="184"/>
      <c r="E109" s="192"/>
      <c r="F109" s="192"/>
      <c r="G109" s="192"/>
      <c r="H109" s="156">
        <v>1778822.24</v>
      </c>
      <c r="I109" s="165"/>
      <c r="J109" s="171"/>
      <c r="K109" s="182"/>
      <c r="L109" s="168">
        <f>SUM(L110:L111)</f>
        <v>1423057.8</v>
      </c>
      <c r="M109" s="180"/>
      <c r="N109" s="181"/>
      <c r="O109" s="183">
        <f>SUM(O110:O111)</f>
        <v>0</v>
      </c>
      <c r="P109" s="205">
        <f>SUM(P110:P111)</f>
        <v>355764.44</v>
      </c>
      <c r="Q109" s="183"/>
      <c r="R109" s="197">
        <f>H109-(L109+O109+P109)</f>
        <v>0</v>
      </c>
    </row>
    <row r="110" spans="1:18" s="26" customFormat="1" ht="12.25" customHeight="1" x14ac:dyDescent="0.25">
      <c r="A110" s="47" t="s">
        <v>80</v>
      </c>
      <c r="B110" s="441"/>
      <c r="C110" s="15"/>
      <c r="D110" s="15"/>
      <c r="E110" s="15"/>
      <c r="F110" s="15"/>
      <c r="G110" s="15"/>
      <c r="H110" s="16"/>
      <c r="I110" s="23">
        <v>1423057.8</v>
      </c>
      <c r="J110" s="43">
        <v>1</v>
      </c>
      <c r="K110" s="15"/>
      <c r="L110" s="24">
        <v>1423057.8</v>
      </c>
      <c r="M110" s="31"/>
      <c r="N110" s="44"/>
      <c r="O110" s="83" t="str">
        <f t="shared" ref="O110:O111" si="32">IF(L110="en attente",I110,"")</f>
        <v/>
      </c>
      <c r="P110" s="83">
        <f t="shared" si="7"/>
        <v>0</v>
      </c>
      <c r="Q110" s="83"/>
      <c r="R110" s="197"/>
    </row>
    <row r="111" spans="1:18" s="26" customFormat="1" ht="12.25" customHeight="1" x14ac:dyDescent="0.25">
      <c r="A111" s="47" t="s">
        <v>80</v>
      </c>
      <c r="B111" s="441"/>
      <c r="C111" s="15"/>
      <c r="D111" s="15"/>
      <c r="E111" s="15"/>
      <c r="F111" s="15"/>
      <c r="G111" s="15"/>
      <c r="H111" s="16"/>
      <c r="I111" s="23">
        <v>355764.44</v>
      </c>
      <c r="J111" s="43">
        <v>2</v>
      </c>
      <c r="K111" s="15"/>
      <c r="L111" s="24"/>
      <c r="M111" s="31"/>
      <c r="N111" s="44"/>
      <c r="O111" s="83" t="str">
        <f t="shared" si="32"/>
        <v/>
      </c>
      <c r="P111" s="83">
        <f t="shared" si="7"/>
        <v>355764.44</v>
      </c>
      <c r="Q111" s="83"/>
      <c r="R111" s="197"/>
    </row>
    <row r="112" spans="1:18" s="120" customFormat="1" ht="12.25" customHeight="1" x14ac:dyDescent="0.25">
      <c r="A112" s="152" t="s">
        <v>79</v>
      </c>
      <c r="B112" s="440" t="s">
        <v>235</v>
      </c>
      <c r="C112" s="192">
        <v>38717</v>
      </c>
      <c r="D112" s="192"/>
      <c r="E112" s="192"/>
      <c r="F112" s="192"/>
      <c r="G112" s="192"/>
      <c r="H112" s="161">
        <v>5400000</v>
      </c>
      <c r="I112" s="156"/>
      <c r="J112" s="171"/>
      <c r="K112" s="192"/>
      <c r="L112" s="159">
        <f>SUM(L113:L123)</f>
        <v>1209060</v>
      </c>
      <c r="M112" s="184"/>
      <c r="N112" s="185"/>
      <c r="O112" s="193">
        <f>SUM(O113:O123)</f>
        <v>0</v>
      </c>
      <c r="P112" s="193">
        <f>SUM(P113:P123)</f>
        <v>3942000</v>
      </c>
      <c r="Q112" s="193"/>
      <c r="R112" s="197">
        <f>H112-(L112+O112+P112)</f>
        <v>248940</v>
      </c>
    </row>
    <row r="113" spans="1:18" s="26" customFormat="1" ht="12.25" customHeight="1" x14ac:dyDescent="0.25">
      <c r="A113" s="47" t="s">
        <v>79</v>
      </c>
      <c r="B113" s="441"/>
      <c r="C113" s="15"/>
      <c r="D113" s="15"/>
      <c r="E113" s="15"/>
      <c r="F113" s="15"/>
      <c r="G113" s="15"/>
      <c r="H113" s="16"/>
      <c r="I113" s="23">
        <v>135000</v>
      </c>
      <c r="J113" s="43">
        <v>1</v>
      </c>
      <c r="K113" s="15">
        <v>38965</v>
      </c>
      <c r="L113" s="24">
        <v>135000</v>
      </c>
      <c r="M113" s="31">
        <v>39014</v>
      </c>
      <c r="N113" s="44">
        <f t="shared" si="16"/>
        <v>49</v>
      </c>
      <c r="O113" s="83" t="str">
        <f t="shared" ref="O113:O123" si="33">IF(L113="en attente",I113,"")</f>
        <v/>
      </c>
      <c r="P113" s="83">
        <f t="shared" si="7"/>
        <v>0</v>
      </c>
      <c r="Q113" s="83"/>
      <c r="R113" s="197"/>
    </row>
    <row r="114" spans="1:18" s="26" customFormat="1" ht="12.25" customHeight="1" x14ac:dyDescent="0.25">
      <c r="A114" s="47" t="s">
        <v>79</v>
      </c>
      <c r="B114" s="441"/>
      <c r="C114" s="15"/>
      <c r="D114" s="15"/>
      <c r="E114" s="15"/>
      <c r="F114" s="15"/>
      <c r="G114" s="15"/>
      <c r="H114" s="16"/>
      <c r="I114" s="23">
        <v>170100</v>
      </c>
      <c r="J114" s="43">
        <v>2</v>
      </c>
      <c r="K114" s="15">
        <v>39226</v>
      </c>
      <c r="L114" s="24">
        <v>170100</v>
      </c>
      <c r="M114" s="31">
        <v>39260</v>
      </c>
      <c r="N114" s="44">
        <f t="shared" si="16"/>
        <v>34</v>
      </c>
      <c r="O114" s="83" t="str">
        <f t="shared" si="33"/>
        <v/>
      </c>
      <c r="P114" s="83">
        <f t="shared" si="7"/>
        <v>0</v>
      </c>
      <c r="Q114" s="83"/>
      <c r="R114" s="197"/>
    </row>
    <row r="115" spans="1:18" s="26" customFormat="1" ht="12.25" customHeight="1" x14ac:dyDescent="0.25">
      <c r="A115" s="47" t="s">
        <v>79</v>
      </c>
      <c r="B115" s="441"/>
      <c r="C115" s="15"/>
      <c r="D115" s="15"/>
      <c r="E115" s="15"/>
      <c r="F115" s="15"/>
      <c r="G115" s="15"/>
      <c r="H115" s="16"/>
      <c r="I115" s="23">
        <v>63180</v>
      </c>
      <c r="J115" s="43">
        <v>3</v>
      </c>
      <c r="K115" s="15">
        <v>40283</v>
      </c>
      <c r="L115" s="24">
        <v>63180</v>
      </c>
      <c r="M115" s="31">
        <v>40366</v>
      </c>
      <c r="N115" s="44">
        <f t="shared" si="16"/>
        <v>83</v>
      </c>
      <c r="O115" s="83" t="str">
        <f t="shared" si="33"/>
        <v/>
      </c>
      <c r="P115" s="83">
        <f t="shared" si="7"/>
        <v>0</v>
      </c>
      <c r="Q115" s="83"/>
      <c r="R115" s="197"/>
    </row>
    <row r="116" spans="1:18" s="26" customFormat="1" ht="12.25" customHeight="1" x14ac:dyDescent="0.25">
      <c r="A116" s="47" t="s">
        <v>79</v>
      </c>
      <c r="B116" s="441"/>
      <c r="C116" s="15"/>
      <c r="D116" s="15"/>
      <c r="E116" s="15"/>
      <c r="F116" s="15"/>
      <c r="G116" s="15"/>
      <c r="H116" s="16"/>
      <c r="I116" s="23">
        <v>280800</v>
      </c>
      <c r="J116" s="43">
        <v>4</v>
      </c>
      <c r="K116" s="15">
        <v>40547</v>
      </c>
      <c r="L116" s="24">
        <v>280800</v>
      </c>
      <c r="M116" s="31">
        <v>40647</v>
      </c>
      <c r="N116" s="44">
        <f t="shared" si="16"/>
        <v>100</v>
      </c>
      <c r="O116" s="83" t="str">
        <f t="shared" si="33"/>
        <v/>
      </c>
      <c r="P116" s="83">
        <f t="shared" si="7"/>
        <v>0</v>
      </c>
      <c r="Q116" s="83"/>
      <c r="R116" s="197"/>
    </row>
    <row r="117" spans="1:18" s="26" customFormat="1" ht="12.25" customHeight="1" x14ac:dyDescent="0.25">
      <c r="A117" s="47" t="s">
        <v>79</v>
      </c>
      <c r="B117" s="441"/>
      <c r="C117" s="15"/>
      <c r="D117" s="15"/>
      <c r="E117" s="15"/>
      <c r="F117" s="15"/>
      <c r="G117" s="15"/>
      <c r="H117" s="16"/>
      <c r="I117" s="23">
        <v>77760</v>
      </c>
      <c r="J117" s="43">
        <v>5</v>
      </c>
      <c r="K117" s="15">
        <v>40627</v>
      </c>
      <c r="L117" s="24">
        <v>77760</v>
      </c>
      <c r="M117" s="31">
        <v>40718</v>
      </c>
      <c r="N117" s="44">
        <f t="shared" si="16"/>
        <v>91</v>
      </c>
      <c r="O117" s="83" t="str">
        <f t="shared" si="33"/>
        <v/>
      </c>
      <c r="P117" s="83">
        <f t="shared" si="7"/>
        <v>0</v>
      </c>
      <c r="Q117" s="83"/>
      <c r="R117" s="197"/>
    </row>
    <row r="118" spans="1:18" s="26" customFormat="1" ht="12.25" customHeight="1" x14ac:dyDescent="0.25">
      <c r="A118" s="47" t="s">
        <v>79</v>
      </c>
      <c r="B118" s="441"/>
      <c r="C118" s="15"/>
      <c r="D118" s="15"/>
      <c r="E118" s="15"/>
      <c r="F118" s="15"/>
      <c r="G118" s="15"/>
      <c r="H118" s="16"/>
      <c r="I118" s="23">
        <v>98820</v>
      </c>
      <c r="J118" s="43">
        <v>6</v>
      </c>
      <c r="K118" s="15">
        <v>40947</v>
      </c>
      <c r="L118" s="24">
        <v>98820</v>
      </c>
      <c r="M118" s="31">
        <v>41246</v>
      </c>
      <c r="N118" s="44">
        <f t="shared" si="16"/>
        <v>299</v>
      </c>
      <c r="O118" s="83" t="str">
        <f t="shared" si="33"/>
        <v/>
      </c>
      <c r="P118" s="83">
        <f t="shared" si="7"/>
        <v>0</v>
      </c>
      <c r="Q118" s="83"/>
      <c r="R118" s="197"/>
    </row>
    <row r="119" spans="1:18" s="26" customFormat="1" ht="12.25" customHeight="1" x14ac:dyDescent="0.25">
      <c r="A119" s="47" t="s">
        <v>79</v>
      </c>
      <c r="B119" s="441"/>
      <c r="C119" s="15"/>
      <c r="D119" s="15"/>
      <c r="E119" s="15"/>
      <c r="F119" s="15"/>
      <c r="G119" s="15"/>
      <c r="H119" s="16"/>
      <c r="I119" s="23">
        <v>73440</v>
      </c>
      <c r="J119" s="43">
        <v>7</v>
      </c>
      <c r="K119" s="15">
        <v>41194</v>
      </c>
      <c r="L119" s="24">
        <v>73440</v>
      </c>
      <c r="M119" s="31">
        <v>41387</v>
      </c>
      <c r="N119" s="44">
        <f t="shared" si="16"/>
        <v>193</v>
      </c>
      <c r="O119" s="83" t="str">
        <f t="shared" si="33"/>
        <v/>
      </c>
      <c r="P119" s="83">
        <f t="shared" si="7"/>
        <v>0</v>
      </c>
      <c r="Q119" s="83"/>
      <c r="R119" s="197"/>
    </row>
    <row r="120" spans="1:18" s="26" customFormat="1" ht="12.25" customHeight="1" x14ac:dyDescent="0.25">
      <c r="A120" s="47" t="s">
        <v>79</v>
      </c>
      <c r="B120" s="441"/>
      <c r="C120" s="15"/>
      <c r="D120" s="15"/>
      <c r="E120" s="15"/>
      <c r="F120" s="15"/>
      <c r="G120" s="15"/>
      <c r="H120" s="16"/>
      <c r="I120" s="23">
        <v>258660</v>
      </c>
      <c r="J120" s="43">
        <v>8</v>
      </c>
      <c r="K120" s="15">
        <v>41471</v>
      </c>
      <c r="L120" s="24">
        <v>258660</v>
      </c>
      <c r="M120" s="31">
        <v>41555</v>
      </c>
      <c r="N120" s="44">
        <f t="shared" si="16"/>
        <v>84</v>
      </c>
      <c r="O120" s="83" t="str">
        <f t="shared" si="33"/>
        <v/>
      </c>
      <c r="P120" s="83">
        <f t="shared" si="7"/>
        <v>0</v>
      </c>
      <c r="Q120" s="83"/>
      <c r="R120" s="197"/>
    </row>
    <row r="121" spans="1:18" s="26" customFormat="1" ht="12.25" customHeight="1" x14ac:dyDescent="0.25">
      <c r="A121" s="47" t="s">
        <v>79</v>
      </c>
      <c r="B121" s="441"/>
      <c r="C121" s="15"/>
      <c r="D121" s="15"/>
      <c r="E121" s="15"/>
      <c r="F121" s="15"/>
      <c r="G121" s="15"/>
      <c r="H121" s="16"/>
      <c r="I121" s="23">
        <v>51300</v>
      </c>
      <c r="J121" s="43">
        <v>9</v>
      </c>
      <c r="K121" s="15">
        <v>41669</v>
      </c>
      <c r="L121" s="24">
        <v>51300</v>
      </c>
      <c r="M121" s="31">
        <v>41752</v>
      </c>
      <c r="N121" s="44">
        <f t="shared" si="16"/>
        <v>83</v>
      </c>
      <c r="O121" s="83" t="str">
        <f t="shared" si="33"/>
        <v/>
      </c>
      <c r="P121" s="83">
        <f t="shared" si="7"/>
        <v>0</v>
      </c>
      <c r="Q121" s="83"/>
      <c r="R121" s="197"/>
    </row>
    <row r="122" spans="1:18" s="26" customFormat="1" ht="12.25" customHeight="1" x14ac:dyDescent="0.25">
      <c r="A122" s="47" t="s">
        <v>79</v>
      </c>
      <c r="B122" s="441"/>
      <c r="C122" s="15"/>
      <c r="D122" s="15"/>
      <c r="E122" s="15"/>
      <c r="F122" s="15"/>
      <c r="G122" s="15"/>
      <c r="H122" s="16"/>
      <c r="I122" s="23">
        <v>248940</v>
      </c>
      <c r="J122" s="43">
        <v>10</v>
      </c>
      <c r="K122" s="15">
        <v>42401</v>
      </c>
      <c r="L122" s="137" t="s">
        <v>113</v>
      </c>
      <c r="M122" s="31"/>
      <c r="N122" s="44"/>
      <c r="O122" s="83"/>
      <c r="P122" s="83"/>
      <c r="Q122" s="83"/>
      <c r="R122" s="197"/>
    </row>
    <row r="123" spans="1:18" s="26" customFormat="1" ht="12.25" customHeight="1" x14ac:dyDescent="0.25">
      <c r="A123" s="151" t="s">
        <v>79</v>
      </c>
      <c r="B123" s="442"/>
      <c r="C123" s="37"/>
      <c r="D123" s="37"/>
      <c r="E123" s="37"/>
      <c r="F123" s="37"/>
      <c r="G123" s="37"/>
      <c r="H123" s="41"/>
      <c r="I123" s="36">
        <f>H112-SUM(I113:I122)</f>
        <v>3942000</v>
      </c>
      <c r="J123" s="45">
        <v>11</v>
      </c>
      <c r="K123" s="37"/>
      <c r="L123" s="38"/>
      <c r="M123" s="189"/>
      <c r="N123" s="190"/>
      <c r="O123" s="191" t="str">
        <f t="shared" si="33"/>
        <v/>
      </c>
      <c r="P123" s="191">
        <f t="shared" ref="P123:P126" si="34">IF(K123="",I123-L123,0)</f>
        <v>3942000</v>
      </c>
      <c r="Q123" s="191"/>
      <c r="R123" s="197"/>
    </row>
    <row r="124" spans="1:18" s="120" customFormat="1" ht="12.25" customHeight="1" x14ac:dyDescent="0.25">
      <c r="A124" s="162" t="s">
        <v>79</v>
      </c>
      <c r="B124" s="443" t="s">
        <v>219</v>
      </c>
      <c r="C124" s="182"/>
      <c r="D124" s="182"/>
      <c r="E124" s="182"/>
      <c r="F124" s="182"/>
      <c r="G124" s="182"/>
      <c r="H124" s="170">
        <v>5220000</v>
      </c>
      <c r="I124" s="165"/>
      <c r="J124" s="166"/>
      <c r="K124" s="182"/>
      <c r="L124" s="168">
        <f>SUM(L125:L128)</f>
        <v>2764311.23</v>
      </c>
      <c r="M124" s="180"/>
      <c r="N124" s="181"/>
      <c r="O124" s="183">
        <f>SUM(O125:O128)</f>
        <v>684526.59</v>
      </c>
      <c r="P124" s="183">
        <f>SUM(P125:P128)</f>
        <v>1770406.16</v>
      </c>
      <c r="Q124" s="183"/>
      <c r="R124" s="197">
        <f>H124-(L124+O124+P124)</f>
        <v>756.02000000048429</v>
      </c>
    </row>
    <row r="125" spans="1:18" s="26" customFormat="1" ht="12.25" customHeight="1" x14ac:dyDescent="0.25">
      <c r="A125" s="47" t="s">
        <v>79</v>
      </c>
      <c r="B125" s="441"/>
      <c r="C125" s="15"/>
      <c r="D125" s="15"/>
      <c r="E125" s="15"/>
      <c r="F125" s="15"/>
      <c r="G125" s="15"/>
      <c r="H125" s="16"/>
      <c r="I125" s="23">
        <v>1910679.91</v>
      </c>
      <c r="J125" s="43">
        <v>1</v>
      </c>
      <c r="K125" s="15">
        <v>41598</v>
      </c>
      <c r="L125" s="24">
        <v>1910679.91</v>
      </c>
      <c r="M125" s="31">
        <v>41814</v>
      </c>
      <c r="N125" s="44">
        <f t="shared" si="16"/>
        <v>216</v>
      </c>
      <c r="O125" s="83" t="str">
        <f t="shared" ref="O125:O130" si="35">IF(L125="en attente",I125,"")</f>
        <v/>
      </c>
      <c r="P125" s="83">
        <f t="shared" si="34"/>
        <v>0</v>
      </c>
      <c r="Q125" s="83"/>
      <c r="R125" s="197"/>
    </row>
    <row r="126" spans="1:18" s="26" customFormat="1" ht="12.25" customHeight="1" x14ac:dyDescent="0.25">
      <c r="A126" s="47" t="s">
        <v>79</v>
      </c>
      <c r="B126" s="441"/>
      <c r="C126" s="15"/>
      <c r="D126" s="15"/>
      <c r="E126" s="15"/>
      <c r="F126" s="15"/>
      <c r="G126" s="15"/>
      <c r="H126" s="16"/>
      <c r="I126" s="23">
        <v>853631.32</v>
      </c>
      <c r="J126" s="43">
        <v>2</v>
      </c>
      <c r="K126" s="15"/>
      <c r="L126" s="24">
        <v>853631.32</v>
      </c>
      <c r="M126" s="31">
        <v>41771</v>
      </c>
      <c r="N126" s="44">
        <f t="shared" si="16"/>
        <v>41771</v>
      </c>
      <c r="O126" s="83" t="str">
        <f t="shared" si="35"/>
        <v/>
      </c>
      <c r="P126" s="83">
        <f t="shared" si="34"/>
        <v>0</v>
      </c>
      <c r="Q126" s="83"/>
      <c r="R126" s="197"/>
    </row>
    <row r="127" spans="1:18" s="26" customFormat="1" ht="12.25" customHeight="1" x14ac:dyDescent="0.25">
      <c r="A127" s="47" t="s">
        <v>79</v>
      </c>
      <c r="B127" s="441"/>
      <c r="C127" s="15"/>
      <c r="D127" s="15"/>
      <c r="E127" s="15"/>
      <c r="F127" s="15"/>
      <c r="G127" s="15"/>
      <c r="H127" s="16"/>
      <c r="I127" s="23">
        <v>684526.59</v>
      </c>
      <c r="J127" s="43">
        <v>3</v>
      </c>
      <c r="K127" s="15">
        <v>42374</v>
      </c>
      <c r="L127" s="137" t="s">
        <v>113</v>
      </c>
      <c r="M127" s="31"/>
      <c r="N127" s="44"/>
      <c r="O127" s="83">
        <f t="shared" si="35"/>
        <v>684526.59</v>
      </c>
      <c r="P127" s="83"/>
      <c r="Q127" s="83"/>
      <c r="R127" s="197"/>
    </row>
    <row r="128" spans="1:18" s="26" customFormat="1" ht="12.25" customHeight="1" x14ac:dyDescent="0.25">
      <c r="A128" s="47" t="s">
        <v>79</v>
      </c>
      <c r="B128" s="441"/>
      <c r="C128" s="15"/>
      <c r="D128" s="15"/>
      <c r="E128" s="15"/>
      <c r="F128" s="15"/>
      <c r="G128" s="15"/>
      <c r="H128" s="16"/>
      <c r="I128" s="23">
        <v>1770406.16</v>
      </c>
      <c r="J128" s="43">
        <v>4</v>
      </c>
      <c r="K128" s="15"/>
      <c r="L128" s="24"/>
      <c r="M128" s="31"/>
      <c r="N128" s="44"/>
      <c r="O128" s="83" t="str">
        <f t="shared" si="35"/>
        <v/>
      </c>
      <c r="P128" s="83">
        <f>IF(K128="",I128-L128,0)</f>
        <v>1770406.16</v>
      </c>
      <c r="Q128" s="83"/>
      <c r="R128" s="197"/>
    </row>
    <row r="129" spans="1:19" s="26" customFormat="1" ht="12.25" customHeight="1" x14ac:dyDescent="0.25">
      <c r="A129" s="152" t="s">
        <v>163</v>
      </c>
      <c r="B129" s="440" t="s">
        <v>234</v>
      </c>
      <c r="C129" s="192">
        <v>40878</v>
      </c>
      <c r="D129" s="154"/>
      <c r="E129" s="154"/>
      <c r="F129" s="154"/>
      <c r="G129" s="154"/>
      <c r="H129" s="161">
        <v>363142</v>
      </c>
      <c r="I129" s="340"/>
      <c r="J129" s="341"/>
      <c r="K129" s="154"/>
      <c r="L129" s="342">
        <f>SUM(L130:L132)</f>
        <v>8025.44</v>
      </c>
      <c r="M129" s="252"/>
      <c r="N129" s="343"/>
      <c r="O129" s="344">
        <f>SUM(O130:O132)</f>
        <v>0</v>
      </c>
      <c r="P129" s="193">
        <f>SUM(P130:P132)</f>
        <v>355116.56</v>
      </c>
      <c r="Q129" s="344"/>
      <c r="R129" s="197">
        <f>H129 -(L129+O129+P129)</f>
        <v>0</v>
      </c>
    </row>
    <row r="130" spans="1:19" s="26" customFormat="1" ht="12.25" customHeight="1" x14ac:dyDescent="0.25">
      <c r="A130" s="47" t="s">
        <v>163</v>
      </c>
      <c r="B130" s="441"/>
      <c r="C130" s="15"/>
      <c r="D130" s="15"/>
      <c r="E130" s="15"/>
      <c r="F130" s="15"/>
      <c r="G130" s="15"/>
      <c r="H130" s="16"/>
      <c r="I130" s="23">
        <v>8025.44</v>
      </c>
      <c r="J130" s="43">
        <v>1</v>
      </c>
      <c r="K130" s="15">
        <v>42292</v>
      </c>
      <c r="L130" s="24">
        <v>8025.44</v>
      </c>
      <c r="M130" s="31">
        <v>42335</v>
      </c>
      <c r="N130" s="44"/>
      <c r="O130" s="83" t="str">
        <f t="shared" si="35"/>
        <v/>
      </c>
      <c r="P130" s="83"/>
      <c r="Q130" s="83"/>
      <c r="R130" s="197"/>
    </row>
    <row r="131" spans="1:19" s="26" customFormat="1" ht="12.25" customHeight="1" x14ac:dyDescent="0.25">
      <c r="A131" s="47" t="s">
        <v>163</v>
      </c>
      <c r="B131" s="441"/>
      <c r="C131" s="15"/>
      <c r="D131" s="15"/>
      <c r="E131" s="15"/>
      <c r="F131" s="15"/>
      <c r="G131" s="15"/>
      <c r="H131" s="16"/>
      <c r="I131" s="23">
        <f>H129-I130</f>
        <v>355116.56</v>
      </c>
      <c r="J131" s="43"/>
      <c r="K131" s="15"/>
      <c r="L131" s="24"/>
      <c r="M131" s="31"/>
      <c r="N131" s="44"/>
      <c r="O131" s="83"/>
      <c r="P131" s="83">
        <f t="shared" ref="P131" si="36">IF(K131="",I131-L131,0)</f>
        <v>355116.56</v>
      </c>
      <c r="Q131" s="83"/>
      <c r="R131" s="197"/>
    </row>
    <row r="132" spans="1:19" s="26" customFormat="1" ht="12.25" customHeight="1" x14ac:dyDescent="0.25">
      <c r="A132" s="47" t="s">
        <v>163</v>
      </c>
      <c r="B132" s="441"/>
      <c r="C132" s="15"/>
      <c r="D132" s="15"/>
      <c r="E132" s="15"/>
      <c r="F132" s="15"/>
      <c r="G132" s="15"/>
      <c r="H132" s="16"/>
      <c r="I132" s="23"/>
      <c r="J132" s="43"/>
      <c r="K132" s="15"/>
      <c r="L132" s="24"/>
      <c r="M132" s="31"/>
      <c r="N132" s="44"/>
      <c r="O132" s="83"/>
      <c r="P132" s="83"/>
      <c r="Q132" s="83"/>
      <c r="R132" s="197"/>
    </row>
    <row r="133" spans="1:19" s="8" customFormat="1" ht="12.25" customHeight="1" x14ac:dyDescent="0.25">
      <c r="A133" s="50"/>
      <c r="B133" s="50"/>
      <c r="C133" s="50"/>
      <c r="D133" s="50"/>
      <c r="E133" s="50"/>
      <c r="F133" s="50"/>
      <c r="G133" s="50"/>
      <c r="H133" s="42">
        <f>H6+H13+H20+H33+H38+H45+H49+H53+H58+H61+H65+H70+H77+H81+H86+H96+H109+H112+H124+H100+H90+H28+H129</f>
        <v>24001524.539999999</v>
      </c>
      <c r="I133" s="42"/>
      <c r="J133" s="51"/>
      <c r="K133" s="52"/>
      <c r="L133" s="42">
        <f>L6+L13+L20+L33+L38+L45+L49+L53+L58+L61+L65+L70+L77+L81+L86+L96+L109+L112+L124+L100+L90+L28+L129</f>
        <v>12203276.630000001</v>
      </c>
      <c r="M133" s="88"/>
      <c r="N133" s="81"/>
      <c r="O133" s="42">
        <f>O6+O13+O20+O33+O38+O45+O49+O53+O58+O61+O65+O70+O77+O81+O86+O96+O109+O112+O124+O100+O90+O28+O129</f>
        <v>1193159.01</v>
      </c>
      <c r="P133" s="42">
        <f>P6+P13+P20+P33+P38+P45+P49+P53+P58+P61+P65+P70+P77+P81+P86+P96+P109+P112+P124+P100+P90+P28+P129</f>
        <v>10304171.748000002</v>
      </c>
      <c r="Q133" s="84"/>
      <c r="R133" s="198">
        <f>H133-(L133+O133+P133)</f>
        <v>300917.15199999511</v>
      </c>
    </row>
    <row r="134" spans="1:19" ht="12.25" customHeight="1" x14ac:dyDescent="0.25">
      <c r="A134" s="77"/>
      <c r="B134" s="77"/>
      <c r="C134" s="78"/>
      <c r="D134" s="78"/>
      <c r="E134" s="78"/>
      <c r="F134" s="78"/>
      <c r="G134" s="78"/>
      <c r="H134" s="78"/>
      <c r="I134" s="78"/>
      <c r="J134" s="77"/>
      <c r="K134" s="78"/>
      <c r="L134" s="78"/>
      <c r="M134" s="89"/>
      <c r="N134" s="82"/>
      <c r="O134" s="516">
        <f>SUM(O133:P133)</f>
        <v>11497330.758000001</v>
      </c>
      <c r="P134" s="517"/>
    </row>
    <row r="135" spans="1:19" s="6" customFormat="1" x14ac:dyDescent="0.25">
      <c r="C135" s="1"/>
      <c r="D135" s="1"/>
      <c r="E135" s="1"/>
      <c r="F135" s="1"/>
      <c r="G135" s="1"/>
      <c r="H135" s="1"/>
      <c r="I135" s="98"/>
      <c r="K135" s="1"/>
      <c r="L135" s="1"/>
      <c r="M135" s="85"/>
      <c r="N135" s="79"/>
      <c r="O135" s="1"/>
      <c r="P135" s="1"/>
      <c r="Q135" s="1"/>
      <c r="R135" s="195"/>
      <c r="S135" s="1"/>
    </row>
    <row r="137" spans="1:19" x14ac:dyDescent="0.25">
      <c r="H137" s="524">
        <v>40909</v>
      </c>
      <c r="I137" s="525">
        <f>SUMPRODUCT((MONTH(DateAF)=MONTH(H137))*MontantAF)</f>
        <v>13974558.088000001</v>
      </c>
    </row>
    <row r="138" spans="1:19" x14ac:dyDescent="0.25">
      <c r="H138" s="524">
        <v>40940</v>
      </c>
      <c r="I138" s="525">
        <f>SUMPRODUCT((MONTH(DateAF)=MONTH(H138))*MontantAF)</f>
        <v>1613920.9000000001</v>
      </c>
    </row>
    <row r="139" spans="1:19" x14ac:dyDescent="0.25">
      <c r="H139" s="524">
        <v>40969</v>
      </c>
      <c r="I139" s="525">
        <f>SUMPRODUCT((MONTH(DateAF)=MONTH(H139))*MontantAF)</f>
        <v>424581.62</v>
      </c>
    </row>
    <row r="140" spans="1:19" x14ac:dyDescent="0.25">
      <c r="H140" s="524">
        <v>41000</v>
      </c>
      <c r="I140" s="525">
        <f>SUMPRODUCT((MONTH(DateAF)=MONTH(H140))*MontantAF)</f>
        <v>937612.81</v>
      </c>
    </row>
    <row r="141" spans="1:19" x14ac:dyDescent="0.25">
      <c r="H141" s="524">
        <v>41030</v>
      </c>
      <c r="I141" s="525">
        <f>SUMPRODUCT((MONTH(DateAF)=MONTH(H141))*MontantAF)</f>
        <v>212089.59</v>
      </c>
    </row>
    <row r="142" spans="1:19" x14ac:dyDescent="0.25">
      <c r="H142" s="524">
        <v>41061</v>
      </c>
      <c r="I142" s="525">
        <f>SUMPRODUCT((MONTH(DateAF)=MONTH(H142))*MontantAF)</f>
        <v>45966.39</v>
      </c>
      <c r="L142" s="1" t="s">
        <v>240</v>
      </c>
    </row>
    <row r="143" spans="1:19" x14ac:dyDescent="0.25">
      <c r="H143" s="524">
        <v>41091</v>
      </c>
      <c r="I143" s="525">
        <f>SUMPRODUCT((MONTH(DateAF)=MONTH(H143))*MontantAF)</f>
        <v>390660</v>
      </c>
    </row>
    <row r="144" spans="1:19" x14ac:dyDescent="0.25">
      <c r="H144" s="524">
        <v>41122</v>
      </c>
      <c r="I144" s="525">
        <f>SUMPRODUCT((MONTH(DateAF)=MONTH(H144))*MontantAF)</f>
        <v>1114210.67</v>
      </c>
    </row>
    <row r="145" spans="8:9" x14ac:dyDescent="0.25">
      <c r="H145" s="524">
        <v>41153</v>
      </c>
      <c r="I145" s="525">
        <f>SUMPRODUCT((MONTH(DateAF)=MONTH(H145))*MontantAF)</f>
        <v>934091.84000000008</v>
      </c>
    </row>
    <row r="146" spans="8:9" x14ac:dyDescent="0.25">
      <c r="H146" s="524">
        <v>41183</v>
      </c>
      <c r="I146" s="525">
        <f>SUMPRODUCT((MONTH(DateAF)=MONTH(H146))*MontantAF)</f>
        <v>774698.96</v>
      </c>
    </row>
    <row r="147" spans="8:9" x14ac:dyDescent="0.25">
      <c r="H147" s="524">
        <v>41214</v>
      </c>
      <c r="I147" s="525">
        <f>SUMPRODUCT((MONTH(DateAF)=MONTH(H147))*MontantAF)</f>
        <v>3296988.01</v>
      </c>
    </row>
    <row r="148" spans="8:9" x14ac:dyDescent="0.25">
      <c r="H148" s="524">
        <v>41244</v>
      </c>
      <c r="I148" s="525">
        <f>SUMPRODUCT((MONTH(DateAF)=MONTH(H148))*MontantAF)</f>
        <v>281389.64</v>
      </c>
    </row>
    <row r="149" spans="8:9" x14ac:dyDescent="0.25">
      <c r="H149" s="524">
        <v>41275</v>
      </c>
      <c r="I149" s="525">
        <f>SUMPRODUCT((MONTH(DateAF)=MONTH(H149))*MontantAF)</f>
        <v>13974558.088000001</v>
      </c>
    </row>
    <row r="150" spans="8:9" x14ac:dyDescent="0.25">
      <c r="H150" s="524">
        <v>41306</v>
      </c>
      <c r="I150" s="525">
        <f>SUMPRODUCT((MONTH(DateAF)=MONTH(H150))*MontantAF)</f>
        <v>1613920.9000000001</v>
      </c>
    </row>
    <row r="151" spans="8:9" x14ac:dyDescent="0.25">
      <c r="H151" s="524">
        <v>41334</v>
      </c>
      <c r="I151" s="525">
        <f>SUMPRODUCT((MONTH(DateAF)=MONTH(H151))*MontantAF)</f>
        <v>424581.62</v>
      </c>
    </row>
    <row r="152" spans="8:9" x14ac:dyDescent="0.25">
      <c r="H152" s="524">
        <v>41365</v>
      </c>
      <c r="I152" s="525">
        <f>SUMPRODUCT((MONTH(DateAF)=MONTH(H152))*MontantAF)</f>
        <v>937612.81</v>
      </c>
    </row>
    <row r="153" spans="8:9" x14ac:dyDescent="0.25">
      <c r="H153" s="524">
        <v>41395</v>
      </c>
      <c r="I153" s="525">
        <f>SUMPRODUCT((MONTH(DateAF)=MONTH(H153))*MontantAF)</f>
        <v>212089.59</v>
      </c>
    </row>
    <row r="154" spans="8:9" x14ac:dyDescent="0.25">
      <c r="H154" s="524">
        <v>41426</v>
      </c>
      <c r="I154" s="525">
        <f>SUMPRODUCT((MONTH(DateAF)=MONTH(H154))*MontantAF)</f>
        <v>45966.39</v>
      </c>
    </row>
    <row r="155" spans="8:9" x14ac:dyDescent="0.25">
      <c r="H155" s="524">
        <v>41456</v>
      </c>
      <c r="I155" s="525">
        <f>SUMPRODUCT((MONTH(DateAF)=MONTH(H155))*MontantAF)</f>
        <v>390660</v>
      </c>
    </row>
    <row r="156" spans="8:9" x14ac:dyDescent="0.25">
      <c r="H156" s="524">
        <v>41487</v>
      </c>
      <c r="I156" s="525">
        <f>SUMPRODUCT((MONTH(DateAF)=MONTH(H156))*MontantAF)</f>
        <v>1114210.67</v>
      </c>
    </row>
    <row r="157" spans="8:9" x14ac:dyDescent="0.25">
      <c r="H157" s="524">
        <v>41518</v>
      </c>
      <c r="I157" s="525">
        <f>SUMPRODUCT((MONTH(DateAF)=MONTH(H157))*MontantAF)</f>
        <v>934091.84000000008</v>
      </c>
    </row>
    <row r="158" spans="8:9" x14ac:dyDescent="0.25">
      <c r="H158" s="524">
        <v>41548</v>
      </c>
      <c r="I158" s="525">
        <f>SUMPRODUCT((MONTH(DateAF)=MONTH(H158))*MontantAF)</f>
        <v>774698.96</v>
      </c>
    </row>
    <row r="159" spans="8:9" x14ac:dyDescent="0.25">
      <c r="H159" s="524">
        <v>41579</v>
      </c>
      <c r="I159" s="525">
        <f>SUMPRODUCT((MONTH(DateAF)=MONTH(H159))*MontantAF)</f>
        <v>3296988.01</v>
      </c>
    </row>
    <row r="160" spans="8:9" x14ac:dyDescent="0.25">
      <c r="H160" s="524">
        <v>41609</v>
      </c>
      <c r="I160" s="525">
        <f>SUMPRODUCT((MONTH(DateAF)=MONTH(H160))*MontantAF)</f>
        <v>281389.64</v>
      </c>
    </row>
    <row r="161" spans="8:9" x14ac:dyDescent="0.25">
      <c r="H161" s="524">
        <v>41640</v>
      </c>
      <c r="I161" s="525">
        <f>SUMPRODUCT((MONTH(DateAF)=MONTH(H161))*MontantAF)</f>
        <v>13974558.088000001</v>
      </c>
    </row>
    <row r="162" spans="8:9" x14ac:dyDescent="0.25">
      <c r="H162" s="524">
        <v>41671</v>
      </c>
      <c r="I162" s="525">
        <f>SUMPRODUCT((MONTH(DateAF)=MONTH(H162))*MontantAF)</f>
        <v>1613920.9000000001</v>
      </c>
    </row>
    <row r="163" spans="8:9" x14ac:dyDescent="0.25">
      <c r="H163" s="524">
        <v>41699</v>
      </c>
      <c r="I163" s="525">
        <f>SUMPRODUCT((MONTH(DateAF)=MONTH(H163))*MontantAF)</f>
        <v>424581.62</v>
      </c>
    </row>
    <row r="164" spans="8:9" x14ac:dyDescent="0.25">
      <c r="H164" s="524">
        <v>41730</v>
      </c>
      <c r="I164" s="525">
        <f>SUMPRODUCT((MONTH(DateAF)=MONTH(H164))*MontantAF)</f>
        <v>937612.81</v>
      </c>
    </row>
    <row r="165" spans="8:9" x14ac:dyDescent="0.25">
      <c r="H165" s="524">
        <v>41760</v>
      </c>
      <c r="I165" s="525">
        <f>SUMPRODUCT((MONTH(DateAF)=MONTH(H165))*MontantAF)</f>
        <v>212089.59</v>
      </c>
    </row>
    <row r="166" spans="8:9" x14ac:dyDescent="0.25">
      <c r="H166" s="524">
        <v>41791</v>
      </c>
      <c r="I166" s="525">
        <f>SUMPRODUCT((MONTH(DateAF)=MONTH(H166))*MontantAF)</f>
        <v>45966.39</v>
      </c>
    </row>
    <row r="167" spans="8:9" x14ac:dyDescent="0.25">
      <c r="H167" s="524">
        <v>41821</v>
      </c>
      <c r="I167" s="525">
        <f>SUMPRODUCT((MONTH(DateAF)=MONTH(H167))*MontantAF)</f>
        <v>390660</v>
      </c>
    </row>
    <row r="168" spans="8:9" x14ac:dyDescent="0.25">
      <c r="H168" s="524">
        <v>41852</v>
      </c>
      <c r="I168" s="525">
        <f>SUMPRODUCT((MONTH(DateAF)=MONTH(H168))*MontantAF)</f>
        <v>1114210.67</v>
      </c>
    </row>
    <row r="169" spans="8:9" x14ac:dyDescent="0.25">
      <c r="H169" s="524">
        <v>41883</v>
      </c>
      <c r="I169" s="525">
        <f>SUMPRODUCT((MONTH(DateAF)=MONTH(H169))*MontantAF)</f>
        <v>934091.84000000008</v>
      </c>
    </row>
    <row r="170" spans="8:9" x14ac:dyDescent="0.25">
      <c r="H170" s="524">
        <v>41913</v>
      </c>
      <c r="I170" s="525">
        <f>SUMPRODUCT((MONTH(DateAF)=MONTH(H170))*MontantAF)</f>
        <v>774698.96</v>
      </c>
    </row>
    <row r="171" spans="8:9" x14ac:dyDescent="0.25">
      <c r="H171" s="524">
        <v>41944</v>
      </c>
      <c r="I171" s="525">
        <f>SUMPRODUCT((MONTH(DateAF)=MONTH(H171))*MontantAF)</f>
        <v>3296988.01</v>
      </c>
    </row>
    <row r="172" spans="8:9" x14ac:dyDescent="0.25">
      <c r="H172" s="524">
        <v>41974</v>
      </c>
      <c r="I172" s="525">
        <f>SUMPRODUCT((MONTH(DateAF)=MONTH(H172))*MontantAF)</f>
        <v>281389.64</v>
      </c>
    </row>
    <row r="173" spans="8:9" x14ac:dyDescent="0.25">
      <c r="H173" s="524">
        <v>42005</v>
      </c>
      <c r="I173" s="525">
        <f>SUMPRODUCT((MONTH(DateAF)=MONTH(H173))*MontantAF)</f>
        <v>13974558.088000001</v>
      </c>
    </row>
    <row r="174" spans="8:9" x14ac:dyDescent="0.25">
      <c r="H174" s="524">
        <v>42036</v>
      </c>
      <c r="I174" s="525">
        <f>SUMPRODUCT((MONTH(DateAF)=MONTH(H174))*MontantAF)</f>
        <v>1613920.9000000001</v>
      </c>
    </row>
    <row r="175" spans="8:9" x14ac:dyDescent="0.25">
      <c r="H175" s="524">
        <v>42064</v>
      </c>
      <c r="I175" s="525">
        <f>SUMPRODUCT((MONTH(DateAF)=MONTH(H175))*MontantAF)</f>
        <v>424581.62</v>
      </c>
    </row>
    <row r="176" spans="8:9" x14ac:dyDescent="0.25">
      <c r="H176" s="524">
        <v>42095</v>
      </c>
      <c r="I176" s="525">
        <f>SUMPRODUCT((MONTH(DateAF)=MONTH(H176))*MontantAF)</f>
        <v>937612.81</v>
      </c>
    </row>
    <row r="177" spans="8:12" x14ac:dyDescent="0.25">
      <c r="H177" s="524">
        <v>42125</v>
      </c>
      <c r="I177" s="525">
        <f>SUMPRODUCT((MONTH(DateAF)=MONTH(H177))*MontantAF)</f>
        <v>212089.59</v>
      </c>
    </row>
    <row r="178" spans="8:12" x14ac:dyDescent="0.25">
      <c r="H178" s="524">
        <v>42156</v>
      </c>
      <c r="I178" s="525">
        <f>SUMPRODUCT((MONTH(DateAF)=MONTH(H178))*MontantAF)</f>
        <v>45966.39</v>
      </c>
    </row>
    <row r="179" spans="8:12" x14ac:dyDescent="0.25">
      <c r="H179" s="524">
        <v>42186</v>
      </c>
      <c r="I179" s="525">
        <f>SUMPRODUCT((MONTH(DateAF)=MONTH(H179))*MontantAF)</f>
        <v>390660</v>
      </c>
    </row>
    <row r="180" spans="8:12" x14ac:dyDescent="0.25">
      <c r="H180" s="524">
        <v>42217</v>
      </c>
      <c r="I180" s="525">
        <f>SUMPRODUCT((MONTH(DateAF)=MONTH(H180))*MontantAF)</f>
        <v>1114210.67</v>
      </c>
    </row>
    <row r="181" spans="8:12" x14ac:dyDescent="0.25">
      <c r="H181" s="524">
        <v>42248</v>
      </c>
      <c r="I181" s="525">
        <f>SUMPRODUCT((MONTH(DateAF)=MONTH(H181))*MontantAF)</f>
        <v>934091.84000000008</v>
      </c>
    </row>
    <row r="182" spans="8:12" x14ac:dyDescent="0.25">
      <c r="H182" s="524">
        <v>42278</v>
      </c>
      <c r="I182" s="525">
        <f>SUMPRODUCT((MONTH(DateAF)=MONTH(H182))*MontantAF)</f>
        <v>774698.96</v>
      </c>
    </row>
    <row r="183" spans="8:12" x14ac:dyDescent="0.25">
      <c r="H183" s="524">
        <v>42309</v>
      </c>
      <c r="I183" s="525">
        <f>SUMPRODUCT((MONTH(DateAF)=MONTH(H183))*MontantAF)</f>
        <v>3296988.01</v>
      </c>
    </row>
    <row r="184" spans="8:12" x14ac:dyDescent="0.25">
      <c r="H184" s="524">
        <v>42339</v>
      </c>
      <c r="I184" s="525">
        <f>SUMPRODUCT((MONTH(DateAF)=MONTH(H184))*MontantAF)</f>
        <v>281389.64</v>
      </c>
    </row>
    <row r="185" spans="8:12" x14ac:dyDescent="0.25">
      <c r="H185" s="524">
        <v>42370</v>
      </c>
      <c r="I185" s="525">
        <f>SUMPRODUCT((MONTH(DateAF)=MONTH(H185))*MontantAF)</f>
        <v>13974558.088000001</v>
      </c>
    </row>
    <row r="186" spans="8:12" x14ac:dyDescent="0.25">
      <c r="H186" s="524">
        <v>42401</v>
      </c>
      <c r="I186" s="525">
        <f>SUMPRODUCT((MONTH(DateAF)=MONTH(H186))*MontantAF)</f>
        <v>1613920.9000000001</v>
      </c>
    </row>
    <row r="187" spans="8:12" x14ac:dyDescent="0.25">
      <c r="H187" s="524">
        <v>42430</v>
      </c>
      <c r="I187" s="525">
        <f>SUMPRODUCT((MONTH(DateAF)=MONTH(H187))*MontantAF)</f>
        <v>424581.62</v>
      </c>
      <c r="K187" s="524">
        <v>42370</v>
      </c>
      <c r="L187" s="525">
        <v>747740</v>
      </c>
    </row>
    <row r="188" spans="8:12" x14ac:dyDescent="0.25">
      <c r="I188" s="523">
        <f>SUM(I137:I187)</f>
        <v>112016134.68000005</v>
      </c>
    </row>
  </sheetData>
  <autoFilter ref="A5:R134"/>
  <mergeCells count="4">
    <mergeCell ref="O134:P134"/>
    <mergeCell ref="A2:O2"/>
    <mergeCell ref="I4:N4"/>
    <mergeCell ref="O4:P4"/>
  </mergeCells>
  <pageMargins left="0.7" right="0.7" top="0.75" bottom="0.75" header="0.3" footer="0.3"/>
  <pageSetup paperSize="9" scale="3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T39"/>
  <sheetViews>
    <sheetView view="pageBreakPreview" zoomScaleNormal="70" zoomScaleSheetLayoutView="100" workbookViewId="0">
      <pane xSplit="1" ySplit="5" topLeftCell="C6" activePane="bottomRight" state="frozen"/>
      <selection pane="topRight" activeCell="B1" sqref="B1"/>
      <selection pane="bottomLeft" activeCell="A6" sqref="A6"/>
      <selection pane="bottomRight" activeCell="F46" sqref="F46"/>
    </sheetView>
  </sheetViews>
  <sheetFormatPr baseColWidth="10" defaultColWidth="11.375" defaultRowHeight="12.25" x14ac:dyDescent="0.25"/>
  <cols>
    <col min="1" max="1" width="31.625" style="6" bestFit="1" customWidth="1"/>
    <col min="2" max="2" width="14.375" style="1" customWidth="1"/>
    <col min="3" max="3" width="15.125" style="1" customWidth="1"/>
    <col min="4" max="4" width="15.875" style="1" customWidth="1"/>
    <col min="5" max="5" width="13.375" style="1" bestFit="1" customWidth="1"/>
    <col min="6" max="6" width="14.375" style="1" customWidth="1"/>
    <col min="7" max="7" width="4.125" style="6" bestFit="1" customWidth="1"/>
    <col min="8" max="8" width="10.375" style="1" bestFit="1" customWidth="1"/>
    <col min="9" max="9" width="13.375" style="1" customWidth="1"/>
    <col min="10" max="10" width="10.375" style="1" bestFit="1" customWidth="1"/>
    <col min="11" max="11" width="18.625" style="1" bestFit="1" customWidth="1"/>
    <col min="12" max="12" width="14.375" style="1" customWidth="1"/>
    <col min="13" max="14" width="14.375" style="1" bestFit="1" customWidth="1"/>
    <col min="15" max="15" width="14.125" style="195" customWidth="1"/>
    <col min="16" max="16" width="14.375" style="1" bestFit="1" customWidth="1"/>
    <col min="17" max="17" width="13.375" style="1" bestFit="1" customWidth="1"/>
    <col min="18" max="16384" width="11.375" style="1"/>
  </cols>
  <sheetData>
    <row r="1" spans="1:20" x14ac:dyDescent="0.25">
      <c r="P1" s="75"/>
      <c r="Q1" s="8"/>
    </row>
    <row r="2" spans="1:20" x14ac:dyDescent="0.25">
      <c r="A2" s="510" t="s">
        <v>31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9">
        <f ca="1">TODAY()</f>
        <v>42435</v>
      </c>
      <c r="N2" s="9"/>
      <c r="Q2" s="63"/>
    </row>
    <row r="4" spans="1:20" s="2" customFormat="1" ht="24.45" x14ac:dyDescent="0.2">
      <c r="A4" s="511" t="s">
        <v>2</v>
      </c>
      <c r="B4" s="513" t="s">
        <v>21</v>
      </c>
      <c r="C4" s="149" t="s">
        <v>148</v>
      </c>
      <c r="D4" s="149" t="s">
        <v>135</v>
      </c>
      <c r="E4" s="513" t="s">
        <v>12</v>
      </c>
      <c r="F4" s="507" t="s">
        <v>4</v>
      </c>
      <c r="G4" s="508"/>
      <c r="H4" s="508"/>
      <c r="I4" s="508"/>
      <c r="J4" s="508"/>
      <c r="K4" s="509"/>
      <c r="L4" s="515" t="s">
        <v>13</v>
      </c>
      <c r="M4" s="513"/>
      <c r="N4" s="3" t="s">
        <v>134</v>
      </c>
      <c r="O4" s="246"/>
      <c r="Q4" s="65"/>
      <c r="R4" s="65"/>
    </row>
    <row r="5" spans="1:20" s="13" customFormat="1" x14ac:dyDescent="0.25">
      <c r="A5" s="512"/>
      <c r="B5" s="514"/>
      <c r="C5" s="150"/>
      <c r="D5" s="150"/>
      <c r="E5" s="51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3"/>
      <c r="O5" s="195"/>
      <c r="P5" s="1"/>
      <c r="Q5" s="1"/>
      <c r="R5" s="1"/>
      <c r="S5" s="1"/>
    </row>
    <row r="6" spans="1:20" s="120" customFormat="1" x14ac:dyDescent="0.25">
      <c r="A6" s="371" t="s">
        <v>32</v>
      </c>
      <c r="B6" s="365">
        <v>40724</v>
      </c>
      <c r="C6" s="365">
        <f>DATE(YEAR(B6)+5,MONTH(B6),DAY(B6))</f>
        <v>42551</v>
      </c>
      <c r="D6" s="365">
        <v>41613</v>
      </c>
      <c r="E6" s="372">
        <v>70000</v>
      </c>
      <c r="F6" s="365"/>
      <c r="G6" s="365"/>
      <c r="H6" s="365"/>
      <c r="I6" s="373">
        <f>SUM(I7:I9)</f>
        <v>70000</v>
      </c>
      <c r="J6" s="366"/>
      <c r="K6" s="374"/>
      <c r="L6" s="373">
        <f>SUM(L7:L9)</f>
        <v>0</v>
      </c>
      <c r="M6" s="373">
        <f>SUM(M7:M9)</f>
        <v>0</v>
      </c>
      <c r="N6" s="373"/>
      <c r="O6" s="247">
        <f>E6-(I6+L6+M6)</f>
        <v>0</v>
      </c>
      <c r="P6" s="2"/>
      <c r="Q6" s="65"/>
      <c r="R6" s="65"/>
      <c r="S6" s="2"/>
      <c r="T6" s="197"/>
    </row>
    <row r="7" spans="1:20" s="26" customFormat="1" x14ac:dyDescent="0.25">
      <c r="A7" s="146" t="s">
        <v>32</v>
      </c>
      <c r="B7" s="127"/>
      <c r="C7" s="127"/>
      <c r="D7" s="127"/>
      <c r="E7" s="369">
        <f>F7/$E$6</f>
        <v>0.4</v>
      </c>
      <c r="F7" s="129">
        <v>28000</v>
      </c>
      <c r="G7" s="130">
        <v>1</v>
      </c>
      <c r="H7" s="132">
        <v>41010</v>
      </c>
      <c r="I7" s="129">
        <v>28000</v>
      </c>
      <c r="J7" s="132">
        <v>41010</v>
      </c>
      <c r="K7" s="370">
        <f>IF(J7="",$M$2-H7,J7-H7)</f>
        <v>0</v>
      </c>
      <c r="L7" s="133" t="str">
        <f>IF(I7="en attente",F7,"")</f>
        <v/>
      </c>
      <c r="M7" s="133">
        <f t="shared" ref="M7:M37" si="0">IF(H7="",F7-I7,0)</f>
        <v>0</v>
      </c>
      <c r="N7" s="128"/>
      <c r="O7" s="195"/>
      <c r="P7" s="1"/>
      <c r="Q7" s="1"/>
      <c r="R7" s="1"/>
      <c r="S7" s="1"/>
    </row>
    <row r="8" spans="1:20" s="26" customFormat="1" x14ac:dyDescent="0.25">
      <c r="A8" s="146" t="s">
        <v>32</v>
      </c>
      <c r="B8" s="127"/>
      <c r="C8" s="127"/>
      <c r="D8" s="127"/>
      <c r="E8" s="369">
        <f>F8/$E$6+E7</f>
        <v>0.7</v>
      </c>
      <c r="F8" s="129">
        <v>21000</v>
      </c>
      <c r="G8" s="130">
        <v>2</v>
      </c>
      <c r="H8" s="127"/>
      <c r="I8" s="129">
        <v>21000</v>
      </c>
      <c r="J8" s="132">
        <v>41522</v>
      </c>
      <c r="K8" s="370"/>
      <c r="L8" s="133" t="str">
        <f t="shared" ref="L8:L37" si="1">IF(I8="en attente",F8,"")</f>
        <v/>
      </c>
      <c r="M8" s="133">
        <f t="shared" si="0"/>
        <v>0</v>
      </c>
      <c r="N8" s="128"/>
      <c r="O8" s="246"/>
      <c r="P8" s="2"/>
      <c r="Q8" s="65"/>
      <c r="R8" s="65"/>
      <c r="S8" s="2"/>
    </row>
    <row r="9" spans="1:20" s="26" customFormat="1" x14ac:dyDescent="0.25">
      <c r="A9" s="146" t="s">
        <v>32</v>
      </c>
      <c r="B9" s="127"/>
      <c r="C9" s="127"/>
      <c r="D9" s="127"/>
      <c r="E9" s="369">
        <f>F9/$E$6+E8</f>
        <v>1</v>
      </c>
      <c r="F9" s="129">
        <v>21000</v>
      </c>
      <c r="G9" s="130">
        <v>3</v>
      </c>
      <c r="H9" s="127">
        <v>42123</v>
      </c>
      <c r="I9" s="131">
        <f>F9</f>
        <v>21000</v>
      </c>
      <c r="J9" s="132">
        <v>42188</v>
      </c>
      <c r="K9" s="126"/>
      <c r="L9" s="133" t="str">
        <f t="shared" si="1"/>
        <v/>
      </c>
      <c r="M9" s="133">
        <f t="shared" si="0"/>
        <v>0</v>
      </c>
      <c r="N9" s="133"/>
      <c r="O9" s="195"/>
      <c r="P9" s="1"/>
      <c r="Q9" s="1"/>
      <c r="R9" s="1"/>
      <c r="S9" s="1"/>
    </row>
    <row r="10" spans="1:20" s="120" customFormat="1" x14ac:dyDescent="0.25">
      <c r="A10" s="152" t="s">
        <v>8</v>
      </c>
      <c r="B10" s="192">
        <v>40988</v>
      </c>
      <c r="C10" s="192">
        <v>42735</v>
      </c>
      <c r="D10" s="192"/>
      <c r="E10" s="161">
        <v>110000</v>
      </c>
      <c r="F10" s="156"/>
      <c r="G10" s="171"/>
      <c r="H10" s="192"/>
      <c r="I10" s="193">
        <f>SUM(I11:I13)</f>
        <v>44000</v>
      </c>
      <c r="J10" s="160"/>
      <c r="K10" s="158"/>
      <c r="L10" s="193">
        <f>SUM(L11:L13)</f>
        <v>33000</v>
      </c>
      <c r="M10" s="193">
        <f>SUM(M11:M13)</f>
        <v>33000</v>
      </c>
      <c r="N10" s="193"/>
      <c r="O10" s="247">
        <f>E10-(I10+L10+M10)</f>
        <v>0</v>
      </c>
      <c r="P10" s="245"/>
      <c r="Q10" s="245"/>
    </row>
    <row r="11" spans="1:20" s="26" customFormat="1" x14ac:dyDescent="0.25">
      <c r="A11" s="47" t="s">
        <v>8</v>
      </c>
      <c r="B11" s="29"/>
      <c r="C11" s="29"/>
      <c r="D11" s="29"/>
      <c r="E11" s="121">
        <f>F11/$E$10</f>
        <v>0.4</v>
      </c>
      <c r="F11" s="23">
        <v>44000</v>
      </c>
      <c r="G11" s="43">
        <v>1</v>
      </c>
      <c r="H11" s="15"/>
      <c r="I11" s="24">
        <v>44000</v>
      </c>
      <c r="J11" s="31">
        <v>41360</v>
      </c>
      <c r="K11" s="44"/>
      <c r="L11" s="83" t="str">
        <f t="shared" si="1"/>
        <v/>
      </c>
      <c r="M11" s="83">
        <f t="shared" si="0"/>
        <v>0</v>
      </c>
      <c r="N11" s="16"/>
      <c r="O11" s="248"/>
      <c r="P11" s="27"/>
    </row>
    <row r="12" spans="1:20" x14ac:dyDescent="0.25">
      <c r="A12" s="47" t="s">
        <v>8</v>
      </c>
      <c r="B12" s="15"/>
      <c r="C12" s="15"/>
      <c r="D12" s="15"/>
      <c r="E12" s="121">
        <f>F12/$E$10+E11</f>
        <v>0.7</v>
      </c>
      <c r="F12" s="23">
        <v>33000</v>
      </c>
      <c r="G12" s="43">
        <v>2</v>
      </c>
      <c r="H12" s="15">
        <v>41884</v>
      </c>
      <c r="I12" s="137" t="s">
        <v>113</v>
      </c>
      <c r="J12" s="25"/>
      <c r="K12" s="44">
        <f ca="1">IF(J12="",$M$2-H12,J12-H12)</f>
        <v>551</v>
      </c>
      <c r="L12" s="83">
        <f t="shared" si="1"/>
        <v>33000</v>
      </c>
      <c r="M12" s="83">
        <f t="shared" si="0"/>
        <v>0</v>
      </c>
      <c r="N12" s="16"/>
    </row>
    <row r="13" spans="1:20" x14ac:dyDescent="0.25">
      <c r="A13" s="151" t="s">
        <v>8</v>
      </c>
      <c r="B13" s="37"/>
      <c r="C13" s="15"/>
      <c r="D13" s="15"/>
      <c r="E13" s="121">
        <f>F13/$E$10+E12</f>
        <v>1</v>
      </c>
      <c r="F13" s="36">
        <v>33000</v>
      </c>
      <c r="G13" s="45">
        <v>3</v>
      </c>
      <c r="H13" s="37"/>
      <c r="I13" s="38"/>
      <c r="J13" s="189"/>
      <c r="K13" s="44"/>
      <c r="L13" s="191" t="str">
        <f t="shared" si="1"/>
        <v/>
      </c>
      <c r="M13" s="83">
        <f t="shared" si="0"/>
        <v>33000</v>
      </c>
      <c r="N13" s="41"/>
      <c r="Q13" s="27"/>
    </row>
    <row r="14" spans="1:20" s="8" customFormat="1" x14ac:dyDescent="0.25">
      <c r="A14" s="162" t="s">
        <v>33</v>
      </c>
      <c r="B14" s="182">
        <v>40988</v>
      </c>
      <c r="C14" s="192">
        <v>42735</v>
      </c>
      <c r="D14" s="192"/>
      <c r="E14" s="156">
        <v>85000</v>
      </c>
      <c r="F14" s="165"/>
      <c r="G14" s="166"/>
      <c r="H14" s="182"/>
      <c r="I14" s="183">
        <f>SUM(I15:I17)</f>
        <v>59500</v>
      </c>
      <c r="J14" s="180"/>
      <c r="K14" s="160"/>
      <c r="L14" s="183">
        <f>SUM(L15:L17)</f>
        <v>0</v>
      </c>
      <c r="M14" s="205">
        <f>SUM(M15:M17)</f>
        <v>25500</v>
      </c>
      <c r="N14" s="183"/>
      <c r="O14" s="247">
        <f>E14-(I14+L14+M14)</f>
        <v>0</v>
      </c>
      <c r="Q14" s="245"/>
    </row>
    <row r="15" spans="1:20" x14ac:dyDescent="0.25">
      <c r="A15" s="47" t="s">
        <v>33</v>
      </c>
      <c r="B15" s="15"/>
      <c r="C15" s="15"/>
      <c r="D15" s="15"/>
      <c r="E15" s="121">
        <f>F15/$E$14</f>
        <v>0.4</v>
      </c>
      <c r="F15" s="23">
        <v>34000</v>
      </c>
      <c r="G15" s="43">
        <v>1</v>
      </c>
      <c r="H15" s="15"/>
      <c r="I15" s="24">
        <v>34000</v>
      </c>
      <c r="J15" s="31">
        <v>41358</v>
      </c>
      <c r="K15" s="44"/>
      <c r="L15" s="83" t="str">
        <f t="shared" si="1"/>
        <v/>
      </c>
      <c r="M15" s="83">
        <f t="shared" si="0"/>
        <v>0</v>
      </c>
      <c r="N15" s="16"/>
      <c r="Q15" s="27"/>
    </row>
    <row r="16" spans="1:20" x14ac:dyDescent="0.25">
      <c r="A16" s="47" t="s">
        <v>33</v>
      </c>
      <c r="B16" s="15"/>
      <c r="C16" s="15"/>
      <c r="D16" s="15"/>
      <c r="E16" s="121">
        <f>F16/$E$14+E15</f>
        <v>0.7</v>
      </c>
      <c r="F16" s="123">
        <v>25500</v>
      </c>
      <c r="G16" s="43">
        <v>2</v>
      </c>
      <c r="H16" s="15">
        <v>42215</v>
      </c>
      <c r="I16" s="24">
        <v>25500</v>
      </c>
      <c r="J16" s="31">
        <v>42282</v>
      </c>
      <c r="K16" s="44"/>
      <c r="L16" s="83" t="str">
        <f t="shared" si="1"/>
        <v/>
      </c>
      <c r="M16" s="83">
        <f t="shared" si="0"/>
        <v>0</v>
      </c>
      <c r="N16" s="16"/>
      <c r="Q16" s="27"/>
    </row>
    <row r="17" spans="1:17" s="26" customFormat="1" x14ac:dyDescent="0.25">
      <c r="A17" s="47" t="s">
        <v>33</v>
      </c>
      <c r="B17" s="29"/>
      <c r="C17" s="29"/>
      <c r="D17" s="29"/>
      <c r="E17" s="121">
        <f>F17/$E$14+E16</f>
        <v>1</v>
      </c>
      <c r="F17" s="23">
        <v>25500</v>
      </c>
      <c r="G17" s="43">
        <v>3</v>
      </c>
      <c r="H17" s="15"/>
      <c r="I17" s="24"/>
      <c r="J17" s="25"/>
      <c r="K17" s="44"/>
      <c r="L17" s="83" t="str">
        <f t="shared" si="1"/>
        <v/>
      </c>
      <c r="M17" s="83">
        <f t="shared" si="0"/>
        <v>25500</v>
      </c>
      <c r="N17" s="16"/>
      <c r="O17" s="248"/>
    </row>
    <row r="18" spans="1:17" s="8" customFormat="1" x14ac:dyDescent="0.25">
      <c r="A18" s="152" t="s">
        <v>36</v>
      </c>
      <c r="B18" s="192">
        <v>41450</v>
      </c>
      <c r="C18" s="192">
        <f>DATE(YEAR(B18)+4,MONTH(B18),DAY(B18))</f>
        <v>42911</v>
      </c>
      <c r="D18" s="192"/>
      <c r="E18" s="161">
        <v>220000</v>
      </c>
      <c r="F18" s="156"/>
      <c r="G18" s="171"/>
      <c r="H18" s="158"/>
      <c r="I18" s="193">
        <f>SUM(I19:I21)</f>
        <v>88000</v>
      </c>
      <c r="J18" s="160"/>
      <c r="K18" s="158"/>
      <c r="L18" s="193">
        <f>SUM(L19:L21)</f>
        <v>0</v>
      </c>
      <c r="M18" s="193">
        <f>SUM(M19:M21)</f>
        <v>132000</v>
      </c>
      <c r="N18" s="193"/>
      <c r="O18" s="247">
        <f>E18-(I18+L18+M18)</f>
        <v>0</v>
      </c>
    </row>
    <row r="19" spans="1:17" s="26" customFormat="1" x14ac:dyDescent="0.25">
      <c r="A19" s="47" t="s">
        <v>36</v>
      </c>
      <c r="B19" s="15"/>
      <c r="C19" s="15"/>
      <c r="D19" s="15"/>
      <c r="E19" s="121">
        <f>F19/$E$18</f>
        <v>0.4</v>
      </c>
      <c r="F19" s="23">
        <v>88000</v>
      </c>
      <c r="G19" s="43">
        <v>1</v>
      </c>
      <c r="H19" s="15">
        <v>41715</v>
      </c>
      <c r="I19" s="24">
        <v>88000</v>
      </c>
      <c r="J19" s="31">
        <v>41754</v>
      </c>
      <c r="K19" s="44">
        <f>IF(J19="",$M$2-H19,J19-H19)</f>
        <v>39</v>
      </c>
      <c r="L19" s="83" t="str">
        <f t="shared" si="1"/>
        <v/>
      </c>
      <c r="M19" s="83">
        <f t="shared" si="0"/>
        <v>0</v>
      </c>
      <c r="N19" s="16"/>
      <c r="O19" s="248"/>
      <c r="Q19" s="27"/>
    </row>
    <row r="20" spans="1:17" s="26" customFormat="1" x14ac:dyDescent="0.25">
      <c r="A20" s="47" t="s">
        <v>36</v>
      </c>
      <c r="B20" s="15"/>
      <c r="C20" s="15"/>
      <c r="D20" s="15"/>
      <c r="E20" s="121">
        <f>F20/$E$18+E19</f>
        <v>0.7</v>
      </c>
      <c r="F20" s="23">
        <f>0.3*E18</f>
        <v>66000</v>
      </c>
      <c r="G20" s="43">
        <v>2</v>
      </c>
      <c r="H20" s="501"/>
      <c r="I20" s="24"/>
      <c r="J20" s="25"/>
      <c r="K20" s="44"/>
      <c r="L20" s="83" t="str">
        <f t="shared" si="1"/>
        <v/>
      </c>
      <c r="M20" s="83">
        <f t="shared" si="0"/>
        <v>66000</v>
      </c>
      <c r="N20" s="16"/>
      <c r="O20" s="248"/>
      <c r="Q20" s="27"/>
    </row>
    <row r="21" spans="1:17" s="26" customFormat="1" x14ac:dyDescent="0.25">
      <c r="A21" s="151" t="s">
        <v>36</v>
      </c>
      <c r="B21" s="37"/>
      <c r="C21" s="15"/>
      <c r="D21" s="15"/>
      <c r="E21" s="121">
        <f>F21/$E$18+E20</f>
        <v>1</v>
      </c>
      <c r="F21" s="36">
        <v>66000</v>
      </c>
      <c r="G21" s="45">
        <v>3</v>
      </c>
      <c r="H21" s="37"/>
      <c r="I21" s="38"/>
      <c r="J21" s="39"/>
      <c r="K21" s="44"/>
      <c r="L21" s="191" t="str">
        <f t="shared" si="1"/>
        <v/>
      </c>
      <c r="M21" s="83">
        <f t="shared" si="0"/>
        <v>66000</v>
      </c>
      <c r="N21" s="41"/>
      <c r="O21" s="248"/>
      <c r="Q21" s="27"/>
    </row>
    <row r="22" spans="1:17" s="120" customFormat="1" x14ac:dyDescent="0.25">
      <c r="A22" s="125" t="s">
        <v>34</v>
      </c>
      <c r="B22" s="255">
        <v>40988</v>
      </c>
      <c r="C22" s="365">
        <v>42735</v>
      </c>
      <c r="D22" s="445">
        <v>41943</v>
      </c>
      <c r="E22" s="366">
        <v>70000</v>
      </c>
      <c r="F22" s="140"/>
      <c r="G22" s="256"/>
      <c r="H22" s="255"/>
      <c r="I22" s="258">
        <f>SUM(I23:I25)</f>
        <v>70000</v>
      </c>
      <c r="J22" s="144"/>
      <c r="K22" s="367"/>
      <c r="L22" s="258">
        <f>SUM(L23:L24)</f>
        <v>0</v>
      </c>
      <c r="M22" s="368">
        <f>SUM(M23:M25)</f>
        <v>0</v>
      </c>
      <c r="N22" s="258"/>
      <c r="O22" s="247">
        <f>E22-(I22+L22+M22)</f>
        <v>0</v>
      </c>
      <c r="Q22" s="245"/>
    </row>
    <row r="23" spans="1:17" s="32" customFormat="1" x14ac:dyDescent="0.25">
      <c r="A23" s="146" t="s">
        <v>34</v>
      </c>
      <c r="B23" s="135"/>
      <c r="C23" s="135"/>
      <c r="D23" s="135"/>
      <c r="E23" s="369">
        <f>F23/$E$22</f>
        <v>0.4</v>
      </c>
      <c r="F23" s="129">
        <v>28000</v>
      </c>
      <c r="G23" s="130">
        <v>1</v>
      </c>
      <c r="H23" s="126"/>
      <c r="I23" s="131">
        <v>28000</v>
      </c>
      <c r="J23" s="132">
        <v>41358</v>
      </c>
      <c r="K23" s="370"/>
      <c r="L23" s="133" t="str">
        <f t="shared" si="1"/>
        <v/>
      </c>
      <c r="M23" s="133">
        <f t="shared" si="0"/>
        <v>0</v>
      </c>
      <c r="N23" s="128"/>
      <c r="O23" s="249"/>
    </row>
    <row r="24" spans="1:17" x14ac:dyDescent="0.25">
      <c r="A24" s="146" t="s">
        <v>34</v>
      </c>
      <c r="B24" s="127"/>
      <c r="C24" s="127"/>
      <c r="D24" s="127"/>
      <c r="E24" s="369">
        <f>F24/$E$22+E23</f>
        <v>0.7</v>
      </c>
      <c r="F24" s="129">
        <v>21000</v>
      </c>
      <c r="G24" s="130">
        <v>2</v>
      </c>
      <c r="H24" s="127">
        <v>41884</v>
      </c>
      <c r="I24" s="131">
        <f>F24</f>
        <v>21000</v>
      </c>
      <c r="J24" s="132">
        <v>42188</v>
      </c>
      <c r="K24" s="370">
        <f>IF(J24="",$M$2-H24,J24-H24)</f>
        <v>304</v>
      </c>
      <c r="L24" s="133" t="str">
        <f t="shared" si="1"/>
        <v/>
      </c>
      <c r="M24" s="133">
        <f t="shared" si="0"/>
        <v>0</v>
      </c>
      <c r="N24" s="128" t="s">
        <v>100</v>
      </c>
    </row>
    <row r="25" spans="1:17" x14ac:dyDescent="0.25">
      <c r="A25" s="146" t="s">
        <v>34</v>
      </c>
      <c r="B25" s="127"/>
      <c r="C25" s="127"/>
      <c r="D25" s="127"/>
      <c r="E25" s="369">
        <f>F25/$E$22+E24</f>
        <v>1</v>
      </c>
      <c r="F25" s="129">
        <v>21000</v>
      </c>
      <c r="G25" s="130">
        <v>3</v>
      </c>
      <c r="H25" s="127">
        <v>42136</v>
      </c>
      <c r="I25" s="131">
        <f>F25</f>
        <v>21000</v>
      </c>
      <c r="J25" s="132">
        <v>42188</v>
      </c>
      <c r="K25" s="370"/>
      <c r="L25" s="133"/>
      <c r="M25" s="133">
        <f t="shared" si="0"/>
        <v>0</v>
      </c>
      <c r="N25" s="128"/>
    </row>
    <row r="26" spans="1:17" s="8" customFormat="1" x14ac:dyDescent="0.25">
      <c r="A26" s="152" t="s">
        <v>9</v>
      </c>
      <c r="B26" s="184">
        <v>40988</v>
      </c>
      <c r="C26" s="192">
        <v>42735</v>
      </c>
      <c r="D26" s="192"/>
      <c r="E26" s="161">
        <v>120000</v>
      </c>
      <c r="F26" s="156"/>
      <c r="G26" s="171"/>
      <c r="H26" s="158"/>
      <c r="I26" s="193">
        <f>SUM(I27:I29)</f>
        <v>84000</v>
      </c>
      <c r="J26" s="160"/>
      <c r="K26" s="158"/>
      <c r="L26" s="193">
        <f>SUM(L27:L29)</f>
        <v>0</v>
      </c>
      <c r="M26" s="193">
        <f>SUM(M27:M29)</f>
        <v>36000</v>
      </c>
      <c r="N26" s="193"/>
      <c r="O26" s="247">
        <f>E26-(I26+L26+M26)</f>
        <v>0</v>
      </c>
    </row>
    <row r="27" spans="1:17" s="26" customFormat="1" x14ac:dyDescent="0.25">
      <c r="A27" s="47" t="s">
        <v>9</v>
      </c>
      <c r="B27" s="15"/>
      <c r="C27" s="15"/>
      <c r="D27" s="15"/>
      <c r="E27" s="121">
        <f>F27/$E$26</f>
        <v>0.4</v>
      </c>
      <c r="F27" s="23">
        <v>48000</v>
      </c>
      <c r="G27" s="43">
        <v>1</v>
      </c>
      <c r="H27" s="15"/>
      <c r="I27" s="24">
        <v>48000</v>
      </c>
      <c r="J27" s="31">
        <v>41358</v>
      </c>
      <c r="K27" s="44"/>
      <c r="L27" s="83" t="str">
        <f t="shared" si="1"/>
        <v/>
      </c>
      <c r="M27" s="83">
        <f t="shared" si="0"/>
        <v>0</v>
      </c>
      <c r="N27" s="16"/>
      <c r="O27" s="248"/>
      <c r="Q27" s="27"/>
    </row>
    <row r="28" spans="1:17" s="26" customFormat="1" x14ac:dyDescent="0.25">
      <c r="A28" s="47" t="s">
        <v>9</v>
      </c>
      <c r="B28" s="15"/>
      <c r="C28" s="15"/>
      <c r="D28" s="15"/>
      <c r="E28" s="121">
        <f>F28/$E$26+E27</f>
        <v>0.7</v>
      </c>
      <c r="F28" s="123">
        <v>36000</v>
      </c>
      <c r="G28" s="43">
        <v>2</v>
      </c>
      <c r="H28" s="15">
        <v>42206</v>
      </c>
      <c r="I28" s="24">
        <v>36000</v>
      </c>
      <c r="J28" s="31">
        <v>42228</v>
      </c>
      <c r="K28" s="44"/>
      <c r="L28" s="83" t="str">
        <f t="shared" si="1"/>
        <v/>
      </c>
      <c r="M28" s="83">
        <f t="shared" si="0"/>
        <v>0</v>
      </c>
      <c r="N28" s="16"/>
      <c r="O28" s="248"/>
      <c r="Q28" s="27"/>
    </row>
    <row r="29" spans="1:17" s="26" customFormat="1" x14ac:dyDescent="0.25">
      <c r="A29" s="151" t="s">
        <v>9</v>
      </c>
      <c r="B29" s="37"/>
      <c r="C29" s="37"/>
      <c r="D29" s="37"/>
      <c r="E29" s="186">
        <f>F29/$E$26+E28</f>
        <v>1</v>
      </c>
      <c r="F29" s="36">
        <v>36000</v>
      </c>
      <c r="G29" s="45">
        <v>3</v>
      </c>
      <c r="H29" s="37"/>
      <c r="I29" s="38"/>
      <c r="J29" s="39"/>
      <c r="K29" s="44"/>
      <c r="L29" s="191" t="str">
        <f t="shared" si="1"/>
        <v/>
      </c>
      <c r="M29" s="83">
        <f t="shared" si="0"/>
        <v>36000</v>
      </c>
      <c r="N29" s="41"/>
      <c r="O29" s="248"/>
      <c r="Q29" s="27"/>
    </row>
    <row r="30" spans="1:17" s="120" customFormat="1" x14ac:dyDescent="0.25">
      <c r="A30" s="152" t="s">
        <v>37</v>
      </c>
      <c r="B30" s="192">
        <v>41534</v>
      </c>
      <c r="C30" s="192">
        <v>42916</v>
      </c>
      <c r="D30" s="192"/>
      <c r="E30" s="161">
        <v>415000</v>
      </c>
      <c r="F30" s="156"/>
      <c r="G30" s="171"/>
      <c r="H30" s="192"/>
      <c r="I30" s="193">
        <f>SUM(I31:I33)</f>
        <v>166000</v>
      </c>
      <c r="J30" s="160"/>
      <c r="K30" s="158"/>
      <c r="L30" s="193">
        <f>SUM(L31:L33)</f>
        <v>0</v>
      </c>
      <c r="M30" s="193">
        <f>SUM(M31:M33)</f>
        <v>249000</v>
      </c>
      <c r="N30" s="193"/>
      <c r="O30" s="247">
        <f>E30-(I30+L30+M30)</f>
        <v>0</v>
      </c>
      <c r="Q30" s="245"/>
    </row>
    <row r="31" spans="1:17" s="32" customFormat="1" x14ac:dyDescent="0.25">
      <c r="A31" s="47" t="s">
        <v>37</v>
      </c>
      <c r="B31" s="29"/>
      <c r="C31" s="29"/>
      <c r="D31" s="29"/>
      <c r="E31" s="121">
        <f>F31/$E$30</f>
        <v>0.4</v>
      </c>
      <c r="F31" s="123">
        <v>166000</v>
      </c>
      <c r="G31" s="43">
        <v>1</v>
      </c>
      <c r="H31" s="15">
        <v>42188</v>
      </c>
      <c r="I31" s="24">
        <v>166000</v>
      </c>
      <c r="J31" s="31">
        <v>42228</v>
      </c>
      <c r="K31" s="44">
        <f>IF(J31="",$M$2-H31,J31-H31)</f>
        <v>40</v>
      </c>
      <c r="L31" s="83" t="str">
        <f t="shared" si="1"/>
        <v/>
      </c>
      <c r="M31" s="83">
        <f t="shared" si="0"/>
        <v>0</v>
      </c>
      <c r="N31" s="16"/>
      <c r="O31" s="249"/>
    </row>
    <row r="32" spans="1:17" s="32" customFormat="1" x14ac:dyDescent="0.25">
      <c r="A32" s="47" t="s">
        <v>37</v>
      </c>
      <c r="B32" s="29"/>
      <c r="C32" s="29"/>
      <c r="D32" s="29"/>
      <c r="E32" s="121">
        <f>F32/$E$30+E31</f>
        <v>0.7</v>
      </c>
      <c r="F32" s="123">
        <f>0.3*E30</f>
        <v>124500</v>
      </c>
      <c r="G32" s="43">
        <v>2</v>
      </c>
      <c r="H32" s="501"/>
      <c r="I32" s="220"/>
      <c r="J32" s="25"/>
      <c r="K32" s="44"/>
      <c r="L32" s="83" t="str">
        <f t="shared" si="1"/>
        <v/>
      </c>
      <c r="M32" s="83">
        <f t="shared" si="0"/>
        <v>124500</v>
      </c>
      <c r="N32" s="16"/>
      <c r="O32" s="249"/>
    </row>
    <row r="33" spans="1:17" s="32" customFormat="1" x14ac:dyDescent="0.25">
      <c r="A33" s="151" t="s">
        <v>37</v>
      </c>
      <c r="B33" s="34"/>
      <c r="C33" s="29"/>
      <c r="D33" s="29"/>
      <c r="E33" s="121">
        <f>F33/$E$30+E32</f>
        <v>1</v>
      </c>
      <c r="F33" s="187">
        <f>0.3*E30</f>
        <v>124500</v>
      </c>
      <c r="G33" s="45">
        <v>3</v>
      </c>
      <c r="H33" s="37"/>
      <c r="I33" s="38"/>
      <c r="J33" s="39"/>
      <c r="K33" s="44"/>
      <c r="L33" s="83" t="str">
        <f t="shared" si="1"/>
        <v/>
      </c>
      <c r="M33" s="83">
        <f t="shared" si="0"/>
        <v>124500</v>
      </c>
      <c r="N33" s="41"/>
      <c r="O33" s="249"/>
    </row>
    <row r="34" spans="1:17" s="8" customFormat="1" x14ac:dyDescent="0.25">
      <c r="A34" s="162" t="s">
        <v>35</v>
      </c>
      <c r="B34" s="182">
        <v>41534</v>
      </c>
      <c r="C34" s="192">
        <v>42916</v>
      </c>
      <c r="D34" s="184"/>
      <c r="E34" s="156">
        <v>120000</v>
      </c>
      <c r="F34" s="165"/>
      <c r="G34" s="166"/>
      <c r="H34" s="167"/>
      <c r="I34" s="183">
        <f>SUM(I35:I37)</f>
        <v>48000</v>
      </c>
      <c r="J34" s="169"/>
      <c r="K34" s="160"/>
      <c r="L34" s="205">
        <f>SUM(L35:L37)</f>
        <v>0</v>
      </c>
      <c r="M34" s="205">
        <f>SUM(M35:M37)</f>
        <v>72000</v>
      </c>
      <c r="N34" s="183"/>
      <c r="O34" s="247">
        <f>E34-(I34+L34+M34)</f>
        <v>0</v>
      </c>
    </row>
    <row r="35" spans="1:17" s="26" customFormat="1" x14ac:dyDescent="0.25">
      <c r="A35" s="47" t="s">
        <v>35</v>
      </c>
      <c r="B35" s="15"/>
      <c r="C35" s="15"/>
      <c r="D35" s="15"/>
      <c r="E35" s="121">
        <f>F35/$E$34</f>
        <v>0.4</v>
      </c>
      <c r="F35" s="23">
        <v>48000</v>
      </c>
      <c r="G35" s="43">
        <v>1</v>
      </c>
      <c r="H35" s="15"/>
      <c r="I35" s="24">
        <v>48000</v>
      </c>
      <c r="J35" s="31">
        <v>41758</v>
      </c>
      <c r="K35" s="44"/>
      <c r="L35" s="83" t="str">
        <f t="shared" si="1"/>
        <v/>
      </c>
      <c r="M35" s="83">
        <f t="shared" si="0"/>
        <v>0</v>
      </c>
      <c r="N35" s="16"/>
      <c r="O35" s="248"/>
      <c r="Q35" s="27"/>
    </row>
    <row r="36" spans="1:17" s="26" customFormat="1" x14ac:dyDescent="0.25">
      <c r="A36" s="47" t="s">
        <v>35</v>
      </c>
      <c r="B36" s="15"/>
      <c r="C36" s="15"/>
      <c r="D36" s="15"/>
      <c r="E36" s="121">
        <f>F36/$E$34+E35</f>
        <v>0.7</v>
      </c>
      <c r="F36" s="23">
        <v>36000</v>
      </c>
      <c r="G36" s="43">
        <v>2</v>
      </c>
      <c r="H36" s="501"/>
      <c r="I36" s="24"/>
      <c r="J36" s="25"/>
      <c r="K36" s="44"/>
      <c r="L36" s="83" t="str">
        <f t="shared" si="1"/>
        <v/>
      </c>
      <c r="M36" s="83">
        <f t="shared" si="0"/>
        <v>36000</v>
      </c>
      <c r="N36" s="16"/>
      <c r="O36" s="248"/>
      <c r="Q36" s="27"/>
    </row>
    <row r="37" spans="1:17" s="26" customFormat="1" x14ac:dyDescent="0.25">
      <c r="A37" s="47" t="s">
        <v>35</v>
      </c>
      <c r="B37" s="15"/>
      <c r="C37" s="15"/>
      <c r="D37" s="15"/>
      <c r="E37" s="121">
        <f>F37/$E$34+E36</f>
        <v>1</v>
      </c>
      <c r="F37" s="23">
        <v>36000</v>
      </c>
      <c r="G37" s="43">
        <v>3</v>
      </c>
      <c r="H37" s="15"/>
      <c r="I37" s="24"/>
      <c r="J37" s="25"/>
      <c r="K37" s="44"/>
      <c r="L37" s="83" t="str">
        <f t="shared" si="1"/>
        <v/>
      </c>
      <c r="M37" s="83">
        <f t="shared" si="0"/>
        <v>36000</v>
      </c>
      <c r="N37" s="16"/>
      <c r="O37" s="248"/>
      <c r="Q37" s="27"/>
    </row>
    <row r="38" spans="1:17" s="8" customFormat="1" x14ac:dyDescent="0.25">
      <c r="A38" s="50"/>
      <c r="B38" s="50"/>
      <c r="C38" s="50"/>
      <c r="D38" s="50"/>
      <c r="E38" s="42">
        <f>E6+E10+E14+E18+E22+E26+E30+E34</f>
        <v>1210000</v>
      </c>
      <c r="F38" s="42"/>
      <c r="G38" s="51"/>
      <c r="H38" s="52"/>
      <c r="I38" s="42">
        <f>I6+I10+I14+I18+I22+I26+I30+I34</f>
        <v>629500</v>
      </c>
      <c r="J38" s="52"/>
      <c r="K38" s="52"/>
      <c r="L38" s="42">
        <f>L6+L10+L14+L18+L22+L26+L30+L34</f>
        <v>33000</v>
      </c>
      <c r="M38" s="42">
        <f>M6+M10+M14+M18+M22+M26+M30+M34</f>
        <v>547500</v>
      </c>
      <c r="N38" s="42"/>
      <c r="O38" s="250">
        <f>E38-(I38+L38+M38)</f>
        <v>0</v>
      </c>
      <c r="Q38" s="20"/>
    </row>
    <row r="39" spans="1:17" x14ac:dyDescent="0.25">
      <c r="A39" s="77"/>
      <c r="B39" s="78"/>
      <c r="C39" s="78"/>
      <c r="D39" s="78"/>
      <c r="E39" s="78"/>
      <c r="F39" s="78"/>
      <c r="G39" s="77"/>
      <c r="H39" s="78"/>
      <c r="I39" s="78"/>
      <c r="J39" s="78"/>
      <c r="K39" s="54"/>
      <c r="L39" s="516">
        <f>SUM(L38:M38)</f>
        <v>580500</v>
      </c>
      <c r="M39" s="517"/>
      <c r="N39" s="259"/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7">
    <mergeCell ref="L39:M39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S22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24" sqref="F24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customWidth="1" outlineLevel="1"/>
    <col min="3" max="3" width="11.375" style="1" bestFit="1" customWidth="1"/>
    <col min="4" max="4" width="11.375" style="1" customWidth="1"/>
    <col min="5" max="5" width="15.625" style="1" customWidth="1"/>
    <col min="6" max="6" width="11.375" style="1" customWidth="1"/>
    <col min="7" max="7" width="13.375" style="1" bestFit="1" customWidth="1"/>
    <col min="8" max="8" width="14.375" style="1" customWidth="1"/>
    <col min="9" max="9" width="4.125" style="6" bestFit="1" customWidth="1"/>
    <col min="10" max="10" width="10.375" style="1" bestFit="1" customWidth="1"/>
    <col min="11" max="11" width="12.375" style="1" customWidth="1"/>
    <col min="12" max="12" width="10.375" style="1" bestFit="1" customWidth="1"/>
    <col min="13" max="13" width="18.625" style="1" bestFit="1" customWidth="1"/>
    <col min="14" max="14" width="17.125" style="1" customWidth="1"/>
    <col min="15" max="15" width="14.375" style="1" bestFit="1" customWidth="1"/>
    <col min="16" max="16" width="23.625" style="1" customWidth="1"/>
    <col min="17" max="17" width="14.375" style="1" bestFit="1" customWidth="1"/>
    <col min="18" max="18" width="13.375" style="1" bestFit="1" customWidth="1"/>
    <col min="19" max="16384" width="11.375" style="1"/>
  </cols>
  <sheetData>
    <row r="1" spans="1:19" x14ac:dyDescent="0.25">
      <c r="Q1" s="90"/>
      <c r="R1" s="8"/>
    </row>
    <row r="2" spans="1:19" x14ac:dyDescent="0.25">
      <c r="A2" s="510" t="s">
        <v>70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9">
        <f ca="1">TODAY()</f>
        <v>42435</v>
      </c>
      <c r="P2" s="9"/>
      <c r="R2" s="63"/>
    </row>
    <row r="4" spans="1:19" s="2" customFormat="1" ht="24.45" x14ac:dyDescent="0.25">
      <c r="A4" s="511" t="s">
        <v>2</v>
      </c>
      <c r="B4" s="511" t="s">
        <v>0</v>
      </c>
      <c r="C4" s="513" t="s">
        <v>21</v>
      </c>
      <c r="D4" s="243" t="s">
        <v>137</v>
      </c>
      <c r="E4" s="243" t="s">
        <v>129</v>
      </c>
      <c r="F4" s="243" t="s">
        <v>135</v>
      </c>
      <c r="G4" s="513" t="s">
        <v>12</v>
      </c>
      <c r="H4" s="507" t="s">
        <v>4</v>
      </c>
      <c r="I4" s="508"/>
      <c r="J4" s="508"/>
      <c r="K4" s="508"/>
      <c r="L4" s="508"/>
      <c r="M4" s="509"/>
      <c r="N4" s="515" t="s">
        <v>13</v>
      </c>
      <c r="O4" s="513"/>
      <c r="P4" s="283" t="s">
        <v>150</v>
      </c>
      <c r="Q4" s="1"/>
      <c r="R4" s="65"/>
      <c r="S4" s="65"/>
    </row>
    <row r="5" spans="1:19" s="13" customFormat="1" x14ac:dyDescent="0.2">
      <c r="A5" s="512"/>
      <c r="B5" s="512"/>
      <c r="C5" s="514"/>
      <c r="D5" s="244"/>
      <c r="E5" s="244"/>
      <c r="F5" s="244"/>
      <c r="G5" s="51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</row>
    <row r="6" spans="1:19" s="8" customFormat="1" x14ac:dyDescent="0.25">
      <c r="A6" s="162" t="s">
        <v>68</v>
      </c>
      <c r="B6" s="163" t="s">
        <v>167</v>
      </c>
      <c r="C6" s="180">
        <v>41010</v>
      </c>
      <c r="D6" s="182"/>
      <c r="E6" s="182">
        <v>42004</v>
      </c>
      <c r="F6" s="182"/>
      <c r="G6" s="170">
        <v>241997.58</v>
      </c>
      <c r="H6" s="165"/>
      <c r="I6" s="251"/>
      <c r="J6" s="167"/>
      <c r="K6" s="168">
        <f>SUM(K7:K9)</f>
        <v>201959.72999999998</v>
      </c>
      <c r="L6" s="169"/>
      <c r="M6" s="167"/>
      <c r="N6" s="170">
        <f>SUM(N7:N9)</f>
        <v>0</v>
      </c>
      <c r="O6" s="170">
        <f>SUM(O7:O9)</f>
        <v>40066.929999999993</v>
      </c>
      <c r="P6" s="170"/>
      <c r="Q6" s="198">
        <f t="shared" ref="Q6:Q13" si="0">G6-(K6+N6+O6)</f>
        <v>-29.079999999987194</v>
      </c>
    </row>
    <row r="7" spans="1:19" s="26" customFormat="1" ht="24.45" x14ac:dyDescent="0.25">
      <c r="A7" s="408" t="s">
        <v>68</v>
      </c>
      <c r="B7" s="427"/>
      <c r="C7" s="413"/>
      <c r="D7" s="413"/>
      <c r="E7" s="409" t="s">
        <v>149</v>
      </c>
      <c r="F7" s="413"/>
      <c r="G7" s="410">
        <f>H7/$G$6</f>
        <v>0.51293058385129309</v>
      </c>
      <c r="H7" s="411">
        <v>124127.96</v>
      </c>
      <c r="I7" s="412">
        <v>1</v>
      </c>
      <c r="J7" s="415">
        <v>40800</v>
      </c>
      <c r="K7" s="411">
        <v>124157.04</v>
      </c>
      <c r="L7" s="415">
        <v>40842</v>
      </c>
      <c r="M7" s="455">
        <f>$L$7-J7</f>
        <v>42</v>
      </c>
      <c r="N7" s="417" t="str">
        <f t="shared" ref="N7:N9" si="1">IF(K7="en attente",H7,"")</f>
        <v/>
      </c>
      <c r="O7" s="417">
        <f>IF(J7="",H7-K7,0)</f>
        <v>0</v>
      </c>
      <c r="P7" s="498" t="s">
        <v>151</v>
      </c>
      <c r="Q7" s="198"/>
      <c r="R7" s="27"/>
    </row>
    <row r="8" spans="1:19" s="26" customFormat="1" x14ac:dyDescent="0.25">
      <c r="A8" s="408" t="s">
        <v>68</v>
      </c>
      <c r="B8" s="427"/>
      <c r="C8" s="413"/>
      <c r="D8" s="413"/>
      <c r="E8" s="413"/>
      <c r="F8" s="413"/>
      <c r="G8" s="410">
        <f>H8/$G$6+G7</f>
        <v>0.51293058385129309</v>
      </c>
      <c r="H8" s="411"/>
      <c r="I8" s="412">
        <v>2</v>
      </c>
      <c r="J8" s="413">
        <v>41171</v>
      </c>
      <c r="K8" s="411"/>
      <c r="L8" s="415"/>
      <c r="M8" s="427"/>
      <c r="N8" s="417" t="str">
        <f t="shared" si="1"/>
        <v/>
      </c>
      <c r="O8" s="417">
        <f t="shared" ref="O8:O13" si="2">IF(J8="",H8-K8,0)</f>
        <v>0</v>
      </c>
      <c r="P8" s="417" t="s">
        <v>168</v>
      </c>
      <c r="Q8" s="198"/>
      <c r="R8" s="27"/>
    </row>
    <row r="9" spans="1:19" s="26" customFormat="1" x14ac:dyDescent="0.25">
      <c r="A9" s="408" t="s">
        <v>68</v>
      </c>
      <c r="B9" s="427"/>
      <c r="C9" s="413"/>
      <c r="D9" s="413"/>
      <c r="E9" s="413"/>
      <c r="F9" s="413"/>
      <c r="G9" s="410">
        <f>H9/$G$6+G8</f>
        <v>1</v>
      </c>
      <c r="H9" s="411">
        <v>117869.62</v>
      </c>
      <c r="I9" s="412"/>
      <c r="J9" s="413"/>
      <c r="K9" s="414">
        <v>77802.69</v>
      </c>
      <c r="L9" s="415">
        <v>42324</v>
      </c>
      <c r="M9" s="427"/>
      <c r="N9" s="417" t="str">
        <f t="shared" si="1"/>
        <v/>
      </c>
      <c r="O9" s="417">
        <f t="shared" si="2"/>
        <v>40066.929999999993</v>
      </c>
      <c r="P9" s="417" t="s">
        <v>169</v>
      </c>
      <c r="Q9" s="198"/>
      <c r="R9" s="27"/>
    </row>
    <row r="10" spans="1:19" s="120" customFormat="1" x14ac:dyDescent="0.25">
      <c r="A10" s="152" t="s">
        <v>69</v>
      </c>
      <c r="B10" s="153" t="s">
        <v>140</v>
      </c>
      <c r="C10" s="192">
        <v>40892</v>
      </c>
      <c r="D10" s="192">
        <v>40823</v>
      </c>
      <c r="E10" s="192">
        <v>42277</v>
      </c>
      <c r="F10" s="192">
        <v>41890</v>
      </c>
      <c r="G10" s="161">
        <v>1470807.68</v>
      </c>
      <c r="H10" s="156"/>
      <c r="I10" s="171"/>
      <c r="J10" s="192"/>
      <c r="K10" s="159">
        <f>SUM(K11:K13)</f>
        <v>1290562.67</v>
      </c>
      <c r="L10" s="160"/>
      <c r="M10" s="158"/>
      <c r="N10" s="193">
        <f>SUM(N11:N13)</f>
        <v>0</v>
      </c>
      <c r="O10" s="193">
        <f>SUM(O11:O13)</f>
        <v>0</v>
      </c>
      <c r="P10" s="193"/>
      <c r="Q10" s="198">
        <f t="shared" si="0"/>
        <v>180245.01</v>
      </c>
      <c r="R10" s="245"/>
    </row>
    <row r="11" spans="1:19" s="265" customFormat="1" ht="36.700000000000003" x14ac:dyDescent="0.25">
      <c r="A11" s="408" t="s">
        <v>69</v>
      </c>
      <c r="B11" s="446"/>
      <c r="C11" s="447"/>
      <c r="D11" s="448" t="s">
        <v>139</v>
      </c>
      <c r="E11" s="449">
        <v>42338</v>
      </c>
      <c r="F11" s="449"/>
      <c r="G11" s="450">
        <f>H11/$G$10</f>
        <v>0.55022638989755612</v>
      </c>
      <c r="H11" s="451">
        <v>809277.2</v>
      </c>
      <c r="I11" s="452">
        <v>1</v>
      </c>
      <c r="J11" s="449">
        <v>41947</v>
      </c>
      <c r="K11" s="453"/>
      <c r="L11" s="454"/>
      <c r="M11" s="455">
        <f ca="1">$O$2-J11</f>
        <v>488</v>
      </c>
      <c r="N11" s="456" t="str">
        <f>IF(K11="en attente",H11,"")</f>
        <v/>
      </c>
      <c r="O11" s="456">
        <f>IF(J11="",H11-K11,0)</f>
        <v>0</v>
      </c>
      <c r="P11" s="456" t="s">
        <v>236</v>
      </c>
      <c r="Q11" s="198"/>
    </row>
    <row r="12" spans="1:19" ht="12.1" customHeight="1" x14ac:dyDescent="0.25">
      <c r="A12" s="408" t="s">
        <v>69</v>
      </c>
      <c r="B12" s="431"/>
      <c r="C12" s="413"/>
      <c r="D12" s="413"/>
      <c r="E12" s="413"/>
      <c r="F12" s="413"/>
      <c r="G12" s="410">
        <f>H12/$G$10+G11</f>
        <v>0.88995725804205761</v>
      </c>
      <c r="H12" s="411">
        <v>499678.77</v>
      </c>
      <c r="I12" s="412">
        <v>2</v>
      </c>
      <c r="J12" s="413">
        <v>42334</v>
      </c>
      <c r="K12" s="414">
        <v>1290562.67</v>
      </c>
      <c r="L12" s="415">
        <v>42381</v>
      </c>
      <c r="M12" s="427"/>
      <c r="N12" s="417" t="str">
        <f>IF(K12="en attente",H12,"")</f>
        <v/>
      </c>
      <c r="O12" s="417">
        <f>IF(J12="",H12-K12,0)</f>
        <v>0</v>
      </c>
      <c r="P12" s="417" t="s">
        <v>237</v>
      </c>
      <c r="Q12" s="198"/>
    </row>
    <row r="13" spans="1:19" x14ac:dyDescent="0.25">
      <c r="A13" s="408"/>
      <c r="B13" s="427"/>
      <c r="C13" s="413"/>
      <c r="D13" s="413"/>
      <c r="E13" s="413"/>
      <c r="F13" s="413"/>
      <c r="G13" s="420"/>
      <c r="H13" s="411"/>
      <c r="I13" s="412"/>
      <c r="J13" s="413"/>
      <c r="K13" s="414"/>
      <c r="L13" s="415"/>
      <c r="M13" s="427"/>
      <c r="N13" s="417"/>
      <c r="O13" s="417">
        <f t="shared" si="2"/>
        <v>0</v>
      </c>
      <c r="P13" s="417"/>
      <c r="Q13" s="198">
        <f t="shared" si="0"/>
        <v>0</v>
      </c>
      <c r="R13" s="27"/>
    </row>
    <row r="14" spans="1:19" s="8" customFormat="1" x14ac:dyDescent="0.25">
      <c r="A14" s="50"/>
      <c r="B14" s="50"/>
      <c r="C14" s="50"/>
      <c r="D14" s="50"/>
      <c r="E14" s="50"/>
      <c r="F14" s="50"/>
      <c r="G14" s="42">
        <f>G6+G10</f>
        <v>1712805.26</v>
      </c>
      <c r="H14" s="42"/>
      <c r="I14" s="51"/>
      <c r="J14" s="52"/>
      <c r="K14" s="42">
        <f>K6+K10</f>
        <v>1492522.4</v>
      </c>
      <c r="L14" s="52"/>
      <c r="M14" s="52"/>
      <c r="N14" s="42">
        <f>N6+N10</f>
        <v>0</v>
      </c>
      <c r="O14" s="42">
        <f>O6+O10</f>
        <v>40066.929999999993</v>
      </c>
      <c r="P14" s="42"/>
      <c r="Q14" s="198">
        <f>G14-(K14+N14+O14)</f>
        <v>180215.93000000017</v>
      </c>
      <c r="R14" s="20"/>
    </row>
    <row r="15" spans="1:19" x14ac:dyDescent="0.25">
      <c r="A15" s="77"/>
      <c r="B15" s="78"/>
      <c r="C15" s="78"/>
      <c r="D15" s="78"/>
      <c r="E15" s="78"/>
      <c r="F15" s="78"/>
      <c r="G15" s="78"/>
      <c r="H15" s="78"/>
      <c r="I15" s="77"/>
      <c r="J15" s="78"/>
      <c r="K15" s="78"/>
      <c r="L15" s="78"/>
      <c r="M15" s="54"/>
      <c r="N15" s="516">
        <f>SUM(N14:O14)</f>
        <v>40066.929999999993</v>
      </c>
      <c r="O15" s="517"/>
    </row>
    <row r="17" spans="8:11" x14ac:dyDescent="0.25">
      <c r="H17" s="98"/>
    </row>
    <row r="18" spans="8:11" x14ac:dyDescent="0.25">
      <c r="H18" s="98"/>
    </row>
    <row r="19" spans="8:11" x14ac:dyDescent="0.25">
      <c r="K19" s="98"/>
    </row>
    <row r="20" spans="8:11" x14ac:dyDescent="0.25">
      <c r="H20" s="98"/>
    </row>
    <row r="21" spans="8:11" x14ac:dyDescent="0.25">
      <c r="H21" s="98"/>
    </row>
    <row r="22" spans="8:11" x14ac:dyDescent="0.25">
      <c r="H22" s="98"/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2:R36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41" sqref="B41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customWidth="1" outlineLevel="1"/>
    <col min="3" max="3" width="15.25" style="1" customWidth="1"/>
    <col min="4" max="4" width="13.375" style="1" customWidth="1"/>
    <col min="5" max="6" width="11.375" style="1" customWidth="1"/>
    <col min="7" max="7" width="13.375" style="1" bestFit="1" customWidth="1"/>
    <col min="8" max="8" width="14.375" style="1" customWidth="1"/>
    <col min="9" max="9" width="4.125" style="6" bestFit="1" customWidth="1"/>
    <col min="10" max="10" width="10.375" style="1" bestFit="1" customWidth="1"/>
    <col min="11" max="11" width="12.375" style="1" customWidth="1"/>
    <col min="12" max="12" width="10.375" style="1" bestFit="1" customWidth="1"/>
    <col min="13" max="13" width="18.625" style="1" bestFit="1" customWidth="1"/>
    <col min="14" max="14" width="14.375" style="1" customWidth="1"/>
    <col min="15" max="16" width="14.375" style="1" bestFit="1" customWidth="1"/>
    <col min="17" max="17" width="18" style="195" customWidth="1"/>
    <col min="18" max="16384" width="11.375" style="1"/>
  </cols>
  <sheetData>
    <row r="2" spans="1:18" x14ac:dyDescent="0.25">
      <c r="A2" s="510" t="s">
        <v>75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9">
        <f ca="1">TODAY()</f>
        <v>42435</v>
      </c>
      <c r="P2" s="9"/>
    </row>
    <row r="4" spans="1:18" s="2" customFormat="1" ht="24.45" x14ac:dyDescent="0.2">
      <c r="A4" s="511" t="s">
        <v>2</v>
      </c>
      <c r="B4" s="511" t="s">
        <v>0</v>
      </c>
      <c r="C4" s="513" t="s">
        <v>21</v>
      </c>
      <c r="D4" s="243" t="s">
        <v>137</v>
      </c>
      <c r="E4" s="243" t="s">
        <v>129</v>
      </c>
      <c r="F4" s="243" t="s">
        <v>135</v>
      </c>
      <c r="G4" s="513" t="s">
        <v>12</v>
      </c>
      <c r="H4" s="507" t="s">
        <v>4</v>
      </c>
      <c r="I4" s="508"/>
      <c r="J4" s="508"/>
      <c r="K4" s="508"/>
      <c r="L4" s="508"/>
      <c r="M4" s="509"/>
      <c r="N4" s="515" t="s">
        <v>13</v>
      </c>
      <c r="O4" s="513"/>
      <c r="P4" s="3" t="s">
        <v>134</v>
      </c>
      <c r="Q4" s="246"/>
      <c r="R4" s="65"/>
    </row>
    <row r="5" spans="1:18" s="13" customFormat="1" x14ac:dyDescent="0.25">
      <c r="A5" s="512"/>
      <c r="B5" s="512"/>
      <c r="C5" s="514"/>
      <c r="D5" s="244"/>
      <c r="E5" s="244"/>
      <c r="F5" s="244"/>
      <c r="G5" s="51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95"/>
    </row>
    <row r="6" spans="1:18" x14ac:dyDescent="0.25">
      <c r="A6" s="152" t="s">
        <v>72</v>
      </c>
      <c r="B6" s="153"/>
      <c r="C6" s="252">
        <v>41547</v>
      </c>
      <c r="D6" s="154"/>
      <c r="E6" s="154"/>
      <c r="F6" s="154"/>
      <c r="G6" s="155">
        <v>44565.760000000002</v>
      </c>
      <c r="H6" s="156"/>
      <c r="I6" s="157"/>
      <c r="J6" s="158"/>
      <c r="K6" s="159">
        <f>SUM(K7)</f>
        <v>0</v>
      </c>
      <c r="L6" s="184"/>
      <c r="M6" s="158"/>
      <c r="N6" s="161">
        <f>SUM(N7)</f>
        <v>0</v>
      </c>
      <c r="O6" s="161">
        <f>SUM(O7)</f>
        <v>44565.760000000002</v>
      </c>
      <c r="P6" s="193"/>
      <c r="Q6" s="247">
        <f>G6-(K6+N6+O6)</f>
        <v>0</v>
      </c>
    </row>
    <row r="7" spans="1:18" s="26" customFormat="1" x14ac:dyDescent="0.25">
      <c r="A7" s="151" t="s">
        <v>72</v>
      </c>
      <c r="B7" s="40"/>
      <c r="C7" s="37"/>
      <c r="D7" s="37"/>
      <c r="E7" s="37"/>
      <c r="F7" s="37"/>
      <c r="G7" s="41"/>
      <c r="H7" s="253">
        <v>44565.760000000002</v>
      </c>
      <c r="I7" s="45">
        <v>1</v>
      </c>
      <c r="J7" s="189"/>
      <c r="K7" s="36"/>
      <c r="L7" s="189"/>
      <c r="M7" s="40"/>
      <c r="N7" s="191" t="str">
        <f>IF(K7="en attente",H7,"")</f>
        <v/>
      </c>
      <c r="O7" s="191">
        <f>IF(J7="",H7-K7,0)</f>
        <v>44565.760000000002</v>
      </c>
      <c r="P7" s="16"/>
      <c r="Q7" s="195"/>
    </row>
    <row r="8" spans="1:18" s="120" customFormat="1" x14ac:dyDescent="0.25">
      <c r="A8" s="125" t="s">
        <v>44</v>
      </c>
      <c r="B8" s="142"/>
      <c r="C8" s="255">
        <v>41091</v>
      </c>
      <c r="D8" s="255"/>
      <c r="E8" s="255"/>
      <c r="F8" s="255"/>
      <c r="G8" s="145">
        <v>20808.98</v>
      </c>
      <c r="H8" s="140"/>
      <c r="I8" s="256"/>
      <c r="J8" s="255"/>
      <c r="K8" s="143">
        <f>SUM(K9)</f>
        <v>20808.98</v>
      </c>
      <c r="L8" s="257"/>
      <c r="M8" s="142"/>
      <c r="N8" s="258">
        <f>SUM(N9)</f>
        <v>0</v>
      </c>
      <c r="O8" s="258">
        <f>SUM(O9)</f>
        <v>0</v>
      </c>
      <c r="P8" s="260"/>
      <c r="Q8" s="246"/>
    </row>
    <row r="9" spans="1:18" s="26" customFormat="1" x14ac:dyDescent="0.25">
      <c r="A9" s="146" t="s">
        <v>44</v>
      </c>
      <c r="B9" s="134"/>
      <c r="C9" s="135"/>
      <c r="D9" s="135"/>
      <c r="E9" s="135"/>
      <c r="F9" s="135"/>
      <c r="G9" s="136"/>
      <c r="H9" s="129">
        <v>20808.98</v>
      </c>
      <c r="I9" s="130">
        <v>1</v>
      </c>
      <c r="J9" s="127">
        <v>41668</v>
      </c>
      <c r="K9" s="131">
        <v>20808.98</v>
      </c>
      <c r="L9" s="132">
        <v>42158</v>
      </c>
      <c r="M9" s="126">
        <f>$L$9-J9</f>
        <v>490</v>
      </c>
      <c r="N9" s="133" t="str">
        <f>IF(K9="en attente",H9,"")</f>
        <v/>
      </c>
      <c r="O9" s="133">
        <f t="shared" ref="O9:O20" si="0">IF(J9="",H9-K9,0)</f>
        <v>0</v>
      </c>
      <c r="P9" s="261"/>
      <c r="Q9" s="195"/>
    </row>
    <row r="10" spans="1:18" s="8" customFormat="1" x14ac:dyDescent="0.25">
      <c r="A10" s="152" t="s">
        <v>58</v>
      </c>
      <c r="B10" s="153" t="s">
        <v>136</v>
      </c>
      <c r="C10" s="192">
        <v>41149</v>
      </c>
      <c r="D10" s="192">
        <v>41044</v>
      </c>
      <c r="E10" s="192">
        <f>DATE(YEAR(C10)+2,MONTH(C10),DAY(C10))</f>
        <v>41879</v>
      </c>
      <c r="F10" s="192">
        <v>41983</v>
      </c>
      <c r="G10" s="161">
        <v>210000</v>
      </c>
      <c r="H10" s="156"/>
      <c r="I10" s="171"/>
      <c r="J10" s="192"/>
      <c r="K10" s="159">
        <f>SUM(K11:K12)</f>
        <v>105000</v>
      </c>
      <c r="L10" s="184"/>
      <c r="M10" s="158"/>
      <c r="N10" s="193">
        <f>SUM(N11:N12)</f>
        <v>105000</v>
      </c>
      <c r="O10" s="193">
        <f>SUM(O11:O12)</f>
        <v>0</v>
      </c>
      <c r="P10" s="193"/>
      <c r="Q10" s="247">
        <f>G10-(K10+N10+O10)</f>
        <v>0</v>
      </c>
    </row>
    <row r="11" spans="1:18" x14ac:dyDescent="0.25">
      <c r="A11" s="47"/>
      <c r="B11" s="76"/>
      <c r="C11" s="15"/>
      <c r="D11" s="15"/>
      <c r="E11" s="15"/>
      <c r="F11" s="15"/>
      <c r="G11" s="121">
        <f>H11/$G$10</f>
        <v>0.5</v>
      </c>
      <c r="H11" s="23">
        <v>105000</v>
      </c>
      <c r="I11" s="43">
        <v>1</v>
      </c>
      <c r="J11" s="15">
        <v>41485</v>
      </c>
      <c r="K11" s="24">
        <v>105000</v>
      </c>
      <c r="L11" s="31">
        <v>41522</v>
      </c>
      <c r="M11" s="4">
        <f>$L$11-J11</f>
        <v>37</v>
      </c>
      <c r="N11" s="83" t="str">
        <f>IF(K11="en attente",H11,"")</f>
        <v/>
      </c>
      <c r="O11" s="83">
        <f t="shared" si="0"/>
        <v>0</v>
      </c>
      <c r="P11" s="16"/>
      <c r="Q11" s="248"/>
    </row>
    <row r="12" spans="1:18" x14ac:dyDescent="0.25">
      <c r="A12" s="47"/>
      <c r="B12" s="76"/>
      <c r="C12" s="15"/>
      <c r="D12" s="15"/>
      <c r="E12" s="15"/>
      <c r="F12" s="15"/>
      <c r="G12" s="121">
        <f>H12/$G$10+G11</f>
        <v>1</v>
      </c>
      <c r="H12" s="23">
        <v>105000</v>
      </c>
      <c r="I12" s="43">
        <v>2</v>
      </c>
      <c r="J12" s="15">
        <v>42411</v>
      </c>
      <c r="K12" s="137" t="s">
        <v>113</v>
      </c>
      <c r="L12" s="31"/>
      <c r="M12" s="4"/>
      <c r="N12" s="83">
        <f>IF(K12="en attente",H12,"")</f>
        <v>105000</v>
      </c>
      <c r="O12" s="83">
        <f t="shared" si="0"/>
        <v>0</v>
      </c>
      <c r="P12" s="16"/>
    </row>
    <row r="13" spans="1:18" s="8" customFormat="1" x14ac:dyDescent="0.25">
      <c r="A13" s="152" t="s">
        <v>10</v>
      </c>
      <c r="B13" s="153" t="s">
        <v>138</v>
      </c>
      <c r="C13" s="192">
        <v>41334</v>
      </c>
      <c r="D13" s="192">
        <v>41025</v>
      </c>
      <c r="E13" s="192">
        <f>DATE(YEAR(C13)+2,MONTH(C13),DAY(C13))</f>
        <v>42064</v>
      </c>
      <c r="F13" s="192">
        <v>42275</v>
      </c>
      <c r="G13" s="161">
        <v>200000</v>
      </c>
      <c r="H13" s="156"/>
      <c r="I13" s="171"/>
      <c r="J13" s="192"/>
      <c r="K13" s="159">
        <f>SUM(K14:K15)</f>
        <v>100000</v>
      </c>
      <c r="L13" s="184"/>
      <c r="M13" s="158"/>
      <c r="N13" s="193">
        <f>SUM(N14:N15)</f>
        <v>0</v>
      </c>
      <c r="O13" s="193">
        <f>SUM(O14:O15)</f>
        <v>100000</v>
      </c>
      <c r="P13" s="193"/>
      <c r="Q13" s="247">
        <f>G13-(K13+N13+O13)</f>
        <v>0</v>
      </c>
    </row>
    <row r="14" spans="1:18" x14ac:dyDescent="0.25">
      <c r="A14" s="47"/>
      <c r="B14" s="76"/>
      <c r="C14" s="15"/>
      <c r="D14" s="15"/>
      <c r="E14" s="15"/>
      <c r="F14" s="15"/>
      <c r="G14" s="121">
        <f>H14/$G$13</f>
        <v>0.5</v>
      </c>
      <c r="H14" s="23">
        <v>100000</v>
      </c>
      <c r="I14" s="43">
        <v>1</v>
      </c>
      <c r="J14" s="15">
        <v>41485</v>
      </c>
      <c r="K14" s="24">
        <v>100000</v>
      </c>
      <c r="L14" s="31">
        <v>41522</v>
      </c>
      <c r="M14" s="4">
        <f>$L$14-J14</f>
        <v>37</v>
      </c>
      <c r="N14" s="83" t="str">
        <f>IF(K14="en attente",H14,"")</f>
        <v/>
      </c>
      <c r="O14" s="83">
        <f t="shared" si="0"/>
        <v>0</v>
      </c>
      <c r="P14" s="16"/>
      <c r="Q14" s="247"/>
    </row>
    <row r="15" spans="1:18" x14ac:dyDescent="0.25">
      <c r="A15" s="151"/>
      <c r="B15" s="254"/>
      <c r="C15" s="37"/>
      <c r="D15" s="37"/>
      <c r="E15" s="37"/>
      <c r="F15" s="37"/>
      <c r="G15" s="121">
        <f>H15/$G$13+G14</f>
        <v>1</v>
      </c>
      <c r="H15" s="194">
        <v>100000</v>
      </c>
      <c r="I15" s="45">
        <v>2</v>
      </c>
      <c r="J15" s="37"/>
      <c r="K15" s="38"/>
      <c r="L15" s="189"/>
      <c r="M15" s="40"/>
      <c r="N15" s="191" t="str">
        <f>IF(K15="en attente",H15,"")</f>
        <v/>
      </c>
      <c r="O15" s="83">
        <f t="shared" si="0"/>
        <v>100000</v>
      </c>
      <c r="P15" s="41"/>
      <c r="Q15" s="247"/>
    </row>
    <row r="16" spans="1:18" s="8" customFormat="1" x14ac:dyDescent="0.25">
      <c r="A16" s="457" t="s">
        <v>74</v>
      </c>
      <c r="B16" s="458" t="s">
        <v>141</v>
      </c>
      <c r="C16" s="458">
        <v>40892</v>
      </c>
      <c r="D16" s="458">
        <v>40613</v>
      </c>
      <c r="E16" s="458">
        <v>42277</v>
      </c>
      <c r="F16" s="458">
        <v>41890</v>
      </c>
      <c r="G16" s="459">
        <v>1470807.68</v>
      </c>
      <c r="H16" s="460"/>
      <c r="I16" s="461"/>
      <c r="J16" s="458"/>
      <c r="K16" s="462">
        <f>SUM(K17:K20)</f>
        <v>1290562.67</v>
      </c>
      <c r="L16" s="463"/>
      <c r="M16" s="464"/>
      <c r="N16" s="465">
        <f>SUM(N17:N20)</f>
        <v>0</v>
      </c>
      <c r="O16" s="465">
        <f>SUM(O17:O20)</f>
        <v>0</v>
      </c>
      <c r="P16" s="465"/>
      <c r="Q16" s="266">
        <f t="shared" ref="Q16" si="1">G16-(K16+N16+O16)</f>
        <v>180245.01</v>
      </c>
    </row>
    <row r="17" spans="1:17" s="264" customFormat="1" ht="36" customHeight="1" x14ac:dyDescent="0.2">
      <c r="A17" s="466"/>
      <c r="B17" s="467"/>
      <c r="C17" s="468"/>
      <c r="D17" s="469" t="s">
        <v>139</v>
      </c>
      <c r="E17" s="468">
        <v>42338</v>
      </c>
      <c r="F17" s="468"/>
      <c r="G17" s="470">
        <f>H17/$G$16</f>
        <v>0.50000004079391269</v>
      </c>
      <c r="H17" s="471">
        <v>735403.9</v>
      </c>
      <c r="I17" s="472">
        <v>1</v>
      </c>
      <c r="J17" s="468"/>
      <c r="K17" s="473">
        <v>735403.9</v>
      </c>
      <c r="L17" s="474">
        <v>40907</v>
      </c>
      <c r="M17" s="475">
        <f>$L$14-J17</f>
        <v>41522</v>
      </c>
      <c r="N17" s="476" t="str">
        <f>IF(K17="en attente",H17,"")</f>
        <v/>
      </c>
      <c r="O17" s="477">
        <f t="shared" si="0"/>
        <v>0</v>
      </c>
      <c r="P17" s="478"/>
      <c r="Q17" s="263"/>
    </row>
    <row r="18" spans="1:17" x14ac:dyDescent="0.25">
      <c r="A18" s="466"/>
      <c r="B18" s="467"/>
      <c r="C18" s="479"/>
      <c r="D18" s="479"/>
      <c r="E18" s="479"/>
      <c r="F18" s="479"/>
      <c r="G18" s="480">
        <f>H18/$G$16+G17</f>
        <v>0.55022700180624573</v>
      </c>
      <c r="H18" s="481">
        <v>73874.2</v>
      </c>
      <c r="I18" s="482">
        <v>2</v>
      </c>
      <c r="J18" s="479">
        <v>41977</v>
      </c>
      <c r="K18" s="483"/>
      <c r="L18" s="484"/>
      <c r="M18" s="485">
        <f ca="1">$O$2-J18</f>
        <v>458</v>
      </c>
      <c r="N18" s="486" t="str">
        <f>IF(K18="en attente",H18,"")</f>
        <v/>
      </c>
      <c r="O18" s="486">
        <f t="shared" si="0"/>
        <v>0</v>
      </c>
      <c r="P18" s="487" t="s">
        <v>238</v>
      </c>
      <c r="Q18" s="248"/>
    </row>
    <row r="19" spans="1:17" x14ac:dyDescent="0.25">
      <c r="A19" s="466"/>
      <c r="B19" s="467"/>
      <c r="C19" s="479"/>
      <c r="D19" s="479"/>
      <c r="E19" s="479"/>
      <c r="F19" s="479"/>
      <c r="G19" s="480">
        <f>H19/$G$16+G18</f>
        <v>0.8899578699507471</v>
      </c>
      <c r="H19" s="481">
        <v>499678.77</v>
      </c>
      <c r="I19" s="482">
        <v>3</v>
      </c>
      <c r="J19" s="479">
        <v>42334</v>
      </c>
      <c r="K19" s="483">
        <v>555158.77</v>
      </c>
      <c r="L19" s="484">
        <v>42355</v>
      </c>
      <c r="M19" s="485"/>
      <c r="N19" s="486" t="str">
        <f>IF(K19="en attente",H19,"")</f>
        <v/>
      </c>
      <c r="O19" s="486">
        <f t="shared" si="0"/>
        <v>0</v>
      </c>
      <c r="P19" s="487" t="s">
        <v>239</v>
      </c>
      <c r="Q19" s="248"/>
    </row>
    <row r="20" spans="1:17" x14ac:dyDescent="0.25">
      <c r="A20" s="488"/>
      <c r="B20" s="489"/>
      <c r="C20" s="490"/>
      <c r="D20" s="490"/>
      <c r="E20" s="490"/>
      <c r="F20" s="490"/>
      <c r="G20" s="480"/>
      <c r="H20" s="491"/>
      <c r="I20" s="492"/>
      <c r="J20" s="490"/>
      <c r="K20" s="493"/>
      <c r="L20" s="494"/>
      <c r="M20" s="495"/>
      <c r="N20" s="496" t="str">
        <f>IF(K20="en attente",H20,"")</f>
        <v/>
      </c>
      <c r="O20" s="486">
        <f t="shared" si="0"/>
        <v>0</v>
      </c>
      <c r="P20" s="497"/>
      <c r="Q20" s="248"/>
    </row>
    <row r="21" spans="1:17" s="8" customFormat="1" x14ac:dyDescent="0.25">
      <c r="A21" s="50"/>
      <c r="B21" s="50"/>
      <c r="C21" s="50"/>
      <c r="D21" s="50"/>
      <c r="E21" s="50"/>
      <c r="F21" s="50"/>
      <c r="G21" s="42">
        <f>G6+G8+G10+G13+G16</f>
        <v>1946182.42</v>
      </c>
      <c r="H21" s="42"/>
      <c r="I21" s="51"/>
      <c r="J21" s="52"/>
      <c r="K21" s="42">
        <f>K6+K8+K10+K13+K16</f>
        <v>1516371.65</v>
      </c>
      <c r="L21" s="52"/>
      <c r="M21" s="52"/>
      <c r="N21" s="42">
        <f t="shared" ref="N21:O21" si="2">N6+N8+N10+N13+N16</f>
        <v>105000</v>
      </c>
      <c r="O21" s="42">
        <f t="shared" si="2"/>
        <v>144565.76000000001</v>
      </c>
      <c r="P21" s="1"/>
      <c r="Q21" s="201">
        <f>G21-(K21+N21+O21)</f>
        <v>180245.01</v>
      </c>
    </row>
    <row r="22" spans="1:17" x14ac:dyDescent="0.25">
      <c r="A22" s="77"/>
      <c r="B22" s="78"/>
      <c r="C22" s="78"/>
      <c r="D22" s="78"/>
      <c r="E22" s="78"/>
      <c r="F22" s="78"/>
      <c r="G22" s="78"/>
      <c r="H22" s="78"/>
      <c r="I22" s="77"/>
      <c r="J22" s="78"/>
      <c r="K22" s="78"/>
      <c r="L22" s="78"/>
      <c r="M22" s="54"/>
      <c r="N22" s="516">
        <f>SUM(N21:O21)</f>
        <v>249565.76</v>
      </c>
      <c r="O22" s="517"/>
    </row>
    <row r="26" spans="1:17" x14ac:dyDescent="0.25">
      <c r="O26" s="98">
        <f>573552.97-K19</f>
        <v>18394.199999999953</v>
      </c>
    </row>
    <row r="27" spans="1:17" x14ac:dyDescent="0.25">
      <c r="H27" s="98"/>
    </row>
    <row r="36" spans="8:8" x14ac:dyDescent="0.25">
      <c r="H36" s="1">
        <f>1308955.97-1290562.67</f>
        <v>18393.300000000047</v>
      </c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22:O22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O11"/>
  <sheetViews>
    <sheetView workbookViewId="0">
      <selection activeCell="A4" sqref="A4:M5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hidden="1" customWidth="1" outlineLevel="1"/>
    <col min="3" max="3" width="11.375" style="1" bestFit="1" customWidth="1" collapsed="1"/>
    <col min="4" max="4" width="13.375" style="1" bestFit="1" customWidth="1"/>
    <col min="5" max="5" width="14.375" style="1" customWidth="1"/>
    <col min="6" max="6" width="4.125" style="6" bestFit="1" customWidth="1"/>
    <col min="7" max="7" width="10.375" style="1" bestFit="1" customWidth="1"/>
    <col min="8" max="8" width="12.375" style="1" customWidth="1"/>
    <col min="9" max="9" width="10.375" style="1" bestFit="1" customWidth="1"/>
    <col min="10" max="10" width="18.625" style="1" bestFit="1" customWidth="1"/>
    <col min="11" max="11" width="14.375" style="1" customWidth="1"/>
    <col min="12" max="13" width="14.375" style="1" bestFit="1" customWidth="1"/>
    <col min="14" max="14" width="13.375" style="1" bestFit="1" customWidth="1"/>
    <col min="15" max="16384" width="11.375" style="1"/>
  </cols>
  <sheetData>
    <row r="1" spans="1:15" x14ac:dyDescent="0.25">
      <c r="M1" s="90"/>
      <c r="N1" s="8"/>
    </row>
    <row r="2" spans="1:15" x14ac:dyDescent="0.25">
      <c r="A2" s="510" t="s">
        <v>73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f ca="1">TODAY()</f>
        <v>42435</v>
      </c>
      <c r="N2" s="63"/>
    </row>
    <row r="4" spans="1:15" s="2" customFormat="1" x14ac:dyDescent="0.2">
      <c r="A4" s="511" t="s">
        <v>2</v>
      </c>
      <c r="B4" s="511" t="s">
        <v>0</v>
      </c>
      <c r="C4" s="513" t="s">
        <v>21</v>
      </c>
      <c r="D4" s="513" t="s">
        <v>12</v>
      </c>
      <c r="E4" s="507" t="s">
        <v>4</v>
      </c>
      <c r="F4" s="508"/>
      <c r="G4" s="508"/>
      <c r="H4" s="508"/>
      <c r="I4" s="508"/>
      <c r="J4" s="509"/>
      <c r="K4" s="515" t="s">
        <v>13</v>
      </c>
      <c r="L4" s="513"/>
      <c r="N4" s="65"/>
      <c r="O4" s="65"/>
    </row>
    <row r="5" spans="1:15" s="13" customFormat="1" x14ac:dyDescent="0.2">
      <c r="A5" s="512"/>
      <c r="B5" s="512"/>
      <c r="C5" s="514"/>
      <c r="D5" s="5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5" x14ac:dyDescent="0.25">
      <c r="A6" s="117" t="s">
        <v>72</v>
      </c>
      <c r="B6" s="14"/>
      <c r="C6" s="31">
        <v>41607</v>
      </c>
      <c r="D6" s="16">
        <v>66848.639999999999</v>
      </c>
      <c r="E6" s="17"/>
      <c r="F6" s="18"/>
      <c r="G6" s="19"/>
      <c r="H6" s="20"/>
      <c r="I6" s="21"/>
      <c r="J6" s="19"/>
      <c r="K6" s="22"/>
      <c r="L6" s="22"/>
    </row>
    <row r="7" spans="1:15" s="26" customFormat="1" x14ac:dyDescent="0.25">
      <c r="A7" s="47" t="s">
        <v>72</v>
      </c>
      <c r="B7" s="4"/>
      <c r="C7" s="15"/>
      <c r="D7" s="16"/>
      <c r="E7" s="116">
        <v>66848.639999999999</v>
      </c>
      <c r="F7" s="43">
        <v>1</v>
      </c>
      <c r="G7" s="31"/>
      <c r="H7" s="23"/>
      <c r="I7" s="31"/>
      <c r="J7" s="4"/>
      <c r="K7" s="83">
        <f>+IF(G7="",0,E7-H7)</f>
        <v>0</v>
      </c>
      <c r="L7" s="83">
        <f>IF(G7="",E7-H7,0)</f>
        <v>66848.639999999999</v>
      </c>
      <c r="M7" s="109" t="s">
        <v>112</v>
      </c>
      <c r="N7" s="27"/>
    </row>
    <row r="8" spans="1:15" s="32" customFormat="1" x14ac:dyDescent="0.25">
      <c r="A8" s="376" t="s">
        <v>48</v>
      </c>
      <c r="B8" s="377"/>
      <c r="C8" s="378">
        <v>41091</v>
      </c>
      <c r="D8" s="379">
        <v>38400</v>
      </c>
      <c r="E8" s="380"/>
      <c r="F8" s="381"/>
      <c r="G8" s="378"/>
      <c r="H8" s="382"/>
      <c r="I8" s="383"/>
      <c r="J8" s="377"/>
      <c r="K8" s="384">
        <f t="shared" ref="K8:K9" si="0">+IF(G8="",0,E8-H8)</f>
        <v>0</v>
      </c>
      <c r="L8" s="384">
        <f t="shared" ref="L8:L9" si="1">IF(G8="",E8-H8,0)</f>
        <v>0</v>
      </c>
      <c r="M8" s="138"/>
      <c r="N8" s="138"/>
    </row>
    <row r="9" spans="1:15" s="32" customFormat="1" x14ac:dyDescent="0.25">
      <c r="A9" s="48" t="s">
        <v>48</v>
      </c>
      <c r="B9" s="28"/>
      <c r="C9" s="29"/>
      <c r="D9" s="30" t="s">
        <v>115</v>
      </c>
      <c r="E9" s="93">
        <v>38400</v>
      </c>
      <c r="F9" s="94">
        <v>1</v>
      </c>
      <c r="G9" s="29">
        <v>41984</v>
      </c>
      <c r="H9" s="95"/>
      <c r="I9" s="96"/>
      <c r="J9" s="28">
        <f ca="1">$L$2-G9</f>
        <v>451</v>
      </c>
      <c r="K9" s="97">
        <f t="shared" si="0"/>
        <v>38400</v>
      </c>
      <c r="L9" s="97">
        <f t="shared" si="1"/>
        <v>0</v>
      </c>
      <c r="M9" s="138"/>
    </row>
    <row r="10" spans="1:15" s="8" customFormat="1" x14ac:dyDescent="0.25">
      <c r="A10" s="50"/>
      <c r="B10" s="50"/>
      <c r="C10" s="50"/>
      <c r="D10" s="42">
        <f>SUM(D6:D9)</f>
        <v>105248.64</v>
      </c>
      <c r="E10" s="42">
        <f>SUM(E6:E9)</f>
        <v>105248.64</v>
      </c>
      <c r="F10" s="51"/>
      <c r="G10" s="52"/>
      <c r="H10" s="42">
        <f>SUM(H6:H9)</f>
        <v>0</v>
      </c>
      <c r="I10" s="52"/>
      <c r="J10" s="52"/>
      <c r="K10" s="42">
        <f>SUM(K6:K9)</f>
        <v>38400</v>
      </c>
      <c r="L10" s="42">
        <f>SUM(L6:L9)</f>
        <v>66848.639999999999</v>
      </c>
      <c r="M10" s="20"/>
      <c r="N10" s="20"/>
    </row>
    <row r="11" spans="1:15" x14ac:dyDescent="0.25">
      <c r="A11" s="77"/>
      <c r="B11" s="78"/>
      <c r="C11" s="78"/>
      <c r="D11" s="78"/>
      <c r="E11" s="78"/>
      <c r="F11" s="77"/>
      <c r="G11" s="78"/>
      <c r="H11" s="78"/>
      <c r="I11" s="78"/>
      <c r="J11" s="54"/>
      <c r="K11" s="516">
        <f>SUM(K10:L10)</f>
        <v>105248.64</v>
      </c>
      <c r="L11" s="517"/>
    </row>
  </sheetData>
  <autoFilter ref="A4:M5"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8">
    <mergeCell ref="K11:L11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"/>
  <sheetViews>
    <sheetView workbookViewId="0">
      <selection sqref="A1:XFD1048576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hidden="1" customWidth="1" outlineLevel="1"/>
    <col min="3" max="3" width="11.375" style="1" bestFit="1" customWidth="1" collapsed="1"/>
    <col min="4" max="4" width="13.375" style="1" bestFit="1" customWidth="1"/>
    <col min="5" max="5" width="14.375" style="1" customWidth="1"/>
    <col min="6" max="6" width="4.125" style="6" bestFit="1" customWidth="1"/>
    <col min="7" max="7" width="10.375" style="1" bestFit="1" customWidth="1"/>
    <col min="8" max="8" width="12.375" style="1" customWidth="1"/>
    <col min="9" max="9" width="10.375" style="1" bestFit="1" customWidth="1"/>
    <col min="10" max="10" width="18.625" style="1" bestFit="1" customWidth="1"/>
    <col min="11" max="11" width="14.375" style="1" customWidth="1"/>
    <col min="12" max="12" width="14.375" style="1" bestFit="1" customWidth="1"/>
    <col min="13" max="13" width="4.125" style="1" customWidth="1"/>
    <col min="14" max="14" width="14.375" style="1" bestFit="1" customWidth="1"/>
    <col min="15" max="15" width="13.375" style="1" bestFit="1" customWidth="1"/>
    <col min="16" max="16384" width="11.375" style="1"/>
  </cols>
  <sheetData>
    <row r="1" spans="1:16" x14ac:dyDescent="0.25">
      <c r="N1" s="92"/>
      <c r="O1" s="8"/>
    </row>
    <row r="2" spans="1:16" x14ac:dyDescent="0.25">
      <c r="A2" s="510" t="s">
        <v>78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v>42155</v>
      </c>
      <c r="O2" s="63"/>
    </row>
    <row r="4" spans="1:16" s="2" customFormat="1" x14ac:dyDescent="0.2">
      <c r="A4" s="511" t="s">
        <v>2</v>
      </c>
      <c r="B4" s="511" t="s">
        <v>0</v>
      </c>
      <c r="C4" s="513" t="s">
        <v>21</v>
      </c>
      <c r="D4" s="513" t="s">
        <v>12</v>
      </c>
      <c r="E4" s="507" t="s">
        <v>4</v>
      </c>
      <c r="F4" s="508"/>
      <c r="G4" s="508"/>
      <c r="H4" s="508"/>
      <c r="I4" s="508"/>
      <c r="J4" s="509"/>
      <c r="K4" s="515" t="s">
        <v>13</v>
      </c>
      <c r="L4" s="513"/>
      <c r="O4" s="65"/>
      <c r="P4" s="65"/>
    </row>
    <row r="5" spans="1:16" s="13" customFormat="1" x14ac:dyDescent="0.2">
      <c r="A5" s="512"/>
      <c r="B5" s="512"/>
      <c r="C5" s="514"/>
      <c r="D5" s="5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5">
      <c r="A6" s="46" t="s">
        <v>48</v>
      </c>
      <c r="B6" s="14"/>
      <c r="C6" s="31">
        <v>40798</v>
      </c>
      <c r="D6" s="16">
        <v>100000</v>
      </c>
      <c r="E6" s="17"/>
      <c r="F6" s="18"/>
      <c r="G6" s="19"/>
      <c r="H6" s="20"/>
      <c r="I6" s="87"/>
      <c r="J6" s="19"/>
      <c r="K6" s="22"/>
      <c r="L6" s="22"/>
    </row>
    <row r="7" spans="1:16" s="26" customFormat="1" x14ac:dyDescent="0.25">
      <c r="A7" s="47"/>
      <c r="B7" s="4"/>
      <c r="C7" s="15"/>
      <c r="D7" s="16"/>
      <c r="E7" s="23">
        <v>80000</v>
      </c>
      <c r="F7" s="43">
        <v>1</v>
      </c>
      <c r="G7" s="31"/>
      <c r="H7" s="23">
        <v>80000</v>
      </c>
      <c r="I7" s="31">
        <v>40925</v>
      </c>
      <c r="J7" s="4"/>
      <c r="K7" s="83">
        <f>+IF(G7="",0,E7-H7)</f>
        <v>0</v>
      </c>
      <c r="L7" s="83">
        <f>IF(G7="",E7-H7,0)</f>
        <v>0</v>
      </c>
      <c r="N7" s="27"/>
      <c r="O7" s="27"/>
    </row>
    <row r="8" spans="1:16" s="26" customFormat="1" x14ac:dyDescent="0.25">
      <c r="A8" s="46"/>
      <c r="B8" s="4"/>
      <c r="C8" s="15"/>
      <c r="D8" s="16"/>
      <c r="E8" s="23">
        <v>20000</v>
      </c>
      <c r="F8" s="43">
        <v>2</v>
      </c>
      <c r="G8" s="15"/>
      <c r="H8" s="24"/>
      <c r="I8" s="31"/>
      <c r="J8" s="4"/>
      <c r="K8" s="83">
        <f t="shared" ref="K8:K14" si="0">+IF(G8="",0,E8-H8)</f>
        <v>0</v>
      </c>
      <c r="L8" s="83">
        <f t="shared" ref="L8:L14" si="1">IF(G8="",E8-H8,0)</f>
        <v>20000</v>
      </c>
      <c r="N8" s="27"/>
      <c r="O8" s="27"/>
    </row>
    <row r="9" spans="1:16" x14ac:dyDescent="0.25">
      <c r="A9" s="46" t="s">
        <v>58</v>
      </c>
      <c r="B9" s="76"/>
      <c r="C9" s="15"/>
      <c r="D9" s="16">
        <v>100000</v>
      </c>
      <c r="E9" s="23"/>
      <c r="F9" s="43"/>
      <c r="G9" s="15"/>
      <c r="H9" s="24"/>
      <c r="I9" s="31"/>
      <c r="J9" s="4"/>
      <c r="K9" s="83">
        <f t="shared" si="0"/>
        <v>0</v>
      </c>
      <c r="L9" s="83">
        <f t="shared" si="1"/>
        <v>0</v>
      </c>
    </row>
    <row r="10" spans="1:16" x14ac:dyDescent="0.25">
      <c r="A10" s="47"/>
      <c r="B10" s="76"/>
      <c r="C10" s="15"/>
      <c r="D10" s="16"/>
      <c r="E10" s="23">
        <v>50000</v>
      </c>
      <c r="F10" s="43">
        <v>1</v>
      </c>
      <c r="G10" s="15">
        <v>41729</v>
      </c>
      <c r="H10" s="23">
        <v>50000</v>
      </c>
      <c r="I10" s="31">
        <v>41829</v>
      </c>
      <c r="J10" s="4"/>
      <c r="K10" s="83">
        <f t="shared" si="0"/>
        <v>0</v>
      </c>
      <c r="L10" s="83">
        <f t="shared" si="1"/>
        <v>0</v>
      </c>
    </row>
    <row r="11" spans="1:16" x14ac:dyDescent="0.25">
      <c r="A11" s="47"/>
      <c r="B11" s="76"/>
      <c r="C11" s="15"/>
      <c r="D11" s="16"/>
      <c r="E11" s="23">
        <v>50000</v>
      </c>
      <c r="F11" s="43">
        <v>2</v>
      </c>
      <c r="G11" s="15"/>
      <c r="H11" s="24"/>
      <c r="I11" s="31"/>
      <c r="J11" s="4"/>
      <c r="K11" s="83">
        <f t="shared" si="0"/>
        <v>0</v>
      </c>
      <c r="L11" s="83">
        <f t="shared" si="1"/>
        <v>50000</v>
      </c>
    </row>
    <row r="12" spans="1:16" x14ac:dyDescent="0.25">
      <c r="A12" s="46" t="s">
        <v>10</v>
      </c>
      <c r="B12" s="76"/>
      <c r="C12" s="15"/>
      <c r="D12" s="16">
        <v>100000</v>
      </c>
      <c r="E12" s="23"/>
      <c r="F12" s="43"/>
      <c r="G12" s="15"/>
      <c r="H12" s="24"/>
      <c r="I12" s="31"/>
      <c r="J12" s="4"/>
      <c r="K12" s="83">
        <f t="shared" si="0"/>
        <v>0</v>
      </c>
      <c r="L12" s="83">
        <f t="shared" si="1"/>
        <v>0</v>
      </c>
    </row>
    <row r="13" spans="1:16" x14ac:dyDescent="0.25">
      <c r="A13" s="47"/>
      <c r="B13" s="76"/>
      <c r="C13" s="15"/>
      <c r="D13" s="16"/>
      <c r="E13" s="23">
        <v>50000</v>
      </c>
      <c r="F13" s="43">
        <v>1</v>
      </c>
      <c r="G13" s="15">
        <v>41729</v>
      </c>
      <c r="H13" s="24">
        <v>50000</v>
      </c>
      <c r="I13" s="31">
        <v>41829</v>
      </c>
      <c r="J13" s="4"/>
      <c r="K13" s="83">
        <f t="shared" si="0"/>
        <v>0</v>
      </c>
      <c r="L13" s="83">
        <f t="shared" si="1"/>
        <v>0</v>
      </c>
    </row>
    <row r="14" spans="1:16" x14ac:dyDescent="0.25">
      <c r="A14" s="47"/>
      <c r="B14" s="76"/>
      <c r="C14" s="15"/>
      <c r="D14" s="16"/>
      <c r="E14" s="23">
        <v>50000</v>
      </c>
      <c r="F14" s="43">
        <v>2</v>
      </c>
      <c r="G14" s="15"/>
      <c r="H14" s="24"/>
      <c r="I14" s="31"/>
      <c r="J14" s="4"/>
      <c r="K14" s="83">
        <f t="shared" si="0"/>
        <v>0</v>
      </c>
      <c r="L14" s="83">
        <f t="shared" si="1"/>
        <v>50000</v>
      </c>
    </row>
    <row r="15" spans="1:16" s="8" customFormat="1" x14ac:dyDescent="0.25">
      <c r="A15" s="50"/>
      <c r="B15" s="50"/>
      <c r="C15" s="50"/>
      <c r="D15" s="42">
        <f>SUM(D6:D14)</f>
        <v>300000</v>
      </c>
      <c r="E15" s="42">
        <f>SUM(E6:E14)</f>
        <v>300000</v>
      </c>
      <c r="F15" s="51"/>
      <c r="G15" s="52"/>
      <c r="H15" s="42">
        <f>SUM(H6:H14)</f>
        <v>180000</v>
      </c>
      <c r="I15" s="52"/>
      <c r="J15" s="52"/>
      <c r="K15" s="42">
        <f>SUM(K6:K14)</f>
        <v>0</v>
      </c>
      <c r="L15" s="42">
        <f>SUM(L6:L14)</f>
        <v>120000</v>
      </c>
      <c r="N15" s="20"/>
      <c r="O15" s="20"/>
    </row>
    <row r="16" spans="1:16" x14ac:dyDescent="0.25">
      <c r="A16" s="77"/>
      <c r="B16" s="78"/>
      <c r="C16" s="78"/>
      <c r="D16" s="78"/>
      <c r="E16" s="78"/>
      <c r="F16" s="77"/>
      <c r="G16" s="78"/>
      <c r="H16" s="78"/>
      <c r="I16" s="78"/>
      <c r="J16" s="54"/>
      <c r="K16" s="516">
        <f>SUM(K15:L15)</f>
        <v>120000</v>
      </c>
      <c r="L16" s="517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Q18"/>
  <sheetViews>
    <sheetView zoomScale="85" zoomScaleNormal="85" workbookViewId="0">
      <selection activeCell="J49" sqref="J49"/>
    </sheetView>
  </sheetViews>
  <sheetFormatPr baseColWidth="10" defaultColWidth="11.375" defaultRowHeight="12.25" x14ac:dyDescent="0.25"/>
  <cols>
    <col min="1" max="1" width="31.625" style="6" bestFit="1" customWidth="1"/>
    <col min="2" max="2" width="11.375" style="1" bestFit="1" customWidth="1"/>
    <col min="3" max="4" width="11.375" style="1" customWidth="1"/>
    <col min="5" max="5" width="13.375" style="1" bestFit="1" customWidth="1"/>
    <col min="6" max="6" width="14.375" style="1" customWidth="1"/>
    <col min="7" max="7" width="4.125" style="6" bestFit="1" customWidth="1"/>
    <col min="8" max="8" width="10.375" style="1" bestFit="1" customWidth="1"/>
    <col min="9" max="9" width="12.375" style="1" customWidth="1"/>
    <col min="10" max="10" width="10.375" style="1" bestFit="1" customWidth="1"/>
    <col min="11" max="11" width="18.625" style="1" bestFit="1" customWidth="1"/>
    <col min="12" max="12" width="14.375" style="1" customWidth="1"/>
    <col min="13" max="13" width="14.375" style="1" bestFit="1" customWidth="1"/>
    <col min="14" max="14" width="13.375" style="1" bestFit="1" customWidth="1"/>
    <col min="15" max="15" width="14.375" style="1" bestFit="1" customWidth="1"/>
    <col min="16" max="16" width="13.375" style="1" bestFit="1" customWidth="1"/>
    <col min="17" max="16384" width="11.375" style="1"/>
  </cols>
  <sheetData>
    <row r="1" spans="1:17" x14ac:dyDescent="0.25">
      <c r="O1" s="91"/>
      <c r="P1" s="8"/>
    </row>
    <row r="2" spans="1:17" x14ac:dyDescent="0.25">
      <c r="A2" s="510" t="s">
        <v>76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9">
        <f ca="1">TODAY()</f>
        <v>42435</v>
      </c>
      <c r="P2" s="63"/>
    </row>
    <row r="4" spans="1:17" s="2" customFormat="1" x14ac:dyDescent="0.2">
      <c r="A4" s="511" t="s">
        <v>2</v>
      </c>
      <c r="B4" s="513" t="s">
        <v>21</v>
      </c>
      <c r="C4" s="270" t="s">
        <v>129</v>
      </c>
      <c r="D4" s="270" t="s">
        <v>142</v>
      </c>
      <c r="E4" s="513" t="s">
        <v>12</v>
      </c>
      <c r="F4" s="507" t="s">
        <v>4</v>
      </c>
      <c r="G4" s="508"/>
      <c r="H4" s="508"/>
      <c r="I4" s="508"/>
      <c r="J4" s="508"/>
      <c r="K4" s="509"/>
      <c r="L4" s="515" t="s">
        <v>13</v>
      </c>
      <c r="M4" s="513"/>
      <c r="N4" s="513" t="s">
        <v>116</v>
      </c>
      <c r="P4" s="65"/>
      <c r="Q4" s="65"/>
    </row>
    <row r="5" spans="1:17" s="13" customFormat="1" x14ac:dyDescent="0.2">
      <c r="A5" s="512"/>
      <c r="B5" s="514"/>
      <c r="C5" s="271"/>
      <c r="D5" s="271"/>
      <c r="E5" s="51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514"/>
    </row>
    <row r="6" spans="1:17" s="8" customFormat="1" x14ac:dyDescent="0.25">
      <c r="A6" s="162" t="s">
        <v>44</v>
      </c>
      <c r="B6" s="180">
        <v>40452</v>
      </c>
      <c r="C6" s="182"/>
      <c r="D6" s="182"/>
      <c r="E6" s="170">
        <v>340000</v>
      </c>
      <c r="F6" s="165"/>
      <c r="G6" s="251"/>
      <c r="H6" s="167"/>
      <c r="I6" s="168">
        <f>SUM(I7:I10)</f>
        <v>289788.59000000003</v>
      </c>
      <c r="J6" s="180"/>
      <c r="K6" s="167"/>
      <c r="L6" s="170">
        <f>SUM(L7:L10)</f>
        <v>0</v>
      </c>
      <c r="M6" s="170">
        <f>SUM(M7:M10)</f>
        <v>50211.41</v>
      </c>
      <c r="N6" s="170"/>
      <c r="O6" s="201">
        <f>E6-(I6+L6+M6)</f>
        <v>0</v>
      </c>
    </row>
    <row r="7" spans="1:17" s="26" customFormat="1" x14ac:dyDescent="0.25">
      <c r="A7" s="47" t="s">
        <v>44</v>
      </c>
      <c r="B7" s="15"/>
      <c r="C7" s="15"/>
      <c r="D7" s="15"/>
      <c r="E7" s="121">
        <f>F7/$E$6</f>
        <v>0.2</v>
      </c>
      <c r="F7" s="23">
        <v>68000</v>
      </c>
      <c r="G7" s="43">
        <v>1</v>
      </c>
      <c r="H7" s="31"/>
      <c r="I7" s="23">
        <v>68000</v>
      </c>
      <c r="J7" s="31">
        <v>40514</v>
      </c>
      <c r="K7" s="4"/>
      <c r="L7" s="83" t="str">
        <f>IF(I7="en attente",F7,"")</f>
        <v/>
      </c>
      <c r="M7" s="83">
        <f>IF(H7="",F7-I7,0)</f>
        <v>0</v>
      </c>
      <c r="N7" s="16"/>
      <c r="O7" s="201"/>
      <c r="P7" s="27"/>
    </row>
    <row r="8" spans="1:17" s="26" customFormat="1" x14ac:dyDescent="0.25">
      <c r="A8" s="47" t="s">
        <v>44</v>
      </c>
      <c r="B8" s="15"/>
      <c r="C8" s="15"/>
      <c r="D8" s="15"/>
      <c r="E8" s="121">
        <f>F8/$E$6+E7</f>
        <v>0.8</v>
      </c>
      <c r="F8" s="23">
        <v>204000</v>
      </c>
      <c r="G8" s="43"/>
      <c r="H8" s="15">
        <v>40981</v>
      </c>
      <c r="I8" s="24">
        <v>204000</v>
      </c>
      <c r="J8" s="31">
        <v>41267</v>
      </c>
      <c r="K8" s="4"/>
      <c r="L8" s="83" t="str">
        <f t="shared" ref="L8:L15" si="0">IF(I8="en attente",F8,"")</f>
        <v/>
      </c>
      <c r="M8" s="83">
        <f t="shared" ref="M8:M10" si="1">IF(H8="",F8-I8,0)</f>
        <v>0</v>
      </c>
      <c r="N8" s="16"/>
      <c r="O8" s="201"/>
      <c r="P8" s="27"/>
    </row>
    <row r="9" spans="1:17" s="26" customFormat="1" x14ac:dyDescent="0.25">
      <c r="A9" s="47" t="s">
        <v>44</v>
      </c>
      <c r="B9" s="15"/>
      <c r="C9" s="15"/>
      <c r="D9" s="15"/>
      <c r="E9" s="121">
        <f t="shared" ref="E9:E10" si="2">F9/$E$6+E8</f>
        <v>0.85231938235294125</v>
      </c>
      <c r="F9" s="23">
        <v>17788.59</v>
      </c>
      <c r="G9" s="43"/>
      <c r="H9" s="15">
        <v>41290</v>
      </c>
      <c r="I9" s="24">
        <v>17788.59</v>
      </c>
      <c r="J9" s="31"/>
      <c r="K9" s="4"/>
      <c r="L9" s="83" t="str">
        <f t="shared" si="0"/>
        <v/>
      </c>
      <c r="M9" s="83">
        <f t="shared" si="1"/>
        <v>0</v>
      </c>
      <c r="N9" s="16"/>
      <c r="O9" s="201"/>
      <c r="P9" s="27"/>
    </row>
    <row r="10" spans="1:17" s="26" customFormat="1" x14ac:dyDescent="0.25">
      <c r="A10" s="47" t="s">
        <v>44</v>
      </c>
      <c r="B10" s="15"/>
      <c r="C10" s="15"/>
      <c r="D10" s="15"/>
      <c r="E10" s="121">
        <f t="shared" si="2"/>
        <v>1</v>
      </c>
      <c r="F10" s="123">
        <v>50211.41</v>
      </c>
      <c r="G10" s="43"/>
      <c r="H10" s="15"/>
      <c r="I10" s="24"/>
      <c r="J10" s="31"/>
      <c r="K10" s="4"/>
      <c r="L10" s="83" t="str">
        <f t="shared" si="0"/>
        <v/>
      </c>
      <c r="M10" s="83">
        <f t="shared" si="1"/>
        <v>50211.41</v>
      </c>
      <c r="N10" s="16"/>
      <c r="O10" s="201"/>
      <c r="P10" s="27"/>
    </row>
    <row r="11" spans="1:17" s="120" customFormat="1" x14ac:dyDescent="0.25">
      <c r="A11" s="152" t="s">
        <v>77</v>
      </c>
      <c r="B11" s="192">
        <v>41091</v>
      </c>
      <c r="C11" s="192"/>
      <c r="D11" s="192"/>
      <c r="E11" s="161">
        <v>20808.98</v>
      </c>
      <c r="F11" s="156"/>
      <c r="G11" s="171"/>
      <c r="H11" s="192"/>
      <c r="I11" s="159">
        <f>SUM(I12)</f>
        <v>0</v>
      </c>
      <c r="J11" s="184"/>
      <c r="K11" s="158"/>
      <c r="L11" s="193">
        <f>SUM(L12)</f>
        <v>20808.98</v>
      </c>
      <c r="M11" s="268">
        <f>SUM(M12)</f>
        <v>0</v>
      </c>
      <c r="N11" s="161"/>
      <c r="O11" s="201">
        <f t="shared" ref="O11:O16" si="3">E11-(I11+L11+M11)</f>
        <v>0</v>
      </c>
      <c r="P11" s="245"/>
    </row>
    <row r="12" spans="1:17" s="26" customFormat="1" x14ac:dyDescent="0.25">
      <c r="A12" s="151" t="s">
        <v>77</v>
      </c>
      <c r="B12" s="37"/>
      <c r="C12" s="37"/>
      <c r="D12" s="37"/>
      <c r="E12" s="186">
        <f>F12/E11</f>
        <v>1</v>
      </c>
      <c r="F12" s="36">
        <v>20808.98</v>
      </c>
      <c r="G12" s="45">
        <v>1</v>
      </c>
      <c r="H12" s="37">
        <v>41668</v>
      </c>
      <c r="I12" s="188" t="s">
        <v>113</v>
      </c>
      <c r="J12" s="189"/>
      <c r="K12" s="40">
        <f ca="1">$M$2-H12</f>
        <v>767</v>
      </c>
      <c r="L12" s="191">
        <f t="shared" si="0"/>
        <v>20808.98</v>
      </c>
      <c r="M12" s="267">
        <f t="shared" ref="M12:M15" si="4">IF(H12="",F12-I12,0)</f>
        <v>0</v>
      </c>
      <c r="N12" s="41"/>
      <c r="O12" s="201"/>
    </row>
    <row r="13" spans="1:17" s="8" customFormat="1" x14ac:dyDescent="0.25">
      <c r="A13" s="162" t="s">
        <v>85</v>
      </c>
      <c r="B13" s="182">
        <v>40578</v>
      </c>
      <c r="C13" s="182">
        <f>DATE(YEAR(B13),MONTH(B113)+18,DAY(B13))</f>
        <v>41094</v>
      </c>
      <c r="D13" s="182">
        <f>DATE(YEAR(C13),MONTH(C13),DAY(C13)-20)</f>
        <v>41074</v>
      </c>
      <c r="E13" s="170">
        <v>140000</v>
      </c>
      <c r="F13" s="165"/>
      <c r="G13" s="166"/>
      <c r="H13" s="182"/>
      <c r="I13" s="168">
        <f>SUM(I14:I15)</f>
        <v>70000</v>
      </c>
      <c r="J13" s="180"/>
      <c r="K13" s="167"/>
      <c r="L13" s="183">
        <f>SUM(L14:L15)</f>
        <v>70000</v>
      </c>
      <c r="M13" s="183">
        <f>SUM(M14:M15)</f>
        <v>0</v>
      </c>
      <c r="N13" s="170"/>
      <c r="O13" s="201">
        <f t="shared" si="3"/>
        <v>0</v>
      </c>
    </row>
    <row r="14" spans="1:17" x14ac:dyDescent="0.25">
      <c r="A14" s="47" t="s">
        <v>85</v>
      </c>
      <c r="B14" s="15"/>
      <c r="C14" s="15"/>
      <c r="D14" s="15"/>
      <c r="E14" s="121">
        <f>F14/$E$13</f>
        <v>0.5</v>
      </c>
      <c r="F14" s="23">
        <v>70000</v>
      </c>
      <c r="G14" s="43">
        <v>1</v>
      </c>
      <c r="H14" s="15">
        <v>41485</v>
      </c>
      <c r="I14" s="24">
        <v>70000</v>
      </c>
      <c r="J14" s="31">
        <v>41522</v>
      </c>
      <c r="K14" s="4"/>
      <c r="L14" s="83" t="str">
        <f t="shared" si="0"/>
        <v/>
      </c>
      <c r="M14" s="83">
        <f t="shared" si="4"/>
        <v>0</v>
      </c>
      <c r="N14" s="16"/>
      <c r="O14" s="201"/>
    </row>
    <row r="15" spans="1:17" x14ac:dyDescent="0.25">
      <c r="A15" s="47" t="s">
        <v>85</v>
      </c>
      <c r="B15" s="15"/>
      <c r="C15" s="15"/>
      <c r="D15" s="15"/>
      <c r="E15" s="121">
        <f>F15/$E$13+E14</f>
        <v>1</v>
      </c>
      <c r="F15" s="23">
        <v>70000</v>
      </c>
      <c r="G15" s="43">
        <v>2</v>
      </c>
      <c r="H15" s="15">
        <v>42034</v>
      </c>
      <c r="I15" s="137" t="s">
        <v>113</v>
      </c>
      <c r="J15" s="31"/>
      <c r="K15" s="4"/>
      <c r="L15" s="83">
        <f t="shared" si="0"/>
        <v>70000</v>
      </c>
      <c r="M15" s="83">
        <f t="shared" si="4"/>
        <v>0</v>
      </c>
      <c r="N15" s="16"/>
      <c r="O15" s="201"/>
    </row>
    <row r="16" spans="1:17" s="8" customFormat="1" x14ac:dyDescent="0.25">
      <c r="A16" s="50"/>
      <c r="B16" s="50"/>
      <c r="C16" s="50"/>
      <c r="D16" s="50"/>
      <c r="E16" s="42">
        <f>SUM(E6:E15)</f>
        <v>500814.33231938235</v>
      </c>
      <c r="F16" s="42"/>
      <c r="G16" s="51"/>
      <c r="H16" s="52"/>
      <c r="I16" s="42">
        <f>I6+I11+I13</f>
        <v>359788.59</v>
      </c>
      <c r="J16" s="52"/>
      <c r="K16" s="52"/>
      <c r="L16" s="42">
        <f t="shared" ref="L16:M16" si="5">L6+L11+L13</f>
        <v>90808.98</v>
      </c>
      <c r="M16" s="42">
        <f t="shared" si="5"/>
        <v>50211.41</v>
      </c>
      <c r="N16" s="42"/>
      <c r="O16" s="201">
        <f t="shared" si="3"/>
        <v>5.3523193823639303</v>
      </c>
      <c r="P16" s="20"/>
    </row>
    <row r="17" spans="1:15" x14ac:dyDescent="0.25">
      <c r="A17" s="77"/>
      <c r="B17" s="78"/>
      <c r="C17" s="78"/>
      <c r="D17" s="78"/>
      <c r="E17" s="78"/>
      <c r="F17" s="78"/>
      <c r="G17" s="77"/>
      <c r="H17" s="78"/>
      <c r="I17" s="78"/>
      <c r="J17" s="78"/>
      <c r="K17" s="54"/>
      <c r="L17" s="516">
        <f>SUM(L16:M16)</f>
        <v>141020.39000000001</v>
      </c>
      <c r="M17" s="517"/>
      <c r="N17" s="78"/>
      <c r="O17" s="27"/>
    </row>
    <row r="18" spans="1:15" x14ac:dyDescent="0.25">
      <c r="A18" s="6" t="s">
        <v>152</v>
      </c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8">
    <mergeCell ref="N4:N5"/>
    <mergeCell ref="L17:M17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  <pageSetUpPr fitToPage="1"/>
  </sheetPr>
  <dimension ref="A1:P11"/>
  <sheetViews>
    <sheetView workbookViewId="0">
      <selection activeCell="A10" sqref="A10:XFD10"/>
    </sheetView>
  </sheetViews>
  <sheetFormatPr baseColWidth="10" defaultColWidth="11.375" defaultRowHeight="12.25" outlineLevelCol="1" x14ac:dyDescent="0.25"/>
  <cols>
    <col min="1" max="1" width="31.625" style="6" bestFit="1" customWidth="1"/>
    <col min="2" max="2" width="30.375" style="1" hidden="1" customWidth="1" outlineLevel="1"/>
    <col min="3" max="3" width="11.375" style="1" bestFit="1" customWidth="1" collapsed="1"/>
    <col min="4" max="4" width="13.375" style="1" bestFit="1" customWidth="1"/>
    <col min="5" max="5" width="14.375" style="1" customWidth="1"/>
    <col min="6" max="6" width="4.125" style="6" bestFit="1" customWidth="1"/>
    <col min="7" max="7" width="10.375" style="1" bestFit="1" customWidth="1"/>
    <col min="8" max="8" width="12.375" style="1" customWidth="1"/>
    <col min="9" max="9" width="10.375" style="1" bestFit="1" customWidth="1"/>
    <col min="10" max="10" width="18.625" style="1" bestFit="1" customWidth="1"/>
    <col min="11" max="11" width="14.375" style="1" customWidth="1"/>
    <col min="12" max="12" width="14.375" style="1" bestFit="1" customWidth="1"/>
    <col min="13" max="13" width="4.125" style="1" customWidth="1"/>
    <col min="14" max="14" width="14.375" style="1" bestFit="1" customWidth="1"/>
    <col min="15" max="15" width="13.375" style="1" bestFit="1" customWidth="1"/>
    <col min="16" max="16384" width="11.375" style="1"/>
  </cols>
  <sheetData>
    <row r="1" spans="1:16" x14ac:dyDescent="0.25">
      <c r="N1" s="90"/>
      <c r="O1" s="8"/>
    </row>
    <row r="2" spans="1:16" x14ac:dyDescent="0.25">
      <c r="A2" s="510" t="s">
        <v>71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f ca="1">TODAY()</f>
        <v>42435</v>
      </c>
      <c r="O2" s="63"/>
    </row>
    <row r="4" spans="1:16" s="2" customFormat="1" x14ac:dyDescent="0.2">
      <c r="A4" s="511" t="s">
        <v>2</v>
      </c>
      <c r="B4" s="511" t="s">
        <v>0</v>
      </c>
      <c r="C4" s="513" t="s">
        <v>21</v>
      </c>
      <c r="D4" s="513" t="s">
        <v>12</v>
      </c>
      <c r="E4" s="507" t="s">
        <v>4</v>
      </c>
      <c r="F4" s="508"/>
      <c r="G4" s="508"/>
      <c r="H4" s="508"/>
      <c r="I4" s="508"/>
      <c r="J4" s="509"/>
      <c r="K4" s="515" t="s">
        <v>13</v>
      </c>
      <c r="L4" s="513"/>
      <c r="O4" s="65"/>
      <c r="P4" s="65"/>
    </row>
    <row r="5" spans="1:16" s="13" customFormat="1" x14ac:dyDescent="0.2">
      <c r="A5" s="512"/>
      <c r="B5" s="512"/>
      <c r="C5" s="514"/>
      <c r="D5" s="5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5">
      <c r="A6" s="125" t="s">
        <v>48</v>
      </c>
      <c r="B6" s="139"/>
      <c r="C6" s="132">
        <v>40817</v>
      </c>
      <c r="D6" s="128">
        <v>25600</v>
      </c>
      <c r="E6" s="140"/>
      <c r="F6" s="141"/>
      <c r="G6" s="142"/>
      <c r="H6" s="143"/>
      <c r="I6" s="144"/>
      <c r="J6" s="142"/>
      <c r="K6" s="145"/>
      <c r="L6" s="145"/>
    </row>
    <row r="7" spans="1:16" s="26" customFormat="1" x14ac:dyDescent="0.25">
      <c r="A7" s="146"/>
      <c r="B7" s="126"/>
      <c r="C7" s="127"/>
      <c r="D7" s="128"/>
      <c r="E7" s="129">
        <v>12800</v>
      </c>
      <c r="F7" s="130">
        <v>1</v>
      </c>
      <c r="G7" s="132">
        <v>40841</v>
      </c>
      <c r="H7" s="129">
        <v>12800</v>
      </c>
      <c r="I7" s="132">
        <v>40882</v>
      </c>
      <c r="J7" s="126">
        <f>I7-G7</f>
        <v>41</v>
      </c>
      <c r="K7" s="133">
        <f>+IF(G7="",0,E7-H7)</f>
        <v>0</v>
      </c>
      <c r="L7" s="133">
        <f>IF(G7="",E7-H7,0)</f>
        <v>0</v>
      </c>
      <c r="N7" s="27"/>
      <c r="O7" s="27"/>
    </row>
    <row r="8" spans="1:16" s="26" customFormat="1" x14ac:dyDescent="0.25">
      <c r="A8" s="146"/>
      <c r="B8" s="126"/>
      <c r="C8" s="127"/>
      <c r="D8" s="128"/>
      <c r="E8" s="129">
        <v>7680</v>
      </c>
      <c r="F8" s="130">
        <v>2</v>
      </c>
      <c r="G8" s="127">
        <v>41849</v>
      </c>
      <c r="H8" s="129">
        <v>7680</v>
      </c>
      <c r="I8" s="132">
        <v>41891</v>
      </c>
      <c r="J8" s="126">
        <f>I8-G8</f>
        <v>42</v>
      </c>
      <c r="K8" s="133">
        <f t="shared" ref="K8:K9" si="0">+IF(G8="",0,E8-H8)</f>
        <v>0</v>
      </c>
      <c r="L8" s="133">
        <f t="shared" ref="L8:L9" si="1">IF(G8="",E8-H8,0)</f>
        <v>0</v>
      </c>
      <c r="N8" s="27"/>
      <c r="O8" s="27"/>
    </row>
    <row r="9" spans="1:16" s="26" customFormat="1" x14ac:dyDescent="0.25">
      <c r="A9" s="146"/>
      <c r="B9" s="126"/>
      <c r="C9" s="127"/>
      <c r="D9" s="128"/>
      <c r="E9" s="129">
        <v>5120</v>
      </c>
      <c r="F9" s="130">
        <v>3</v>
      </c>
      <c r="G9" s="127"/>
      <c r="H9" s="131">
        <v>5120</v>
      </c>
      <c r="I9" s="132">
        <v>42129</v>
      </c>
      <c r="J9" s="126"/>
      <c r="K9" s="133">
        <f t="shared" si="0"/>
        <v>0</v>
      </c>
      <c r="L9" s="133">
        <f t="shared" si="1"/>
        <v>0</v>
      </c>
      <c r="N9" s="27"/>
      <c r="O9" s="27"/>
    </row>
    <row r="10" spans="1:16" s="8" customFormat="1" x14ac:dyDescent="0.25">
      <c r="A10" s="50"/>
      <c r="B10" s="50"/>
      <c r="C10" s="50"/>
      <c r="D10" s="42">
        <f>SUM(D6:D9)</f>
        <v>25600</v>
      </c>
      <c r="E10" s="42">
        <f>SUM(E6:E9)-K7</f>
        <v>25600</v>
      </c>
      <c r="F10" s="51"/>
      <c r="G10" s="52"/>
      <c r="H10" s="42">
        <f>SUM(H6:H9)</f>
        <v>25600</v>
      </c>
      <c r="I10" s="52"/>
      <c r="J10" s="52"/>
      <c r="K10" s="42">
        <f>SUM(K6:K9)-K7</f>
        <v>0</v>
      </c>
      <c r="L10" s="42">
        <f>SUM(L6:L9)</f>
        <v>0</v>
      </c>
      <c r="N10" s="20"/>
      <c r="O10" s="20"/>
    </row>
    <row r="11" spans="1:16" x14ac:dyDescent="0.25">
      <c r="A11" s="77"/>
      <c r="B11" s="78"/>
      <c r="C11" s="78"/>
      <c r="D11" s="78"/>
      <c r="E11" s="78"/>
      <c r="F11" s="77"/>
      <c r="G11" s="78"/>
      <c r="H11" s="78"/>
      <c r="I11" s="78"/>
      <c r="J11" s="54"/>
      <c r="K11" s="516">
        <f>SUM(K10:L10)</f>
        <v>0</v>
      </c>
      <c r="L11" s="517"/>
    </row>
  </sheetData>
  <mergeCells count="8">
    <mergeCell ref="K11:L11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P17"/>
  <sheetViews>
    <sheetView workbookViewId="0">
      <selection activeCell="C4" sqref="C4:C6"/>
    </sheetView>
  </sheetViews>
  <sheetFormatPr baseColWidth="10" defaultColWidth="11.375" defaultRowHeight="12.25" x14ac:dyDescent="0.25"/>
  <cols>
    <col min="1" max="1" width="31.625" style="6" bestFit="1" customWidth="1"/>
    <col min="2" max="2" width="11.375" style="1" bestFit="1" customWidth="1"/>
    <col min="3" max="3" width="13.375" style="1" bestFit="1" customWidth="1"/>
    <col min="4" max="4" width="14.375" style="1" customWidth="1"/>
    <col min="5" max="5" width="4.125" style="6" bestFit="1" customWidth="1"/>
    <col min="6" max="6" width="10.375" style="1" bestFit="1" customWidth="1"/>
    <col min="7" max="7" width="12.375" style="1" customWidth="1"/>
    <col min="8" max="8" width="10.375" style="1" bestFit="1" customWidth="1"/>
    <col min="9" max="9" width="18.625" style="1" bestFit="1" customWidth="1"/>
    <col min="10" max="10" width="14.375" style="1" customWidth="1"/>
    <col min="11" max="11" width="14.375" style="1" bestFit="1" customWidth="1"/>
    <col min="12" max="12" width="12.25" style="1" customWidth="1"/>
    <col min="13" max="13" width="14.375" style="1" bestFit="1" customWidth="1"/>
    <col min="14" max="14" width="13.375" style="1" bestFit="1" customWidth="1"/>
    <col min="15" max="16384" width="11.375" style="1"/>
  </cols>
  <sheetData>
    <row r="1" spans="1:16" x14ac:dyDescent="0.25">
      <c r="M1" s="99"/>
      <c r="N1" s="8"/>
    </row>
    <row r="2" spans="1:16" x14ac:dyDescent="0.25">
      <c r="A2" s="510" t="s">
        <v>101</v>
      </c>
      <c r="B2" s="510"/>
      <c r="C2" s="510"/>
      <c r="D2" s="510"/>
      <c r="E2" s="510"/>
      <c r="F2" s="510"/>
      <c r="G2" s="510"/>
      <c r="H2" s="510"/>
      <c r="I2" s="510"/>
      <c r="J2" s="510"/>
      <c r="K2" s="9">
        <f ca="1">TODAY()</f>
        <v>42435</v>
      </c>
      <c r="N2" s="63"/>
    </row>
    <row r="4" spans="1:16" s="2" customFormat="1" x14ac:dyDescent="0.2">
      <c r="A4" s="511" t="s">
        <v>2</v>
      </c>
      <c r="B4" s="513" t="s">
        <v>21</v>
      </c>
      <c r="C4" s="513" t="s">
        <v>12</v>
      </c>
      <c r="D4" s="507" t="s">
        <v>4</v>
      </c>
      <c r="E4" s="508"/>
      <c r="F4" s="508"/>
      <c r="G4" s="508"/>
      <c r="H4" s="508"/>
      <c r="I4" s="509"/>
      <c r="J4" s="515" t="s">
        <v>13</v>
      </c>
      <c r="K4" s="513"/>
      <c r="N4" s="65"/>
      <c r="O4" s="65"/>
    </row>
    <row r="5" spans="1:16" s="13" customFormat="1" x14ac:dyDescent="0.2">
      <c r="A5" s="512"/>
      <c r="B5" s="514"/>
      <c r="C5" s="514"/>
      <c r="D5" s="10" t="s">
        <v>1</v>
      </c>
      <c r="E5" s="11" t="s">
        <v>3</v>
      </c>
      <c r="F5" s="11" t="s">
        <v>15</v>
      </c>
      <c r="G5" s="12" t="s">
        <v>14</v>
      </c>
      <c r="H5" s="10" t="s">
        <v>15</v>
      </c>
      <c r="I5" s="11" t="s">
        <v>18</v>
      </c>
      <c r="J5" s="3" t="s">
        <v>20</v>
      </c>
      <c r="K5" s="3" t="s">
        <v>19</v>
      </c>
    </row>
    <row r="6" spans="1:16" s="120" customFormat="1" x14ac:dyDescent="0.25">
      <c r="A6" s="401" t="s">
        <v>83</v>
      </c>
      <c r="B6" s="402">
        <v>40449</v>
      </c>
      <c r="C6" s="403">
        <v>1125260</v>
      </c>
      <c r="D6" s="402"/>
      <c r="E6" s="403"/>
      <c r="F6" s="404"/>
      <c r="G6" s="405">
        <f>SUM(G7:G9)</f>
        <v>1125260</v>
      </c>
      <c r="H6" s="402"/>
      <c r="I6" s="406"/>
      <c r="J6" s="407">
        <f>SUM(J7:J9)</f>
        <v>0</v>
      </c>
      <c r="K6" s="407">
        <f>SUM(K7:K9)</f>
        <v>0</v>
      </c>
      <c r="L6" s="274">
        <f>C6-(G6+J6+K6)</f>
        <v>0</v>
      </c>
      <c r="M6" s="13"/>
      <c r="N6" s="13"/>
      <c r="O6" s="201"/>
      <c r="P6" s="245"/>
    </row>
    <row r="7" spans="1:16" s="26" customFormat="1" x14ac:dyDescent="0.25">
      <c r="A7" s="408" t="s">
        <v>83</v>
      </c>
      <c r="B7" s="413"/>
      <c r="C7" s="410">
        <f>D7/$C$6</f>
        <v>0.32881289657501378</v>
      </c>
      <c r="D7" s="411">
        <v>370000</v>
      </c>
      <c r="E7" s="412">
        <v>1</v>
      </c>
      <c r="F7" s="415">
        <v>40666</v>
      </c>
      <c r="G7" s="411">
        <v>370000</v>
      </c>
      <c r="H7" s="415">
        <v>40710</v>
      </c>
      <c r="I7" s="416">
        <f>IF(H7="",$K$2-F7,H7-F7)</f>
        <v>44</v>
      </c>
      <c r="J7" s="417" t="str">
        <f t="shared" ref="J7:J8" si="0">IF(G7="en attente",F7,"")</f>
        <v/>
      </c>
      <c r="K7" s="417">
        <f>IF(F7="",D7-G7,0)</f>
        <v>0</v>
      </c>
      <c r="L7" s="273"/>
      <c r="M7" s="13"/>
      <c r="N7" s="13"/>
    </row>
    <row r="8" spans="1:16" s="26" customFormat="1" x14ac:dyDescent="0.25">
      <c r="A8" s="408" t="s">
        <v>83</v>
      </c>
      <c r="B8" s="413"/>
      <c r="C8" s="410">
        <f>D8/$C$6+C7</f>
        <v>0.65499973339494866</v>
      </c>
      <c r="D8" s="411">
        <v>367045</v>
      </c>
      <c r="E8" s="412">
        <v>2</v>
      </c>
      <c r="F8" s="413">
        <v>41003</v>
      </c>
      <c r="G8" s="414">
        <v>367045</v>
      </c>
      <c r="H8" s="415">
        <v>41247</v>
      </c>
      <c r="I8" s="416">
        <f t="shared" ref="I8:I13" si="1">IF(H8="",$K$2-F8,H8-F8)</f>
        <v>244</v>
      </c>
      <c r="J8" s="417" t="str">
        <f t="shared" si="0"/>
        <v/>
      </c>
      <c r="K8" s="417">
        <f t="shared" ref="K8:K9" si="2">IF(F8="",D8-G8,0)</f>
        <v>0</v>
      </c>
      <c r="L8" s="273"/>
      <c r="M8" s="13"/>
      <c r="N8" s="13"/>
    </row>
    <row r="9" spans="1:16" s="26" customFormat="1" x14ac:dyDescent="0.25">
      <c r="A9" s="408" t="s">
        <v>83</v>
      </c>
      <c r="B9" s="413"/>
      <c r="C9" s="410">
        <f>D9/$C$6+C8</f>
        <v>1</v>
      </c>
      <c r="D9" s="411">
        <v>388215</v>
      </c>
      <c r="E9" s="412">
        <v>3</v>
      </c>
      <c r="F9" s="413">
        <v>42206</v>
      </c>
      <c r="G9" s="414">
        <v>388215</v>
      </c>
      <c r="H9" s="415">
        <v>42380</v>
      </c>
      <c r="I9" s="416">
        <f t="shared" si="1"/>
        <v>174</v>
      </c>
      <c r="J9" s="417" t="str">
        <f>IF(G9="en attente",D9,"")</f>
        <v/>
      </c>
      <c r="K9" s="417">
        <f t="shared" si="2"/>
        <v>0</v>
      </c>
      <c r="L9" s="273"/>
      <c r="M9" s="13"/>
      <c r="N9" s="13"/>
    </row>
    <row r="10" spans="1:16" s="120" customFormat="1" x14ac:dyDescent="0.25">
      <c r="A10" s="401" t="s">
        <v>84</v>
      </c>
      <c r="B10" s="402">
        <v>40449</v>
      </c>
      <c r="C10" s="403">
        <f>706937</f>
        <v>706937</v>
      </c>
      <c r="D10" s="402"/>
      <c r="E10" s="403"/>
      <c r="F10" s="404"/>
      <c r="G10" s="405">
        <f>SUM(G11:G13)</f>
        <v>701154</v>
      </c>
      <c r="H10" s="402"/>
      <c r="I10" s="406"/>
      <c r="J10" s="407">
        <f>SUM(J11:J13)</f>
        <v>0</v>
      </c>
      <c r="K10" s="407">
        <f>SUM(K11:K13)</f>
        <v>0</v>
      </c>
      <c r="L10" s="274">
        <f t="shared" ref="L10:L14" si="3">C10-(G10+J10+K10)</f>
        <v>5783</v>
      </c>
      <c r="M10" s="13"/>
      <c r="N10" s="13"/>
      <c r="O10" s="201"/>
      <c r="P10" s="245"/>
    </row>
    <row r="11" spans="1:16" s="26" customFormat="1" x14ac:dyDescent="0.25">
      <c r="A11" s="408" t="s">
        <v>84</v>
      </c>
      <c r="B11" s="409"/>
      <c r="C11" s="410">
        <f>D11/$C$10</f>
        <v>0.35363830157425624</v>
      </c>
      <c r="D11" s="411">
        <v>250000</v>
      </c>
      <c r="E11" s="412">
        <v>1</v>
      </c>
      <c r="F11" s="413">
        <v>40666</v>
      </c>
      <c r="G11" s="414">
        <v>250000</v>
      </c>
      <c r="H11" s="415">
        <v>40710</v>
      </c>
      <c r="I11" s="416">
        <f t="shared" si="1"/>
        <v>44</v>
      </c>
      <c r="J11" s="417" t="str">
        <f t="shared" ref="J11:J12" si="4">IF(G11="en attente",F11,"")</f>
        <v/>
      </c>
      <c r="K11" s="417">
        <f t="shared" ref="K11:K13" si="5">IF(F11="",D11-G11,0)</f>
        <v>0</v>
      </c>
      <c r="L11" s="273"/>
      <c r="M11" s="13"/>
      <c r="N11" s="13"/>
    </row>
    <row r="12" spans="1:16" s="26" customFormat="1" x14ac:dyDescent="0.25">
      <c r="A12" s="408" t="s">
        <v>84</v>
      </c>
      <c r="B12" s="409"/>
      <c r="C12" s="410">
        <f>D12/$C$10+C11</f>
        <v>0.70000014145532063</v>
      </c>
      <c r="D12" s="411">
        <v>244856</v>
      </c>
      <c r="E12" s="412">
        <v>2</v>
      </c>
      <c r="F12" s="413">
        <v>41003</v>
      </c>
      <c r="G12" s="414">
        <v>244856</v>
      </c>
      <c r="H12" s="415">
        <v>41247</v>
      </c>
      <c r="I12" s="416">
        <f t="shared" si="1"/>
        <v>244</v>
      </c>
      <c r="J12" s="417" t="str">
        <f t="shared" si="4"/>
        <v/>
      </c>
      <c r="K12" s="417"/>
      <c r="L12" s="273"/>
      <c r="M12" s="13"/>
      <c r="N12" s="13"/>
    </row>
    <row r="13" spans="1:16" x14ac:dyDescent="0.25">
      <c r="A13" s="408" t="s">
        <v>84</v>
      </c>
      <c r="B13" s="413"/>
      <c r="C13" s="410">
        <f>D13/$C$10+C12</f>
        <v>0.99181963880798429</v>
      </c>
      <c r="D13" s="411">
        <v>206298</v>
      </c>
      <c r="E13" s="412">
        <v>3</v>
      </c>
      <c r="F13" s="413">
        <v>42208</v>
      </c>
      <c r="G13" s="414">
        <v>206298</v>
      </c>
      <c r="H13" s="415">
        <v>42353</v>
      </c>
      <c r="I13" s="416">
        <f t="shared" si="1"/>
        <v>145</v>
      </c>
      <c r="J13" s="417" t="str">
        <f>IF(G13="en attente",D13,"")</f>
        <v/>
      </c>
      <c r="K13" s="417">
        <f t="shared" si="5"/>
        <v>0</v>
      </c>
      <c r="L13" s="400" t="s">
        <v>187</v>
      </c>
      <c r="M13" s="13"/>
      <c r="N13" s="13"/>
    </row>
    <row r="14" spans="1:16" s="8" customFormat="1" x14ac:dyDescent="0.25">
      <c r="A14" s="50"/>
      <c r="B14" s="50"/>
      <c r="C14" s="42">
        <f>C6+C10</f>
        <v>1832197</v>
      </c>
      <c r="D14" s="42">
        <f>D6+D10</f>
        <v>0</v>
      </c>
      <c r="E14" s="51"/>
      <c r="F14" s="52"/>
      <c r="G14" s="42">
        <f>G6+G10</f>
        <v>1826414</v>
      </c>
      <c r="H14" s="52"/>
      <c r="I14" s="52"/>
      <c r="J14" s="42">
        <f>J6+J10</f>
        <v>0</v>
      </c>
      <c r="K14" s="42">
        <f>K6+K10</f>
        <v>0</v>
      </c>
      <c r="L14" s="274">
        <f t="shared" si="3"/>
        <v>5783</v>
      </c>
      <c r="M14" s="13"/>
      <c r="N14" s="13"/>
    </row>
    <row r="15" spans="1:16" x14ac:dyDescent="0.25">
      <c r="A15" s="77"/>
      <c r="B15" s="78"/>
      <c r="C15" s="78"/>
      <c r="D15" s="78"/>
      <c r="E15" s="77"/>
      <c r="F15" s="78"/>
      <c r="G15" s="78"/>
      <c r="H15" s="78"/>
      <c r="I15" s="54"/>
      <c r="J15" s="516">
        <f>SUM(J14:K14)</f>
        <v>0</v>
      </c>
      <c r="K15" s="517"/>
      <c r="L15" s="273"/>
      <c r="M15" s="13"/>
      <c r="N15" s="13"/>
    </row>
    <row r="16" spans="1:16" x14ac:dyDescent="0.25">
      <c r="L16" s="13"/>
      <c r="M16" s="13"/>
      <c r="N16" s="13"/>
    </row>
    <row r="17" spans="12:14" x14ac:dyDescent="0.25">
      <c r="L17" s="13"/>
      <c r="M17" s="13"/>
      <c r="N17" s="13"/>
    </row>
  </sheetData>
  <mergeCells count="7">
    <mergeCell ref="J15:K15"/>
    <mergeCell ref="A2:J2"/>
    <mergeCell ref="A4:A5"/>
    <mergeCell ref="B4:B5"/>
    <mergeCell ref="C4:C5"/>
    <mergeCell ref="D4:I4"/>
    <mergeCell ref="J4:K4"/>
  </mergeCells>
  <pageMargins left="0.7" right="0.7" top="0.75" bottom="0.75" header="0.3" footer="0.3"/>
  <pageSetup paperSize="9" scale="7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Q15"/>
  <sheetViews>
    <sheetView workbookViewId="0">
      <selection activeCell="F37" sqref="F37"/>
    </sheetView>
  </sheetViews>
  <sheetFormatPr baseColWidth="10" defaultColWidth="11.375" defaultRowHeight="12.25" x14ac:dyDescent="0.25"/>
  <cols>
    <col min="1" max="1" width="31.625" style="6" bestFit="1" customWidth="1"/>
    <col min="2" max="2" width="11.375" style="1" bestFit="1" customWidth="1"/>
    <col min="3" max="3" width="11.375" style="1" customWidth="1"/>
    <col min="4" max="4" width="13.375" style="1" bestFit="1" customWidth="1"/>
    <col min="5" max="5" width="14.375" style="1" customWidth="1"/>
    <col min="6" max="6" width="4.125" style="6" bestFit="1" customWidth="1"/>
    <col min="7" max="7" width="10.375" style="1" bestFit="1" customWidth="1"/>
    <col min="8" max="8" width="12.375" style="1" customWidth="1"/>
    <col min="9" max="9" width="10.375" style="1" bestFit="1" customWidth="1"/>
    <col min="10" max="10" width="18.625" style="1" bestFit="1" customWidth="1"/>
    <col min="11" max="11" width="14.375" style="1" customWidth="1"/>
    <col min="12" max="12" width="14.375" style="1" bestFit="1" customWidth="1"/>
    <col min="13" max="13" width="12.25" style="1" customWidth="1"/>
    <col min="14" max="14" width="14.375" style="1" bestFit="1" customWidth="1"/>
    <col min="15" max="15" width="13.375" style="1" bestFit="1" customWidth="1"/>
    <col min="16" max="16384" width="11.375" style="1"/>
  </cols>
  <sheetData>
    <row r="1" spans="1:17" x14ac:dyDescent="0.25">
      <c r="N1" s="269"/>
      <c r="O1" s="8"/>
    </row>
    <row r="2" spans="1:17" x14ac:dyDescent="0.25">
      <c r="A2" s="510" t="s">
        <v>143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f ca="1">TODAY()</f>
        <v>42435</v>
      </c>
      <c r="O2" s="63"/>
    </row>
    <row r="4" spans="1:17" s="2" customFormat="1" x14ac:dyDescent="0.2">
      <c r="A4" s="511" t="s">
        <v>2</v>
      </c>
      <c r="B4" s="513" t="s">
        <v>21</v>
      </c>
      <c r="C4" s="270" t="s">
        <v>144</v>
      </c>
      <c r="D4" s="513" t="s">
        <v>12</v>
      </c>
      <c r="E4" s="507" t="s">
        <v>4</v>
      </c>
      <c r="F4" s="508"/>
      <c r="G4" s="508"/>
      <c r="H4" s="508"/>
      <c r="I4" s="508"/>
      <c r="J4" s="509"/>
      <c r="K4" s="515" t="s">
        <v>13</v>
      </c>
      <c r="L4" s="513"/>
      <c r="O4" s="65"/>
      <c r="P4" s="65"/>
    </row>
    <row r="5" spans="1:17" s="13" customFormat="1" x14ac:dyDescent="0.2">
      <c r="A5" s="512"/>
      <c r="B5" s="514"/>
      <c r="C5" s="271"/>
      <c r="D5" s="5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7" s="120" customFormat="1" x14ac:dyDescent="0.25">
      <c r="A6" s="152" t="s">
        <v>51</v>
      </c>
      <c r="B6" s="192">
        <v>41094</v>
      </c>
      <c r="C6" s="192"/>
      <c r="D6" s="161">
        <v>9449.1</v>
      </c>
      <c r="E6" s="192"/>
      <c r="F6" s="161"/>
      <c r="G6" s="156"/>
      <c r="H6" s="272">
        <f>SUM(H7:H7)</f>
        <v>0</v>
      </c>
      <c r="I6" s="192"/>
      <c r="J6" s="159"/>
      <c r="K6" s="205">
        <f>SUM(K7:K7)</f>
        <v>0</v>
      </c>
      <c r="L6" s="205">
        <f>SUM(L7:L7)</f>
        <v>0</v>
      </c>
      <c r="M6" s="274">
        <f>D6-(H6+K6+L6)</f>
        <v>9449.1</v>
      </c>
      <c r="N6" s="13"/>
      <c r="O6" s="13"/>
      <c r="P6" s="201"/>
      <c r="Q6" s="245"/>
    </row>
    <row r="7" spans="1:17" s="282" customFormat="1" ht="36.700000000000003" x14ac:dyDescent="0.2">
      <c r="A7" s="275"/>
      <c r="B7" s="209"/>
      <c r="C7" s="276" t="s">
        <v>145</v>
      </c>
      <c r="D7" s="277">
        <f>E7/$D$6</f>
        <v>0</v>
      </c>
      <c r="E7" s="278"/>
      <c r="F7" s="262">
        <v>1</v>
      </c>
      <c r="G7" s="279"/>
      <c r="H7" s="278"/>
      <c r="I7" s="279"/>
      <c r="J7" s="262">
        <f ca="1">IF(I7="",$L$2-G7,I7-G7)</f>
        <v>42435</v>
      </c>
      <c r="K7" s="280" t="str">
        <f>IF(E7="en attente",G7,"")</f>
        <v/>
      </c>
      <c r="L7" s="280">
        <f>IF(G7="",E7-H7,0)</f>
        <v>0</v>
      </c>
      <c r="M7" s="281"/>
    </row>
    <row r="8" spans="1:17" s="120" customFormat="1" x14ac:dyDescent="0.25">
      <c r="A8" s="152"/>
      <c r="B8" s="192"/>
      <c r="C8" s="192"/>
      <c r="D8" s="161"/>
      <c r="E8" s="192"/>
      <c r="F8" s="161"/>
      <c r="G8" s="156"/>
      <c r="H8" s="272">
        <f>SUM(H9:H11)</f>
        <v>0</v>
      </c>
      <c r="I8" s="192"/>
      <c r="J8" s="159"/>
      <c r="K8" s="205">
        <f>SUM(K9:K11)</f>
        <v>0</v>
      </c>
      <c r="L8" s="205">
        <f>SUM(L9:L11)</f>
        <v>0</v>
      </c>
      <c r="M8" s="274">
        <f t="shared" ref="M8:M12" si="0">D8-(H8+K8+L8)</f>
        <v>0</v>
      </c>
      <c r="N8" s="13"/>
      <c r="O8" s="13"/>
      <c r="P8" s="201"/>
      <c r="Q8" s="245"/>
    </row>
    <row r="9" spans="1:17" s="26" customFormat="1" x14ac:dyDescent="0.25">
      <c r="A9" s="46"/>
      <c r="B9" s="29"/>
      <c r="C9" s="29"/>
      <c r="D9" s="121" t="e">
        <f>E9/$D$8</f>
        <v>#DIV/0!</v>
      </c>
      <c r="E9" s="23"/>
      <c r="F9" s="43">
        <v>1</v>
      </c>
      <c r="G9" s="15"/>
      <c r="H9" s="24"/>
      <c r="I9" s="31"/>
      <c r="J9" s="44">
        <f t="shared" ref="J9:J11" ca="1" si="1">IF(I9="",$L$2-G9,I9-G9)</f>
        <v>42435</v>
      </c>
      <c r="K9" s="83" t="str">
        <f t="shared" ref="K9:K11" si="2">IF(E9="en attente",G9,"")</f>
        <v/>
      </c>
      <c r="L9" s="83">
        <f t="shared" ref="L9:L11" si="3">IF(G9="",E9-H9,0)</f>
        <v>0</v>
      </c>
      <c r="M9" s="273"/>
      <c r="N9" s="13"/>
      <c r="O9" s="13"/>
    </row>
    <row r="10" spans="1:17" s="26" customFormat="1" x14ac:dyDescent="0.25">
      <c r="A10" s="46"/>
      <c r="B10" s="29"/>
      <c r="C10" s="29"/>
      <c r="D10" s="121" t="e">
        <f>E10/$D$8+D9</f>
        <v>#DIV/0!</v>
      </c>
      <c r="E10" s="23"/>
      <c r="F10" s="43">
        <v>2</v>
      </c>
      <c r="G10" s="15"/>
      <c r="H10" s="24"/>
      <c r="I10" s="31"/>
      <c r="J10" s="44">
        <f t="shared" ca="1" si="1"/>
        <v>42435</v>
      </c>
      <c r="K10" s="83" t="str">
        <f t="shared" si="2"/>
        <v/>
      </c>
      <c r="L10" s="83"/>
      <c r="M10" s="273"/>
      <c r="N10" s="13"/>
      <c r="O10" s="13"/>
    </row>
    <row r="11" spans="1:17" x14ac:dyDescent="0.25">
      <c r="A11" s="47"/>
      <c r="B11" s="15"/>
      <c r="C11" s="15"/>
      <c r="D11" s="121" t="e">
        <f>E11/$D$8+D10</f>
        <v>#DIV/0!</v>
      </c>
      <c r="E11" s="123"/>
      <c r="F11" s="43">
        <v>3</v>
      </c>
      <c r="G11" s="23"/>
      <c r="H11" s="24"/>
      <c r="I11" s="25"/>
      <c r="J11" s="44">
        <f t="shared" ca="1" si="1"/>
        <v>42435</v>
      </c>
      <c r="K11" s="83" t="str">
        <f t="shared" si="2"/>
        <v/>
      </c>
      <c r="L11" s="83">
        <f t="shared" si="3"/>
        <v>0</v>
      </c>
      <c r="M11" s="273"/>
      <c r="N11" s="13"/>
      <c r="O11" s="13"/>
    </row>
    <row r="12" spans="1:17" s="8" customFormat="1" x14ac:dyDescent="0.25">
      <c r="A12" s="50"/>
      <c r="B12" s="50"/>
      <c r="C12" s="50"/>
      <c r="D12" s="42">
        <f>D6+D8</f>
        <v>9449.1</v>
      </c>
      <c r="E12" s="42">
        <f>E6+E8</f>
        <v>0</v>
      </c>
      <c r="F12" s="51"/>
      <c r="G12" s="52"/>
      <c r="H12" s="42">
        <f>H6+H8</f>
        <v>0</v>
      </c>
      <c r="I12" s="52"/>
      <c r="J12" s="52"/>
      <c r="K12" s="42">
        <f>SUM(K6:K11)</f>
        <v>0</v>
      </c>
      <c r="L12" s="42">
        <f>L6+L8</f>
        <v>0</v>
      </c>
      <c r="M12" s="274">
        <f t="shared" si="0"/>
        <v>9449.1</v>
      </c>
      <c r="N12" s="13"/>
      <c r="O12" s="13"/>
    </row>
    <row r="13" spans="1:17" x14ac:dyDescent="0.25">
      <c r="A13" s="77"/>
      <c r="B13" s="78"/>
      <c r="C13" s="78"/>
      <c r="D13" s="78"/>
      <c r="E13" s="78"/>
      <c r="F13" s="77"/>
      <c r="G13" s="78"/>
      <c r="H13" s="78"/>
      <c r="I13" s="78"/>
      <c r="J13" s="54"/>
      <c r="K13" s="516">
        <f>SUM(K12:L12)</f>
        <v>0</v>
      </c>
      <c r="L13" s="517"/>
      <c r="M13" s="273"/>
      <c r="N13" s="13"/>
      <c r="O13" s="13"/>
    </row>
    <row r="14" spans="1:17" x14ac:dyDescent="0.25">
      <c r="M14" s="13"/>
      <c r="N14" s="13"/>
      <c r="O14" s="13"/>
    </row>
    <row r="15" spans="1:17" x14ac:dyDescent="0.25">
      <c r="M15" s="13"/>
      <c r="N15" s="13"/>
      <c r="O15" s="13"/>
    </row>
  </sheetData>
  <mergeCells count="7">
    <mergeCell ref="K13:L13"/>
    <mergeCell ref="A2:K2"/>
    <mergeCell ref="A4:A5"/>
    <mergeCell ref="B4:B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G20" sqref="G20"/>
    </sheetView>
  </sheetViews>
  <sheetFormatPr baseColWidth="10" defaultRowHeight="12.9" x14ac:dyDescent="0.2"/>
  <sheetData>
    <row r="1" spans="1:12" ht="13.6" x14ac:dyDescent="0.25">
      <c r="A1" s="510" t="s">
        <v>78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9">
        <f ca="1">TODAY()</f>
        <v>42435</v>
      </c>
    </row>
    <row r="2" spans="1:12" ht="13.6" x14ac:dyDescent="0.25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511" t="s">
        <v>2</v>
      </c>
      <c r="B3" s="511" t="s">
        <v>0</v>
      </c>
      <c r="C3" s="513" t="s">
        <v>21</v>
      </c>
      <c r="D3" s="513" t="s">
        <v>12</v>
      </c>
      <c r="E3" s="507" t="s">
        <v>4</v>
      </c>
      <c r="F3" s="508"/>
      <c r="G3" s="508"/>
      <c r="H3" s="508"/>
      <c r="I3" s="508"/>
      <c r="J3" s="509"/>
      <c r="K3" s="515" t="s">
        <v>13</v>
      </c>
      <c r="L3" s="513"/>
    </row>
    <row r="4" spans="1:12" x14ac:dyDescent="0.2">
      <c r="A4" s="512"/>
      <c r="B4" s="512"/>
      <c r="C4" s="514"/>
      <c r="D4" s="5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ht="13.6" x14ac:dyDescent="0.25">
      <c r="A5" s="46" t="s">
        <v>180</v>
      </c>
      <c r="B5" s="14"/>
      <c r="C5" s="31">
        <v>41631</v>
      </c>
      <c r="D5" s="16">
        <v>100000</v>
      </c>
      <c r="E5" s="17"/>
      <c r="F5" s="18"/>
      <c r="G5" s="19"/>
      <c r="H5" s="20"/>
      <c r="I5" s="21"/>
      <c r="J5" s="19"/>
      <c r="K5" s="22"/>
      <c r="L5" s="22"/>
    </row>
    <row r="6" spans="1:12" ht="13.6" x14ac:dyDescent="0.25">
      <c r="A6" s="47"/>
      <c r="B6" s="4"/>
      <c r="C6" s="15"/>
      <c r="D6" s="16"/>
      <c r="E6" s="23">
        <v>50000</v>
      </c>
      <c r="F6" s="43">
        <v>1</v>
      </c>
      <c r="G6" s="31">
        <v>41729</v>
      </c>
      <c r="H6" s="397" t="s">
        <v>182</v>
      </c>
      <c r="I6" s="31"/>
      <c r="J6" s="4">
        <f>I6-G6</f>
        <v>-41729</v>
      </c>
      <c r="K6" s="83">
        <v>50000</v>
      </c>
      <c r="L6" s="83">
        <f>IF(G6="",E6-H6,0)</f>
        <v>0</v>
      </c>
    </row>
    <row r="7" spans="1:12" ht="13.6" x14ac:dyDescent="0.25">
      <c r="A7" s="47"/>
      <c r="B7" s="4"/>
      <c r="C7" s="15"/>
      <c r="D7" s="16"/>
      <c r="E7" s="23">
        <v>50000</v>
      </c>
      <c r="F7" s="43"/>
      <c r="G7" s="15"/>
      <c r="H7" s="24"/>
      <c r="I7" s="31"/>
      <c r="J7" s="4"/>
      <c r="K7" s="83"/>
      <c r="L7" s="83">
        <v>50000</v>
      </c>
    </row>
    <row r="8" spans="1:12" ht="13.6" x14ac:dyDescent="0.25">
      <c r="A8" s="390" t="s">
        <v>181</v>
      </c>
      <c r="B8" s="59"/>
      <c r="C8" s="391">
        <v>41631</v>
      </c>
      <c r="D8" s="58">
        <v>100000</v>
      </c>
      <c r="E8" s="392"/>
      <c r="F8" s="393"/>
      <c r="G8" s="391"/>
      <c r="H8" s="394"/>
      <c r="I8" s="395"/>
      <c r="J8" s="59"/>
      <c r="K8" s="396"/>
      <c r="L8" s="396"/>
    </row>
    <row r="9" spans="1:12" ht="13.6" x14ac:dyDescent="0.25">
      <c r="A9" s="47"/>
      <c r="B9" s="4"/>
      <c r="C9" s="15"/>
      <c r="D9" s="16"/>
      <c r="E9" s="23">
        <v>50000</v>
      </c>
      <c r="F9" s="43">
        <v>1</v>
      </c>
      <c r="G9" s="15">
        <v>41729</v>
      </c>
      <c r="H9" s="398" t="s">
        <v>182</v>
      </c>
      <c r="I9" s="31"/>
      <c r="J9" s="4"/>
      <c r="K9" s="83">
        <v>50000</v>
      </c>
      <c r="L9" s="83"/>
    </row>
    <row r="10" spans="1:12" ht="13.6" x14ac:dyDescent="0.25">
      <c r="A10" s="47"/>
      <c r="B10" s="4"/>
      <c r="C10" s="15"/>
      <c r="D10" s="16"/>
      <c r="E10" s="23">
        <v>50000</v>
      </c>
      <c r="F10" s="43"/>
      <c r="G10" s="15"/>
      <c r="H10" s="24"/>
      <c r="I10" s="31"/>
      <c r="J10" s="4"/>
      <c r="K10" s="83">
        <f t="shared" ref="K10" si="0">+IF(G10="",0,E10-H10)</f>
        <v>0</v>
      </c>
      <c r="L10" s="83">
        <f t="shared" ref="L10" si="1">IF(G10="",E10-H10,0)</f>
        <v>50000</v>
      </c>
    </row>
    <row r="11" spans="1:12" ht="13.6" x14ac:dyDescent="0.25">
      <c r="A11" s="50"/>
      <c r="B11" s="50"/>
      <c r="C11" s="50"/>
      <c r="D11" s="42">
        <f>SUM(D5:D10)</f>
        <v>200000</v>
      </c>
      <c r="E11" s="42"/>
      <c r="F11" s="51"/>
      <c r="G11" s="52"/>
      <c r="H11" s="42">
        <f>SUM(H5:H10)</f>
        <v>0</v>
      </c>
      <c r="I11" s="52"/>
      <c r="J11" s="52"/>
      <c r="K11" s="42">
        <f>K6+K9</f>
        <v>100000</v>
      </c>
      <c r="L11" s="42">
        <f>SUM(L5:L10)</f>
        <v>100000</v>
      </c>
    </row>
    <row r="12" spans="1:12" ht="13.6" x14ac:dyDescent="0.25">
      <c r="A12" s="77"/>
      <c r="B12" s="78"/>
      <c r="C12" s="78"/>
      <c r="D12" s="78"/>
      <c r="E12" s="78"/>
      <c r="F12" s="77"/>
      <c r="G12" s="78"/>
      <c r="H12" s="78"/>
      <c r="I12" s="78"/>
      <c r="J12" s="54"/>
      <c r="K12" s="516">
        <f>SUM(K11:L11)</f>
        <v>200000</v>
      </c>
      <c r="L12" s="517"/>
    </row>
    <row r="13" spans="1:12" ht="13.6" x14ac:dyDescent="0.25">
      <c r="A13" s="6"/>
      <c r="B13" s="1"/>
      <c r="C13" s="1"/>
      <c r="D13" s="1"/>
      <c r="E13" s="1"/>
      <c r="F13" s="6"/>
      <c r="G13" s="1"/>
      <c r="H13" s="1"/>
      <c r="I13" s="1"/>
      <c r="J13" s="1"/>
      <c r="K13" s="1"/>
      <c r="L13" s="1"/>
    </row>
  </sheetData>
  <mergeCells count="8">
    <mergeCell ref="K12:L12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J21" sqref="J21"/>
    </sheetView>
  </sheetViews>
  <sheetFormatPr baseColWidth="10" defaultColWidth="11.375" defaultRowHeight="12.25" outlineLevelCol="1" x14ac:dyDescent="0.25"/>
  <cols>
    <col min="1" max="1" width="31.75" style="6" bestFit="1" customWidth="1"/>
    <col min="2" max="2" width="30.625" style="1" hidden="1" customWidth="1" outlineLevel="1"/>
    <col min="3" max="3" width="11.25" style="1" bestFit="1" customWidth="1" collapsed="1"/>
    <col min="4" max="4" width="13.625" style="1" bestFit="1" customWidth="1"/>
    <col min="5" max="5" width="14.625" style="1" customWidth="1"/>
    <col min="6" max="6" width="4.125" style="6" bestFit="1" customWidth="1"/>
    <col min="7" max="7" width="10.625" style="1" bestFit="1" customWidth="1"/>
    <col min="8" max="8" width="12.375" style="1" customWidth="1"/>
    <col min="9" max="9" width="10.625" style="1" bestFit="1" customWidth="1"/>
    <col min="10" max="10" width="18.75" style="1" bestFit="1" customWidth="1"/>
    <col min="11" max="11" width="14.625" style="1" customWidth="1"/>
    <col min="12" max="12" width="14.25" style="1" bestFit="1" customWidth="1"/>
    <col min="13" max="13" width="4.125" style="1" customWidth="1"/>
    <col min="14" max="14" width="14.625" style="1" bestFit="1" customWidth="1"/>
    <col min="15" max="15" width="13.625" style="1" bestFit="1" customWidth="1"/>
    <col min="16" max="16384" width="11.375" style="1"/>
  </cols>
  <sheetData>
    <row r="1" spans="1:16" x14ac:dyDescent="0.25">
      <c r="N1" s="333"/>
      <c r="O1" s="8"/>
    </row>
    <row r="2" spans="1:16" x14ac:dyDescent="0.25">
      <c r="A2" s="510" t="s">
        <v>160</v>
      </c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9">
        <v>42155</v>
      </c>
      <c r="O2" s="63"/>
    </row>
    <row r="4" spans="1:16" s="13" customFormat="1" ht="12.25" customHeight="1" x14ac:dyDescent="0.2">
      <c r="A4" s="518" t="s">
        <v>2</v>
      </c>
      <c r="B4" s="518" t="s">
        <v>0</v>
      </c>
      <c r="C4" s="518" t="s">
        <v>21</v>
      </c>
      <c r="D4" s="518" t="s">
        <v>12</v>
      </c>
      <c r="E4" s="520" t="s">
        <v>4</v>
      </c>
      <c r="F4" s="521"/>
      <c r="G4" s="521"/>
      <c r="H4" s="521"/>
      <c r="I4" s="521"/>
      <c r="J4" s="522"/>
      <c r="K4" s="520" t="s">
        <v>13</v>
      </c>
      <c r="L4" s="522"/>
      <c r="O4" s="334"/>
      <c r="P4" s="334"/>
    </row>
    <row r="5" spans="1:16" s="13" customFormat="1" x14ac:dyDescent="0.2">
      <c r="A5" s="519"/>
      <c r="B5" s="519"/>
      <c r="C5" s="519"/>
      <c r="D5" s="519"/>
      <c r="E5" s="335" t="s">
        <v>1</v>
      </c>
      <c r="F5" s="336" t="s">
        <v>3</v>
      </c>
      <c r="G5" s="336" t="s">
        <v>15</v>
      </c>
      <c r="H5" s="337" t="s">
        <v>14</v>
      </c>
      <c r="I5" s="335" t="s">
        <v>15</v>
      </c>
      <c r="J5" s="336" t="s">
        <v>18</v>
      </c>
      <c r="K5" s="338" t="s">
        <v>20</v>
      </c>
      <c r="L5" s="338" t="s">
        <v>19</v>
      </c>
    </row>
    <row r="6" spans="1:16" x14ac:dyDescent="0.25">
      <c r="A6" s="418" t="s">
        <v>68</v>
      </c>
      <c r="B6" s="419"/>
      <c r="C6" s="415">
        <v>40203</v>
      </c>
      <c r="D6" s="420">
        <v>161331.72</v>
      </c>
      <c r="E6" s="421"/>
      <c r="F6" s="422"/>
      <c r="G6" s="423"/>
      <c r="H6" s="424"/>
      <c r="I6" s="425"/>
      <c r="J6" s="423"/>
      <c r="K6" s="426"/>
      <c r="L6" s="426"/>
    </row>
    <row r="7" spans="1:16" s="26" customFormat="1" x14ac:dyDescent="0.25">
      <c r="A7" s="418" t="s">
        <v>161</v>
      </c>
      <c r="B7" s="427"/>
      <c r="C7" s="413"/>
      <c r="D7" s="420"/>
      <c r="E7" s="411">
        <v>32266.34</v>
      </c>
      <c r="F7" s="412">
        <v>1</v>
      </c>
      <c r="G7" s="415">
        <v>40408</v>
      </c>
      <c r="H7" s="411">
        <f>+E7</f>
        <v>32266.34</v>
      </c>
      <c r="I7" s="415">
        <v>40449</v>
      </c>
      <c r="J7" s="416">
        <f>IF(I7="",$L$2-G7,I7-G7)</f>
        <v>41</v>
      </c>
      <c r="K7" s="417">
        <f>+IF(G7="",0,E7-H7)</f>
        <v>0</v>
      </c>
      <c r="L7" s="417">
        <f>IF(G7="",E7-H7,0)</f>
        <v>0</v>
      </c>
      <c r="N7" s="27"/>
      <c r="O7" s="27"/>
    </row>
    <row r="8" spans="1:16" s="26" customFormat="1" x14ac:dyDescent="0.25">
      <c r="A8" s="408"/>
      <c r="B8" s="427"/>
      <c r="C8" s="413"/>
      <c r="D8" s="420"/>
      <c r="E8" s="411">
        <v>129065.38</v>
      </c>
      <c r="F8" s="412">
        <v>2</v>
      </c>
      <c r="G8" s="413">
        <v>42292</v>
      </c>
      <c r="H8" s="411">
        <v>102373.48</v>
      </c>
      <c r="I8" s="415">
        <v>42341</v>
      </c>
      <c r="J8" s="416"/>
      <c r="K8" s="417" t="str">
        <f>IF(H8="en attente",E8,"")</f>
        <v/>
      </c>
      <c r="L8" s="417">
        <f t="shared" ref="L8:L14" si="0">IF(G8="",E8-H8,0)</f>
        <v>0</v>
      </c>
      <c r="N8" s="27"/>
      <c r="O8" s="27"/>
    </row>
    <row r="9" spans="1:16" s="26" customFormat="1" x14ac:dyDescent="0.25">
      <c r="A9" s="408"/>
      <c r="B9" s="427"/>
      <c r="C9" s="413"/>
      <c r="D9" s="420"/>
      <c r="E9" s="411"/>
      <c r="F9" s="412"/>
      <c r="G9" s="413"/>
      <c r="H9" s="414"/>
      <c r="I9" s="415"/>
      <c r="J9" s="416"/>
      <c r="K9" s="417" t="str">
        <f t="shared" ref="K9:K14" si="1">IF(H9="en attente",E9,"")</f>
        <v/>
      </c>
      <c r="L9" s="417">
        <f t="shared" si="0"/>
        <v>0</v>
      </c>
      <c r="N9" s="339"/>
      <c r="O9" s="27"/>
    </row>
    <row r="10" spans="1:16" s="26" customFormat="1" x14ac:dyDescent="0.25">
      <c r="A10" s="418" t="s">
        <v>68</v>
      </c>
      <c r="B10" s="427"/>
      <c r="C10" s="413">
        <v>40329</v>
      </c>
      <c r="D10" s="420">
        <v>189240.94</v>
      </c>
      <c r="E10" s="411"/>
      <c r="F10" s="412"/>
      <c r="G10" s="413"/>
      <c r="H10" s="414"/>
      <c r="I10" s="428"/>
      <c r="J10" s="416"/>
      <c r="K10" s="417" t="str">
        <f t="shared" si="1"/>
        <v/>
      </c>
      <c r="L10" s="417">
        <f t="shared" si="0"/>
        <v>0</v>
      </c>
      <c r="N10" s="27"/>
      <c r="O10" s="27"/>
    </row>
    <row r="11" spans="1:16" s="26" customFormat="1" x14ac:dyDescent="0.25">
      <c r="A11" s="418" t="s">
        <v>162</v>
      </c>
      <c r="B11" s="429"/>
      <c r="C11" s="409"/>
      <c r="D11" s="430"/>
      <c r="E11" s="411">
        <v>37848.19</v>
      </c>
      <c r="F11" s="412">
        <v>1</v>
      </c>
      <c r="G11" s="415">
        <v>40408</v>
      </c>
      <c r="H11" s="411">
        <f>+E11</f>
        <v>37848.19</v>
      </c>
      <c r="I11" s="415">
        <v>40449</v>
      </c>
      <c r="J11" s="416">
        <f t="shared" ref="J11" si="2">IF(I11="",$L$2-G11,I11-G11)</f>
        <v>41</v>
      </c>
      <c r="K11" s="417" t="str">
        <f t="shared" si="1"/>
        <v/>
      </c>
      <c r="L11" s="417">
        <f t="shared" si="0"/>
        <v>0</v>
      </c>
      <c r="N11" s="27"/>
    </row>
    <row r="12" spans="1:16" s="26" customFormat="1" x14ac:dyDescent="0.25">
      <c r="A12" s="418"/>
      <c r="B12" s="429"/>
      <c r="C12" s="409"/>
      <c r="D12" s="430"/>
      <c r="E12" s="411">
        <v>151392.75</v>
      </c>
      <c r="F12" s="412">
        <v>2</v>
      </c>
      <c r="G12" s="413">
        <v>42292</v>
      </c>
      <c r="H12" s="414">
        <v>52579.55</v>
      </c>
      <c r="I12" s="415">
        <v>42353</v>
      </c>
      <c r="J12" s="416"/>
      <c r="K12" s="417" t="str">
        <f t="shared" si="1"/>
        <v/>
      </c>
      <c r="L12" s="417">
        <f t="shared" si="0"/>
        <v>0</v>
      </c>
      <c r="N12" s="27"/>
    </row>
    <row r="13" spans="1:16" x14ac:dyDescent="0.25">
      <c r="A13" s="408"/>
      <c r="B13" s="431"/>
      <c r="C13" s="413"/>
      <c r="D13" s="420"/>
      <c r="E13" s="411"/>
      <c r="F13" s="412"/>
      <c r="G13" s="414"/>
      <c r="H13" s="411"/>
      <c r="I13" s="428"/>
      <c r="J13" s="416"/>
      <c r="K13" s="417" t="str">
        <f t="shared" si="1"/>
        <v/>
      </c>
      <c r="L13" s="417">
        <f t="shared" si="0"/>
        <v>0</v>
      </c>
      <c r="N13" s="26"/>
    </row>
    <row r="14" spans="1:16" x14ac:dyDescent="0.25">
      <c r="A14" s="408"/>
      <c r="B14" s="427"/>
      <c r="C14" s="413"/>
      <c r="D14" s="420"/>
      <c r="E14" s="411"/>
      <c r="F14" s="412"/>
      <c r="G14" s="413"/>
      <c r="H14" s="414"/>
      <c r="I14" s="415"/>
      <c r="J14" s="427"/>
      <c r="K14" s="417" t="str">
        <f t="shared" si="1"/>
        <v/>
      </c>
      <c r="L14" s="417">
        <f t="shared" si="0"/>
        <v>0</v>
      </c>
      <c r="N14" s="27"/>
      <c r="O14" s="27"/>
    </row>
    <row r="15" spans="1:16" s="8" customFormat="1" ht="16.5" customHeight="1" x14ac:dyDescent="0.25">
      <c r="A15" s="50"/>
      <c r="B15" s="50"/>
      <c r="C15" s="50"/>
      <c r="D15" s="42">
        <f>SUM(D6:D14)</f>
        <v>350572.66000000003</v>
      </c>
      <c r="E15" s="42">
        <f>SUM(E7:E14)</f>
        <v>350572.66000000003</v>
      </c>
      <c r="F15" s="51"/>
      <c r="G15" s="52"/>
      <c r="H15" s="42">
        <f>SUM(H6:H14)</f>
        <v>225067.56</v>
      </c>
      <c r="I15" s="52"/>
      <c r="J15" s="52"/>
      <c r="K15" s="42">
        <f>SUM(K6:K14)</f>
        <v>0</v>
      </c>
      <c r="L15" s="42">
        <f>SUM(L6:L14)</f>
        <v>0</v>
      </c>
      <c r="N15" s="20"/>
      <c r="O15" s="20"/>
    </row>
    <row r="16" spans="1:16" ht="16.5" customHeight="1" x14ac:dyDescent="0.25">
      <c r="A16" s="77"/>
      <c r="B16" s="78"/>
      <c r="C16" s="78"/>
      <c r="D16" s="78"/>
      <c r="E16" s="78"/>
      <c r="F16" s="77"/>
      <c r="G16" s="78"/>
      <c r="H16" s="78"/>
      <c r="I16" s="78"/>
      <c r="J16" s="54"/>
      <c r="K16" s="504">
        <f>SUM(K15:L15)</f>
        <v>0</v>
      </c>
      <c r="L16" s="505"/>
    </row>
    <row r="18" spans="1:1" s="1" customFormat="1" x14ac:dyDescent="0.25">
      <c r="A18" s="8"/>
    </row>
    <row r="19" spans="1:1" s="1" customFormat="1" x14ac:dyDescent="0.25">
      <c r="A19" s="27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H6" sqref="H6"/>
    </sheetView>
  </sheetViews>
  <sheetFormatPr baseColWidth="10" defaultRowHeight="12.9" x14ac:dyDescent="0.2"/>
  <cols>
    <col min="10" max="10" width="16.875" customWidth="1"/>
  </cols>
  <sheetData>
    <row r="1" spans="1:12" ht="13.6" x14ac:dyDescent="0.25">
      <c r="A1" s="510" t="s">
        <v>183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9">
        <f ca="1">TODAY()</f>
        <v>42435</v>
      </c>
    </row>
    <row r="2" spans="1:12" ht="13.6" x14ac:dyDescent="0.25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511" t="s">
        <v>2</v>
      </c>
      <c r="B3" s="511" t="s">
        <v>0</v>
      </c>
      <c r="C3" s="513" t="s">
        <v>21</v>
      </c>
      <c r="D3" s="513" t="s">
        <v>12</v>
      </c>
      <c r="E3" s="507" t="s">
        <v>4</v>
      </c>
      <c r="F3" s="508"/>
      <c r="G3" s="508"/>
      <c r="H3" s="508"/>
      <c r="I3" s="508"/>
      <c r="J3" s="509"/>
      <c r="K3" s="515" t="s">
        <v>13</v>
      </c>
      <c r="L3" s="513"/>
    </row>
    <row r="4" spans="1:12" x14ac:dyDescent="0.2">
      <c r="A4" s="512"/>
      <c r="B4" s="512"/>
      <c r="C4" s="514"/>
      <c r="D4" s="5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ht="13.6" x14ac:dyDescent="0.25">
      <c r="A5" s="46" t="s">
        <v>184</v>
      </c>
      <c r="B5" s="14"/>
      <c r="C5" s="31">
        <v>42068</v>
      </c>
      <c r="D5" s="22">
        <v>162750</v>
      </c>
      <c r="E5" s="17"/>
      <c r="F5" s="18"/>
      <c r="G5" s="19"/>
      <c r="H5" s="20"/>
      <c r="I5" s="21"/>
      <c r="J5" s="19"/>
      <c r="K5" s="22"/>
      <c r="L5" s="22"/>
    </row>
    <row r="6" spans="1:12" ht="13.6" x14ac:dyDescent="0.25">
      <c r="A6" s="47"/>
      <c r="B6" s="4" t="s">
        <v>127</v>
      </c>
      <c r="C6" s="15"/>
      <c r="D6" s="121">
        <v>0.5</v>
      </c>
      <c r="E6" s="23">
        <v>81375</v>
      </c>
      <c r="F6" s="43">
        <v>1</v>
      </c>
      <c r="G6" s="31">
        <v>42353</v>
      </c>
      <c r="H6" s="23">
        <v>81375</v>
      </c>
      <c r="I6" s="31">
        <v>42415</v>
      </c>
      <c r="J6" s="4"/>
      <c r="K6" s="83">
        <v>81375</v>
      </c>
      <c r="L6" s="83">
        <f>IF(G6="",E6-H6,0)</f>
        <v>0</v>
      </c>
    </row>
    <row r="7" spans="1:12" ht="13.6" x14ac:dyDescent="0.25">
      <c r="A7" s="47"/>
      <c r="B7" s="4"/>
      <c r="C7" s="15"/>
      <c r="D7" s="121">
        <v>0.5</v>
      </c>
      <c r="E7" s="23">
        <v>81375</v>
      </c>
      <c r="F7" s="43"/>
      <c r="G7" s="15"/>
      <c r="H7" s="24"/>
      <c r="I7" s="31"/>
      <c r="J7" s="4"/>
      <c r="K7" s="83">
        <f t="shared" ref="K7" si="0">+IF(G7="",0,E7-H7)</f>
        <v>0</v>
      </c>
      <c r="L7" s="83">
        <f t="shared" ref="L7" si="1">IF(G7="",E7-H7,0)</f>
        <v>81375</v>
      </c>
    </row>
    <row r="8" spans="1:12" ht="13.6" x14ac:dyDescent="0.25">
      <c r="A8" s="47"/>
      <c r="B8" s="4"/>
      <c r="C8" s="15"/>
      <c r="D8" s="121"/>
      <c r="E8" s="23"/>
      <c r="F8" s="43"/>
      <c r="G8" s="15"/>
      <c r="H8" s="24"/>
      <c r="I8" s="31"/>
      <c r="J8" s="4"/>
      <c r="K8" s="83"/>
      <c r="L8" s="83"/>
    </row>
    <row r="9" spans="1:12" ht="13.6" x14ac:dyDescent="0.25">
      <c r="A9" s="46" t="s">
        <v>186</v>
      </c>
      <c r="B9" s="4"/>
      <c r="C9" s="15">
        <v>41338</v>
      </c>
      <c r="D9" s="22">
        <v>55743.18</v>
      </c>
      <c r="E9" s="23"/>
      <c r="F9" s="43"/>
      <c r="G9" s="15"/>
      <c r="H9" s="24"/>
      <c r="I9" s="31"/>
      <c r="J9" s="4"/>
      <c r="K9" s="83"/>
      <c r="L9" s="83"/>
    </row>
    <row r="10" spans="1:12" ht="13.6" x14ac:dyDescent="0.25">
      <c r="A10" s="47"/>
      <c r="B10" s="4" t="s">
        <v>127</v>
      </c>
      <c r="C10" s="15"/>
      <c r="D10" s="121">
        <v>0.5</v>
      </c>
      <c r="E10" s="23">
        <v>27871.79</v>
      </c>
      <c r="F10" s="43">
        <v>1</v>
      </c>
      <c r="G10" s="15">
        <v>41975</v>
      </c>
      <c r="H10" s="398" t="s">
        <v>182</v>
      </c>
      <c r="I10" s="31"/>
      <c r="J10" s="4"/>
      <c r="K10" s="83">
        <v>27871.79</v>
      </c>
      <c r="L10" s="83"/>
    </row>
    <row r="11" spans="1:12" ht="13.6" x14ac:dyDescent="0.25">
      <c r="A11" s="47"/>
      <c r="B11" s="4"/>
      <c r="C11" s="15"/>
      <c r="D11" s="121">
        <v>0.5</v>
      </c>
      <c r="E11" s="23">
        <v>27871.79</v>
      </c>
      <c r="F11" s="43"/>
      <c r="G11" s="15"/>
      <c r="H11" s="24"/>
      <c r="I11" s="31"/>
      <c r="J11" s="4"/>
      <c r="K11" s="83"/>
      <c r="L11" s="83">
        <v>27871.79</v>
      </c>
    </row>
    <row r="12" spans="1:12" ht="13.6" x14ac:dyDescent="0.25">
      <c r="A12" s="47"/>
      <c r="B12" s="4"/>
      <c r="C12" s="15"/>
      <c r="D12" s="121"/>
      <c r="E12" s="23"/>
      <c r="F12" s="43"/>
      <c r="G12" s="15"/>
      <c r="H12" s="24"/>
      <c r="I12" s="31"/>
      <c r="J12" s="4"/>
      <c r="K12" s="83"/>
      <c r="L12" s="83"/>
    </row>
    <row r="13" spans="1:12" ht="13.6" x14ac:dyDescent="0.25">
      <c r="A13" s="46" t="s">
        <v>133</v>
      </c>
      <c r="B13" s="4"/>
      <c r="C13" s="15">
        <v>42068</v>
      </c>
      <c r="D13" s="399">
        <v>292222.2</v>
      </c>
      <c r="E13" s="23"/>
      <c r="F13" s="43"/>
      <c r="G13" s="15"/>
      <c r="H13" s="24"/>
      <c r="I13" s="31"/>
      <c r="J13" s="4"/>
      <c r="K13" s="83"/>
      <c r="L13" s="83"/>
    </row>
    <row r="14" spans="1:12" ht="13.6" x14ac:dyDescent="0.25">
      <c r="A14" s="46"/>
      <c r="B14" s="4" t="s">
        <v>127</v>
      </c>
      <c r="C14" s="15"/>
      <c r="D14" s="121">
        <v>0.5</v>
      </c>
      <c r="E14" s="23">
        <f>D13/2</f>
        <v>146111.1</v>
      </c>
      <c r="F14" s="43"/>
      <c r="G14" s="15"/>
      <c r="H14" s="24"/>
      <c r="I14" s="31"/>
      <c r="J14" s="4"/>
      <c r="K14" s="83"/>
      <c r="L14" s="83">
        <v>146111.1</v>
      </c>
    </row>
    <row r="15" spans="1:12" ht="13.6" x14ac:dyDescent="0.25">
      <c r="A15" s="47"/>
      <c r="B15" s="4"/>
      <c r="C15" s="15"/>
      <c r="D15" s="121">
        <v>0.5</v>
      </c>
      <c r="E15" s="23">
        <f>D13/2</f>
        <v>146111.1</v>
      </c>
      <c r="F15" s="43"/>
      <c r="G15" s="15"/>
      <c r="H15" s="24"/>
      <c r="I15" s="31"/>
      <c r="J15" s="4"/>
      <c r="K15" s="83"/>
      <c r="L15" s="83">
        <v>146111.1</v>
      </c>
    </row>
    <row r="16" spans="1:12" ht="13.6" x14ac:dyDescent="0.25">
      <c r="A16" s="47"/>
      <c r="B16" s="4"/>
      <c r="C16" s="15"/>
      <c r="D16" s="121"/>
      <c r="E16" s="23"/>
      <c r="F16" s="43"/>
      <c r="G16" s="15"/>
      <c r="H16" s="24"/>
      <c r="I16" s="31"/>
      <c r="J16" s="4"/>
      <c r="K16" s="83"/>
      <c r="L16" s="83"/>
    </row>
    <row r="17" spans="1:15" ht="13.6" x14ac:dyDescent="0.25">
      <c r="A17" s="50"/>
      <c r="B17" s="50"/>
      <c r="C17" s="50"/>
      <c r="D17" s="42">
        <f>D5+D9+D13</f>
        <v>510715.38</v>
      </c>
      <c r="E17" s="42"/>
      <c r="F17" s="51"/>
      <c r="G17" s="52"/>
      <c r="H17" s="42">
        <f>SUM(H6:H16)</f>
        <v>81375</v>
      </c>
      <c r="I17" s="52"/>
      <c r="J17" s="52"/>
      <c r="K17" s="42">
        <f>SUM(K6:K16)</f>
        <v>109246.79000000001</v>
      </c>
      <c r="L17" s="42">
        <f>SUM(L5:L16)</f>
        <v>401468.99</v>
      </c>
      <c r="O17" s="285"/>
    </row>
    <row r="18" spans="1:15" ht="13.6" x14ac:dyDescent="0.25">
      <c r="A18" s="77"/>
      <c r="B18" s="78"/>
      <c r="C18" s="78"/>
      <c r="D18" s="78"/>
      <c r="E18" s="78"/>
      <c r="F18" s="77"/>
      <c r="G18" s="78"/>
      <c r="H18" s="78"/>
      <c r="I18" s="78"/>
      <c r="J18" s="54"/>
      <c r="K18" s="516">
        <f>SUM(K17:L17)</f>
        <v>510715.78</v>
      </c>
      <c r="L18" s="517"/>
    </row>
  </sheetData>
  <mergeCells count="8">
    <mergeCell ref="K18:L18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A5" sqref="A5:L7"/>
    </sheetView>
  </sheetViews>
  <sheetFormatPr baseColWidth="10" defaultRowHeight="12.9" x14ac:dyDescent="0.2"/>
  <sheetData>
    <row r="1" spans="1:12" ht="13.6" x14ac:dyDescent="0.25">
      <c r="A1" s="510" t="s">
        <v>179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9">
        <f ca="1">TODAY()</f>
        <v>42435</v>
      </c>
    </row>
    <row r="2" spans="1:12" ht="13.6" x14ac:dyDescent="0.25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511" t="s">
        <v>2</v>
      </c>
      <c r="B3" s="511" t="s">
        <v>0</v>
      </c>
      <c r="C3" s="513" t="s">
        <v>21</v>
      </c>
      <c r="D3" s="513" t="s">
        <v>12</v>
      </c>
      <c r="E3" s="507" t="s">
        <v>4</v>
      </c>
      <c r="F3" s="508"/>
      <c r="G3" s="508"/>
      <c r="H3" s="508"/>
      <c r="I3" s="508"/>
      <c r="J3" s="509"/>
      <c r="K3" s="515" t="s">
        <v>13</v>
      </c>
      <c r="L3" s="513"/>
    </row>
    <row r="4" spans="1:12" x14ac:dyDescent="0.2">
      <c r="A4" s="512"/>
      <c r="B4" s="512"/>
      <c r="C4" s="514"/>
      <c r="D4" s="5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ht="13.6" x14ac:dyDescent="0.25">
      <c r="A5" s="418" t="s">
        <v>68</v>
      </c>
      <c r="B5" s="419"/>
      <c r="C5" s="415"/>
      <c r="D5" s="420">
        <v>1085000</v>
      </c>
      <c r="E5" s="421"/>
      <c r="F5" s="422"/>
      <c r="G5" s="423"/>
      <c r="H5" s="424"/>
      <c r="I5" s="425"/>
      <c r="J5" s="423"/>
      <c r="K5" s="426"/>
      <c r="L5" s="426"/>
    </row>
    <row r="6" spans="1:12" ht="13.6" x14ac:dyDescent="0.25">
      <c r="A6" s="408"/>
      <c r="B6" s="427"/>
      <c r="C6" s="413"/>
      <c r="D6" s="420"/>
      <c r="E6" s="411">
        <v>1085000</v>
      </c>
      <c r="F6" s="412">
        <v>1</v>
      </c>
      <c r="G6" s="415">
        <v>42074</v>
      </c>
      <c r="H6" s="411">
        <v>1085000</v>
      </c>
      <c r="I6" s="415">
        <v>42339</v>
      </c>
      <c r="J6" s="427">
        <f>I6-G6</f>
        <v>265</v>
      </c>
      <c r="K6" s="417">
        <f>+IF(G6="",0,E6-H6)</f>
        <v>0</v>
      </c>
      <c r="L6" s="417">
        <f>IF(G6="",E6-H6,0)</f>
        <v>0</v>
      </c>
    </row>
    <row r="7" spans="1:12" ht="13.6" x14ac:dyDescent="0.25">
      <c r="A7" s="408"/>
      <c r="B7" s="427"/>
      <c r="C7" s="413"/>
      <c r="D7" s="420"/>
      <c r="E7" s="411"/>
      <c r="F7" s="412"/>
      <c r="G7" s="413"/>
      <c r="H7" s="414"/>
      <c r="I7" s="415"/>
      <c r="J7" s="427"/>
      <c r="K7" s="417">
        <f t="shared" ref="K7" si="0">+IF(G7="",0,E7-H7)</f>
        <v>0</v>
      </c>
      <c r="L7" s="417">
        <f t="shared" ref="L7" si="1">IF(G7="",E7-H7,0)</f>
        <v>0</v>
      </c>
    </row>
    <row r="8" spans="1:12" ht="13.6" x14ac:dyDescent="0.25">
      <c r="A8" s="50"/>
      <c r="B8" s="50"/>
      <c r="C8" s="50"/>
      <c r="D8" s="42">
        <f>SUM(D5:D7)</f>
        <v>1085000</v>
      </c>
      <c r="E8" s="42"/>
      <c r="F8" s="51"/>
      <c r="G8" s="52"/>
      <c r="H8" s="42">
        <f>SUM(H5:H7)</f>
        <v>1085000</v>
      </c>
      <c r="I8" s="52"/>
      <c r="J8" s="52"/>
      <c r="K8" s="42">
        <f>SUM(K5:K7)-K6</f>
        <v>0</v>
      </c>
      <c r="L8" s="42">
        <f>SUM(L5:L7)</f>
        <v>0</v>
      </c>
    </row>
    <row r="9" spans="1:12" ht="13.6" x14ac:dyDescent="0.25">
      <c r="A9" s="77"/>
      <c r="B9" s="78"/>
      <c r="C9" s="78"/>
      <c r="D9" s="78"/>
      <c r="E9" s="78"/>
      <c r="F9" s="77"/>
      <c r="G9" s="78"/>
      <c r="H9" s="78"/>
      <c r="I9" s="78"/>
      <c r="J9" s="54"/>
      <c r="K9" s="516">
        <f>SUM(K8:L8)</f>
        <v>0</v>
      </c>
      <c r="L9" s="517"/>
    </row>
    <row r="10" spans="1:12" ht="13.6" x14ac:dyDescent="0.25">
      <c r="A10" s="6"/>
      <c r="B10" s="1"/>
      <c r="C10" s="1"/>
      <c r="D10" s="1"/>
      <c r="E10" s="1"/>
      <c r="F10" s="6"/>
      <c r="G10" s="1"/>
      <c r="H10" s="1"/>
      <c r="I10" s="1"/>
      <c r="J10" s="1"/>
      <c r="K10" s="1"/>
      <c r="L10" s="1"/>
    </row>
  </sheetData>
  <mergeCells count="8">
    <mergeCell ref="K9:L9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7</vt:i4>
      </vt:variant>
    </vt:vector>
  </HeadingPairs>
  <TitlesOfParts>
    <vt:vector size="24" baseType="lpstr">
      <vt:lpstr>SYNTHESE</vt:lpstr>
      <vt:lpstr>ST LEU</vt:lpstr>
      <vt:lpstr>LBU DEAL</vt:lpstr>
      <vt:lpstr>FRAFU DEAL</vt:lpstr>
      <vt:lpstr>CAF</vt:lpstr>
      <vt:lpstr>FEDER</vt:lpstr>
      <vt:lpstr>REGION</vt:lpstr>
      <vt:lpstr>DIECCTE</vt:lpstr>
      <vt:lpstr>CILGERE</vt:lpstr>
      <vt:lpstr>TCO</vt:lpstr>
      <vt:lpstr>ADEME</vt:lpstr>
      <vt:lpstr>PETITE ILE</vt:lpstr>
      <vt:lpstr>EDF</vt:lpstr>
      <vt:lpstr>cilgère</vt:lpstr>
      <vt:lpstr>OFFICE DE L'EAU</vt:lpstr>
      <vt:lpstr>ST JOSEPH</vt:lpstr>
      <vt:lpstr>ETANG-SALE</vt:lpstr>
      <vt:lpstr>DateAF</vt:lpstr>
      <vt:lpstr>'ST LEU'!Impression_des_titres</vt:lpstr>
      <vt:lpstr>MontantAF</vt:lpstr>
      <vt:lpstr>CAF!Zone_d_impression</vt:lpstr>
      <vt:lpstr>'FRAFU DEAL'!Zone_d_impression</vt:lpstr>
      <vt:lpstr>'LBU DEAL'!Zone_d_impression</vt:lpstr>
      <vt:lpstr>'ST LEU'!Zone_d_impression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2015-07-06T06:00:31Z</cp:lastPrinted>
  <dcterms:created xsi:type="dcterms:W3CDTF">2011-03-18T06:22:23Z</dcterms:created>
  <dcterms:modified xsi:type="dcterms:W3CDTF">2016-03-06T14:30:19Z</dcterms:modified>
</cp:coreProperties>
</file>