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0" yWindow="0" windowWidth="10215" windowHeight="300" tabRatio="528" activeTab="1"/>
  </bookViews>
  <sheets>
    <sheet name="SYNTHESE" sheetId="26" r:id="rId1"/>
    <sheet name="Données initiales" sheetId="1" r:id="rId2"/>
  </sheets>
  <externalReferences>
    <externalReference r:id="rId3"/>
    <externalReference r:id="rId4"/>
    <externalReference r:id="rId5"/>
  </externalReferences>
  <definedNames>
    <definedName name="_xlnm._FilterDatabase" localSheetId="1" hidden="1">'Données initiales'!$A$1:$IF$135</definedName>
    <definedName name="_NH2011">'[1]Mensuel Rem'!$AI$3:$AI$64</definedName>
    <definedName name="_NH2012">'[1]Mensuel Rem'!$BK$3:$BK$64</definedName>
    <definedName name="_Rem2010">#REF!</definedName>
    <definedName name="_Rem2011">#REF!</definedName>
    <definedName name="_Rem2012">#REF!</definedName>
    <definedName name="_Rem2013">#REF!</definedName>
    <definedName name="_Rem2014">#REF!</definedName>
    <definedName name="_RO2010">#REF!</definedName>
    <definedName name="_RO2011">#REF!</definedName>
    <definedName name="_RO2012">#REF!</definedName>
    <definedName name="_RO2013">#REF!</definedName>
    <definedName name="_RO2014">#REF!</definedName>
    <definedName name="Annee_Inaug">'Données initiales'!$FB$2:$FB$134</definedName>
    <definedName name="Annee_OS">'Données initiales'!$DN$2:$DN$134</definedName>
    <definedName name="Arrangeur">'Données initiales'!#REF!</definedName>
    <definedName name="Arrêté_LBU">'Données initiales'!$BI$2:$BI$134</definedName>
    <definedName name="Ass">'Données initiales'!$H$2:$H$134</definedName>
    <definedName name="AUTRES_SUB">'Données initiales'!$HF$2:$HF$134</definedName>
    <definedName name="Avancement">'Données initiales'!$I$2:$I$134</definedName>
    <definedName name="Avct">#REF!</definedName>
    <definedName name="Bdgt">'Données initiales'!#REF!</definedName>
    <definedName name="Bdgt2010">#REF!</definedName>
    <definedName name="Bdgt2011">#REF!</definedName>
    <definedName name="Bdgt2012">#REF!</definedName>
    <definedName name="Bdgt2013">#REF!</definedName>
    <definedName name="Bdgt2014">#REF!</definedName>
    <definedName name="CAF">'Données initiales'!$HB$2:$HB$134</definedName>
    <definedName name="CI">'Données initiales'!$GS$2:$GS$134</definedName>
    <definedName name="Dde_prêt">'Données initiales'!$BM$2:$BM$134</definedName>
    <definedName name="Délai_prêt">'Données initiales'!$BN$2:$BN$134</definedName>
    <definedName name="Ecart_DEAL_OS">'Données initiales'!$DO$2:$DO$134</definedName>
    <definedName name="Fonds_propres">'Données initiales'!$HQ$2:$HQ$134</definedName>
    <definedName name="HonoS">'Données initiales'!#REF!</definedName>
    <definedName name="_xlnm.Print_Titles" localSheetId="1">'Données initiales'!$A:$A,'Données initiales'!$1:$1</definedName>
    <definedName name="LBU">'Données initiales'!#REF!</definedName>
    <definedName name="LBU_obtenue">'Données initiales'!$HA$2:$HA$134</definedName>
    <definedName name="Livraison">'Données initiales'!$FA$2:$FA$134</definedName>
    <definedName name="LLS">'Données initiales'!$AG$23:$AG$134</definedName>
    <definedName name="LLTS">'Données initiales'!$AH$23:$AH$134</definedName>
    <definedName name="LMDom" localSheetId="1">'Données initiales'!$F$91</definedName>
    <definedName name="Loyers">'Données initiales'!$FE$2:$FE$134</definedName>
    <definedName name="N">#REF!</definedName>
    <definedName name="Nlgts">'Données initiales'!$AE$2:$AE$134</definedName>
    <definedName name="Nlgts_hors_rehab">'Données initiales'!$AF$2:$AF$134</definedName>
    <definedName name="Notaire">'Données initiales'!#REF!</definedName>
    <definedName name="OS">'Données initiales'!$DM$2:$DM$134</definedName>
    <definedName name="PA_SAS_HT_PLS">'[2]DPR PLS'!$E$68</definedName>
    <definedName name="PEEC">'Données initiales'!$GZ$2:$GZ$134</definedName>
    <definedName name="Phase">#REF!</definedName>
    <definedName name="Phase2010">#REF!</definedName>
    <definedName name="Phase2011">#REF!</definedName>
    <definedName name="Phase2012">#REF!</definedName>
    <definedName name="Phase2013">#REF!</definedName>
    <definedName name="Phase2014">#REF!</definedName>
    <definedName name="PRET">'Données initiales'!$GV$2:$GV$134</definedName>
    <definedName name="Prix_Achat_TTC">'Données initiales'!$BC$2:$BC$134</definedName>
    <definedName name="Prog">'Données initiales'!$E$2:$E$134</definedName>
    <definedName name="Prog2010">#REF!</definedName>
    <definedName name="Prog2011">#REF!</definedName>
    <definedName name="Prog2012">#REF!</definedName>
    <definedName name="Prog2013">#REF!</definedName>
    <definedName name="Prog2014">#REF!</definedName>
    <definedName name="PRP">'Données initiales'!$GN$2:$GN$134</definedName>
    <definedName name="Px_Foncier">'Données initiales'!$Q$2:$Q$134</definedName>
    <definedName name="Rem">#REF!</definedName>
    <definedName name="RemEtude2010">#REF!</definedName>
    <definedName name="RemEtude2011">#REF!</definedName>
    <definedName name="RemEtude2012">#REF!</definedName>
    <definedName name="RemEtude2013">#REF!</definedName>
    <definedName name="RemEtude2014">#REF!</definedName>
    <definedName name="RemEtudes">#REF!</definedName>
    <definedName name="RemRest">#REF!</definedName>
    <definedName name="RemRest2010">#REF!</definedName>
    <definedName name="RemRest2011">#REF!</definedName>
    <definedName name="RemRest2012">#REF!</definedName>
    <definedName name="RemRest2013">#REF!</definedName>
    <definedName name="RemRest2014">#REF!</definedName>
    <definedName name="RemTvx">#REF!</definedName>
    <definedName name="RemTvx2010">#REF!</definedName>
    <definedName name="RemTvx2011">#REF!</definedName>
    <definedName name="RemTvx2012">#REF!</definedName>
    <definedName name="RemTvx2013">#REF!</definedName>
    <definedName name="RemTvx2014">#REF!</definedName>
    <definedName name="Resp">'[1]Mensuel Rem'!$E$3:$E$64</definedName>
    <definedName name="Retard_loyer">'Données initiales'!$FC$2:$FC$134</definedName>
    <definedName name="Retard_VEFA">'Données initiales'!#REF!</definedName>
    <definedName name="RO">'Données initiales'!$G$2:$G$134</definedName>
    <definedName name="S_TERRAIN">'Données initiales'!$P$2:$P$134</definedName>
    <definedName name="SF">'Données initiales'!$AL$2:$AL$134</definedName>
    <definedName name="SF_VEFA">'Données initiales'!#REF!</definedName>
    <definedName name="SHAB_VEFA">'Données initiales'!$AK$2:$AK$134</definedName>
    <definedName name="Type">'Données initiales'!$AD$2:$AD$134</definedName>
    <definedName name="Ville">'Données initiales'!$C$2:$C$134</definedName>
  </definedNames>
  <calcPr calcId="162913"/>
  <pivotCaches>
    <pivotCache cacheId="0" r:id="rId6"/>
  </pivotCaches>
</workbook>
</file>

<file path=xl/calcChain.xml><?xml version="1.0" encoding="utf-8"?>
<calcChain xmlns="http://schemas.openxmlformats.org/spreadsheetml/2006/main">
  <c r="IL12" i="1" l="1" a="1"/>
  <c r="IL12" i="1" s="1"/>
  <c r="IL11" i="1" a="1"/>
  <c r="IL11" i="1" s="1"/>
  <c r="IL10" i="1" a="1"/>
  <c r="IL10" i="1" s="1"/>
  <c r="IL9" i="1" a="1"/>
  <c r="IL9" i="1" s="1"/>
  <c r="IL8" i="1" a="1"/>
  <c r="IL8" i="1" s="1"/>
  <c r="IL7" i="1"/>
  <c r="BN71" i="1"/>
  <c r="BN72" i="1"/>
  <c r="BN73" i="1"/>
  <c r="BN74" i="1"/>
  <c r="BN75" i="1"/>
  <c r="BN76" i="1"/>
  <c r="BN77" i="1"/>
  <c r="BN78" i="1"/>
  <c r="BN79" i="1"/>
  <c r="BN80" i="1"/>
  <c r="BN81" i="1"/>
  <c r="BN82" i="1"/>
  <c r="BN83" i="1"/>
  <c r="BN84" i="1"/>
  <c r="BN85" i="1"/>
  <c r="BN86" i="1"/>
  <c r="BN87" i="1"/>
  <c r="BN88" i="1"/>
  <c r="BN89" i="1"/>
  <c r="BN90" i="1"/>
  <c r="BN91" i="1"/>
  <c r="BN92" i="1"/>
  <c r="BN93" i="1"/>
  <c r="BN94" i="1"/>
  <c r="BN95" i="1"/>
  <c r="BN96" i="1"/>
  <c r="BN97" i="1"/>
  <c r="BN98" i="1"/>
  <c r="BN99" i="1"/>
  <c r="BN100" i="1"/>
  <c r="BN101" i="1"/>
  <c r="BN102" i="1"/>
  <c r="BN103" i="1"/>
  <c r="BN104" i="1"/>
  <c r="BN105" i="1"/>
  <c r="BN106" i="1"/>
  <c r="BN107" i="1"/>
  <c r="BN108" i="1"/>
  <c r="BN109" i="1"/>
  <c r="BN110" i="1"/>
  <c r="BN111" i="1"/>
  <c r="BN112" i="1"/>
  <c r="BN113" i="1"/>
  <c r="BN114" i="1"/>
  <c r="BN115" i="1"/>
  <c r="BN116" i="1"/>
  <c r="BN117" i="1"/>
  <c r="BN118" i="1"/>
  <c r="BN119" i="1"/>
  <c r="BN120" i="1"/>
  <c r="BN121" i="1"/>
  <c r="BN122" i="1"/>
  <c r="BN123" i="1"/>
  <c r="BN124" i="1"/>
  <c r="BN125" i="1"/>
  <c r="BN126" i="1"/>
  <c r="BN127" i="1"/>
  <c r="BN128" i="1"/>
  <c r="BN129" i="1"/>
  <c r="BN130" i="1"/>
  <c r="BN132" i="1"/>
  <c r="BN133" i="1"/>
  <c r="BN134" i="1"/>
  <c r="BN65" i="1"/>
  <c r="BN66" i="1"/>
  <c r="BN67" i="1"/>
  <c r="BN68" i="1"/>
  <c r="BN69" i="1"/>
  <c r="BN70" i="1"/>
  <c r="BN57" i="1"/>
  <c r="BN58" i="1"/>
  <c r="BN59" i="1"/>
  <c r="BN60" i="1"/>
  <c r="BN61" i="1"/>
  <c r="BN62" i="1"/>
  <c r="BN63" i="1"/>
  <c r="BN64" i="1"/>
  <c r="BN54" i="1"/>
  <c r="BN55" i="1"/>
  <c r="BN56" i="1"/>
  <c r="BN51" i="1"/>
  <c r="BN52" i="1"/>
  <c r="BN53" i="1"/>
  <c r="BN49" i="1"/>
  <c r="BN50" i="1"/>
  <c r="BN45" i="1"/>
  <c r="BN46" i="1"/>
  <c r="BN47" i="1"/>
  <c r="BN48" i="1"/>
  <c r="BN37" i="1"/>
  <c r="BN35" i="1"/>
  <c r="BN36" i="1"/>
  <c r="BN38" i="1"/>
  <c r="BN39" i="1"/>
  <c r="BN40" i="1"/>
  <c r="BN41" i="1"/>
  <c r="BN42" i="1"/>
  <c r="BN43" i="1"/>
  <c r="BN44" i="1"/>
  <c r="BN24" i="1"/>
  <c r="BN25" i="1"/>
  <c r="BN26" i="1"/>
  <c r="BN27" i="1"/>
  <c r="BN28" i="1"/>
  <c r="BN29" i="1"/>
  <c r="BN30" i="1"/>
  <c r="BN31" i="1"/>
  <c r="BN32" i="1"/>
  <c r="BN33" i="1"/>
  <c r="BN34" i="1"/>
  <c r="BN23" i="1"/>
  <c r="B273" i="26" s="1" a="1"/>
  <c r="B273" i="26" s="1"/>
  <c r="B274" i="26" l="1" a="1"/>
  <c r="B274" i="26" s="1"/>
  <c r="B271" i="26" a="1"/>
  <c r="B271" i="26" s="1"/>
  <c r="B272" i="26" a="1"/>
  <c r="B272" i="26" s="1"/>
  <c r="B269" i="26" a="1"/>
  <c r="B269" i="26" s="1"/>
  <c r="B270" i="26" a="1"/>
  <c r="B270" i="26" s="1"/>
  <c r="GX72" i="1" l="1"/>
  <c r="GM57" i="1"/>
  <c r="GM44" i="1"/>
  <c r="GM45" i="1"/>
  <c r="GM46" i="1"/>
  <c r="GM49" i="1"/>
  <c r="GM52" i="1"/>
  <c r="GM65" i="1"/>
  <c r="GM66" i="1"/>
  <c r="GM67" i="1"/>
  <c r="GM68" i="1"/>
  <c r="GM96" i="1"/>
  <c r="GM104" i="1"/>
  <c r="GM105" i="1"/>
  <c r="GM126" i="1"/>
  <c r="GM127" i="1"/>
  <c r="GM128" i="1"/>
  <c r="GM129" i="1"/>
  <c r="GM130" i="1"/>
  <c r="GM133" i="1"/>
  <c r="K11" i="26" l="1"/>
  <c r="E20" i="26"/>
  <c r="E19" i="26"/>
  <c r="E18" i="26"/>
  <c r="E17" i="26"/>
  <c r="E16" i="26"/>
  <c r="E15" i="26"/>
  <c r="E14" i="26"/>
  <c r="E13" i="26"/>
  <c r="GP98" i="1" l="1"/>
  <c r="HX98" i="1" s="1"/>
  <c r="HY98" i="1" l="1"/>
  <c r="EU98" i="1"/>
  <c r="EQ100" i="1"/>
  <c r="EZ100" i="1" s="1"/>
  <c r="FA100" i="1" s="1"/>
  <c r="EQ99" i="1"/>
  <c r="EZ99" i="1" s="1"/>
  <c r="FA99" i="1" s="1"/>
  <c r="EQ97" i="1"/>
  <c r="EZ97" i="1" s="1"/>
  <c r="FA97" i="1" s="1"/>
  <c r="EQ98" i="1"/>
  <c r="EZ98" i="1" s="1"/>
  <c r="FA98" i="1" s="1"/>
  <c r="EG83" i="1"/>
  <c r="EI83" i="1"/>
  <c r="EJ83" i="1" s="1"/>
  <c r="EC100" i="1"/>
  <c r="ED100" i="1" s="1"/>
  <c r="EC99" i="1"/>
  <c r="ED99" i="1" s="1"/>
  <c r="EC97" i="1"/>
  <c r="ED97" i="1" s="1"/>
  <c r="EC98" i="1"/>
  <c r="ED98" i="1" s="1"/>
  <c r="DZ100" i="1"/>
  <c r="EA100" i="1" s="1"/>
  <c r="DZ99" i="1"/>
  <c r="EA99" i="1" s="1"/>
  <c r="DZ97" i="1"/>
  <c r="EA97" i="1" s="1"/>
  <c r="DZ98" i="1"/>
  <c r="EA98" i="1" s="1"/>
  <c r="EL100" i="1"/>
  <c r="EM100" i="1" s="1"/>
  <c r="EI100" i="1"/>
  <c r="EJ100" i="1" s="1"/>
  <c r="EG100" i="1"/>
  <c r="EL99" i="1"/>
  <c r="EM99" i="1" s="1"/>
  <c r="EI99" i="1"/>
  <c r="EJ99" i="1" s="1"/>
  <c r="EG99" i="1"/>
  <c r="EL97" i="1"/>
  <c r="EM97" i="1" s="1"/>
  <c r="EI97" i="1"/>
  <c r="EJ97" i="1" s="1"/>
  <c r="EG97" i="1"/>
  <c r="EL98" i="1"/>
  <c r="EM98" i="1" s="1"/>
  <c r="EI98" i="1"/>
  <c r="EJ98" i="1" s="1"/>
  <c r="EG98" i="1"/>
  <c r="DX100" i="1"/>
  <c r="DX99" i="1"/>
  <c r="DX97" i="1"/>
  <c r="DX98" i="1"/>
  <c r="DU100" i="1"/>
  <c r="DU99" i="1"/>
  <c r="DU97" i="1"/>
  <c r="DU98" i="1"/>
  <c r="DP100" i="1"/>
  <c r="DP99" i="1"/>
  <c r="DP97" i="1"/>
  <c r="DP98" i="1"/>
  <c r="GV100" i="1"/>
  <c r="GM100" i="1" s="1"/>
  <c r="GV99" i="1"/>
  <c r="GM99" i="1" s="1"/>
  <c r="ER98" i="1" l="1"/>
  <c r="ER97" i="1"/>
  <c r="ER99" i="1"/>
  <c r="ER100" i="1"/>
  <c r="GV97" i="1"/>
  <c r="GM97" i="1" s="1"/>
  <c r="GV98" i="1"/>
  <c r="GM98" i="1" s="1"/>
  <c r="ET99" i="1" l="1"/>
  <c r="DR99" i="1"/>
  <c r="ES99" i="1"/>
  <c r="ET97" i="1"/>
  <c r="DR97" i="1"/>
  <c r="ES97" i="1"/>
  <c r="ET100" i="1"/>
  <c r="DR100" i="1"/>
  <c r="ES100" i="1"/>
  <c r="ET98" i="1"/>
  <c r="DR98" i="1"/>
  <c r="ES98" i="1"/>
  <c r="GP76" i="1" l="1"/>
  <c r="GP72" i="1"/>
  <c r="GP73" i="1"/>
  <c r="GP70" i="1"/>
  <c r="GP64" i="1"/>
  <c r="GP56" i="1"/>
  <c r="GP55" i="1"/>
  <c r="GP54" i="1"/>
  <c r="GP62" i="1"/>
  <c r="GP50" i="1"/>
  <c r="GP51" i="1"/>
  <c r="GP61" i="1"/>
  <c r="GP48" i="1"/>
  <c r="GP47" i="1"/>
  <c r="GP43" i="1"/>
  <c r="GP42" i="1"/>
  <c r="GP41" i="1"/>
  <c r="GP40" i="1"/>
  <c r="EQ63" i="1" l="1"/>
  <c r="GN57" i="1" l="1"/>
  <c r="GN44" i="1"/>
  <c r="GN45" i="1"/>
  <c r="GN46" i="1"/>
  <c r="GN49" i="1"/>
  <c r="GN52" i="1"/>
  <c r="GN65" i="1"/>
  <c r="GN66" i="1"/>
  <c r="GN67" i="1"/>
  <c r="GN68" i="1"/>
  <c r="GN104" i="1"/>
  <c r="HC104" i="1" s="1"/>
  <c r="GN105" i="1"/>
  <c r="HC105" i="1" s="1"/>
  <c r="GN126" i="1"/>
  <c r="HC126" i="1" s="1"/>
  <c r="GN98" i="1"/>
  <c r="GN127" i="1"/>
  <c r="HC127" i="1" s="1"/>
  <c r="GN97" i="1"/>
  <c r="GN128" i="1"/>
  <c r="HC128" i="1" s="1"/>
  <c r="GN99" i="1"/>
  <c r="GN100" i="1"/>
  <c r="GN129" i="1"/>
  <c r="HC129" i="1" s="1"/>
  <c r="GN130" i="1"/>
  <c r="HC130" i="1" s="1"/>
  <c r="GN133" i="1"/>
  <c r="HC133" i="1" s="1"/>
  <c r="HN97" i="1" l="1"/>
  <c r="GQ97" i="1"/>
  <c r="HN100" i="1"/>
  <c r="GQ100" i="1"/>
  <c r="HN99" i="1"/>
  <c r="GQ99" i="1"/>
  <c r="HN98" i="1"/>
  <c r="GQ98" i="1"/>
  <c r="HC100" i="1"/>
  <c r="HS97" i="1"/>
  <c r="HC97" i="1"/>
  <c r="GO97" i="1"/>
  <c r="HS100" i="1"/>
  <c r="GO100" i="1"/>
  <c r="GO99" i="1"/>
  <c r="HC99" i="1"/>
  <c r="GO98" i="1"/>
  <c r="HC98" i="1"/>
  <c r="HS98" i="1"/>
  <c r="HT98" i="1"/>
  <c r="HU98" i="1" s="1"/>
  <c r="HV98" i="1" s="1"/>
  <c r="HE138" i="1"/>
  <c r="HF60" i="1"/>
  <c r="GP60" i="1" s="1"/>
  <c r="HF59" i="1"/>
  <c r="GP59" i="1" s="1"/>
  <c r="EQ70" i="1" l="1"/>
  <c r="ER70" i="1" s="1"/>
  <c r="FA70" i="1" s="1"/>
  <c r="EQ73" i="1"/>
  <c r="ER73" i="1" s="1"/>
  <c r="FA73" i="1" s="1"/>
  <c r="EQ72" i="1"/>
  <c r="EQ77" i="1"/>
  <c r="EQ74" i="1"/>
  <c r="ER74" i="1" s="1"/>
  <c r="FA74" i="1" s="1"/>
  <c r="EQ75" i="1"/>
  <c r="ER75" i="1" s="1"/>
  <c r="FA75" i="1" s="1"/>
  <c r="EQ76" i="1"/>
  <c r="EQ80" i="1"/>
  <c r="ER80" i="1" s="1"/>
  <c r="FA80" i="1" s="1"/>
  <c r="EQ81" i="1"/>
  <c r="ER81" i="1" s="1"/>
  <c r="FA81" i="1" s="1"/>
  <c r="EQ78" i="1"/>
  <c r="ER78" i="1" s="1"/>
  <c r="FA78" i="1" s="1"/>
  <c r="EQ85" i="1"/>
  <c r="ER85" i="1" s="1"/>
  <c r="FA85" i="1" s="1"/>
  <c r="EQ82" i="1"/>
  <c r="ER82" i="1" s="1"/>
  <c r="FA82" i="1" s="1"/>
  <c r="EQ83" i="1"/>
  <c r="ER83" i="1" s="1"/>
  <c r="FA83" i="1" s="1"/>
  <c r="EQ79" i="1"/>
  <c r="ER79" i="1" s="1"/>
  <c r="FA79" i="1" s="1"/>
  <c r="EQ84" i="1"/>
  <c r="ER84" i="1" s="1"/>
  <c r="FA84" i="1" s="1"/>
  <c r="EZ70" i="1" l="1"/>
  <c r="AG125" i="1" l="1"/>
  <c r="AI125" i="1"/>
  <c r="AH96" i="1"/>
  <c r="DF134" i="1" l="1"/>
  <c r="DF133" i="1"/>
  <c r="DF132" i="1"/>
  <c r="DF131" i="1"/>
  <c r="DF130" i="1"/>
  <c r="DF129" i="1"/>
  <c r="DF100" i="1"/>
  <c r="DF99" i="1"/>
  <c r="DF128" i="1"/>
  <c r="DF97" i="1"/>
  <c r="DF127" i="1"/>
  <c r="DF98" i="1"/>
  <c r="DF122" i="1"/>
  <c r="DF121" i="1"/>
  <c r="DF120" i="1"/>
  <c r="DF119" i="1"/>
  <c r="DF118" i="1"/>
  <c r="DF117" i="1"/>
  <c r="DF116" i="1"/>
  <c r="DF115" i="1"/>
  <c r="DF114" i="1"/>
  <c r="DF113" i="1"/>
  <c r="DF112" i="1"/>
  <c r="DF111" i="1"/>
  <c r="DF110" i="1"/>
  <c r="DF108" i="1"/>
  <c r="DF107" i="1"/>
  <c r="DF106" i="1"/>
  <c r="DF126" i="1"/>
  <c r="DF123" i="1"/>
  <c r="DF109" i="1"/>
  <c r="DF125" i="1"/>
  <c r="DF124" i="1"/>
  <c r="DF105" i="1"/>
  <c r="DF103" i="1"/>
  <c r="DF101" i="1"/>
  <c r="DF84" i="1"/>
  <c r="DF79" i="1"/>
  <c r="DF83" i="1"/>
  <c r="DF82" i="1"/>
  <c r="DF85" i="1"/>
  <c r="DF78" i="1"/>
  <c r="DF81" i="1"/>
  <c r="DF80" i="1"/>
  <c r="DF35" i="1"/>
  <c r="DF36" i="1"/>
  <c r="DF37" i="1"/>
  <c r="DF38" i="1"/>
  <c r="DF39" i="1"/>
  <c r="DF40" i="1"/>
  <c r="DF41" i="1"/>
  <c r="DF42" i="1"/>
  <c r="DF43" i="1"/>
  <c r="DF58" i="1"/>
  <c r="DF47" i="1"/>
  <c r="DF48" i="1"/>
  <c r="DF61" i="1"/>
  <c r="DF51" i="1"/>
  <c r="DF50" i="1"/>
  <c r="DF59" i="1"/>
  <c r="DF53" i="1"/>
  <c r="DF62" i="1"/>
  <c r="DF54" i="1"/>
  <c r="DF55" i="1"/>
  <c r="DF56" i="1"/>
  <c r="DF45" i="1"/>
  <c r="DF52" i="1"/>
  <c r="DF63" i="1"/>
  <c r="DF64" i="1"/>
  <c r="DF69" i="1"/>
  <c r="DF71" i="1"/>
  <c r="DF70" i="1"/>
  <c r="DF73" i="1"/>
  <c r="DF72" i="1"/>
  <c r="DF77" i="1"/>
  <c r="DF74" i="1"/>
  <c r="DF75" i="1"/>
  <c r="DF76" i="1"/>
  <c r="DC134" i="1"/>
  <c r="DC133" i="1"/>
  <c r="DC132" i="1"/>
  <c r="DC131" i="1"/>
  <c r="DC130" i="1"/>
  <c r="DC129" i="1"/>
  <c r="DC100" i="1"/>
  <c r="DC99" i="1"/>
  <c r="DC128" i="1"/>
  <c r="DC97" i="1"/>
  <c r="DC127" i="1"/>
  <c r="DC98" i="1"/>
  <c r="DC122" i="1"/>
  <c r="DC121" i="1"/>
  <c r="DC120" i="1"/>
  <c r="DC119" i="1"/>
  <c r="DC118" i="1"/>
  <c r="DC117" i="1"/>
  <c r="DC116" i="1"/>
  <c r="DC115" i="1"/>
  <c r="DC114" i="1"/>
  <c r="DC113" i="1"/>
  <c r="DC112" i="1"/>
  <c r="DC111" i="1"/>
  <c r="DC110" i="1"/>
  <c r="DC108" i="1"/>
  <c r="DC107" i="1"/>
  <c r="DC106" i="1"/>
  <c r="DC126" i="1"/>
  <c r="DC123" i="1"/>
  <c r="DC109" i="1"/>
  <c r="DC125" i="1"/>
  <c r="DC124" i="1"/>
  <c r="DC105" i="1"/>
  <c r="DC103" i="1"/>
  <c r="DC101" i="1"/>
  <c r="DC84" i="1"/>
  <c r="DC79" i="1"/>
  <c r="DC83" i="1"/>
  <c r="DC82" i="1"/>
  <c r="DC85" i="1"/>
  <c r="DC78" i="1"/>
  <c r="DC81" i="1"/>
  <c r="DC80" i="1"/>
  <c r="DC36" i="1"/>
  <c r="DC37" i="1"/>
  <c r="DC38" i="1"/>
  <c r="DC39" i="1"/>
  <c r="DC40" i="1"/>
  <c r="DC41" i="1"/>
  <c r="DC42" i="1"/>
  <c r="DC43" i="1"/>
  <c r="DC58" i="1"/>
  <c r="DC47" i="1"/>
  <c r="DC48" i="1"/>
  <c r="DC61" i="1"/>
  <c r="DC51" i="1"/>
  <c r="DC50" i="1"/>
  <c r="DC59" i="1"/>
  <c r="DC53" i="1"/>
  <c r="DC62" i="1"/>
  <c r="DC54" i="1"/>
  <c r="DC55" i="1"/>
  <c r="DC56" i="1"/>
  <c r="DC45" i="1"/>
  <c r="DC52" i="1"/>
  <c r="DC63" i="1"/>
  <c r="DC64" i="1"/>
  <c r="DC69" i="1"/>
  <c r="DC71" i="1"/>
  <c r="DC70" i="1"/>
  <c r="DC73" i="1"/>
  <c r="DC72" i="1"/>
  <c r="DC77" i="1"/>
  <c r="DC74" i="1"/>
  <c r="DC75" i="1"/>
  <c r="DC76" i="1"/>
  <c r="DC86" i="1"/>
  <c r="CZ134" i="1"/>
  <c r="CZ133" i="1"/>
  <c r="CZ132" i="1"/>
  <c r="CZ131" i="1"/>
  <c r="CZ130" i="1"/>
  <c r="CZ129" i="1"/>
  <c r="CZ100" i="1"/>
  <c r="CZ99" i="1"/>
  <c r="CZ128" i="1"/>
  <c r="CZ97" i="1"/>
  <c r="CZ127" i="1"/>
  <c r="CZ98" i="1"/>
  <c r="CZ122" i="1"/>
  <c r="CZ121" i="1"/>
  <c r="CZ120" i="1"/>
  <c r="CZ119" i="1"/>
  <c r="CZ118" i="1"/>
  <c r="CZ117" i="1"/>
  <c r="CZ116" i="1"/>
  <c r="CZ115" i="1"/>
  <c r="CZ114" i="1"/>
  <c r="CZ113" i="1"/>
  <c r="CZ112" i="1"/>
  <c r="CZ111" i="1"/>
  <c r="CZ110" i="1"/>
  <c r="CZ108" i="1"/>
  <c r="CZ107" i="1"/>
  <c r="CZ106" i="1"/>
  <c r="CZ126" i="1"/>
  <c r="CZ123" i="1"/>
  <c r="CZ109" i="1"/>
  <c r="CZ125" i="1"/>
  <c r="CZ124" i="1"/>
  <c r="CZ105" i="1"/>
  <c r="CZ103" i="1"/>
  <c r="CZ101" i="1"/>
  <c r="CZ84" i="1"/>
  <c r="CZ79" i="1"/>
  <c r="CZ83" i="1"/>
  <c r="CZ82" i="1"/>
  <c r="CZ85" i="1"/>
  <c r="CZ78" i="1"/>
  <c r="CZ81" i="1"/>
  <c r="CZ80" i="1"/>
  <c r="CZ28" i="1"/>
  <c r="CZ29" i="1"/>
  <c r="CZ30" i="1"/>
  <c r="CZ31" i="1"/>
  <c r="CZ32" i="1"/>
  <c r="CZ33" i="1"/>
  <c r="CZ34" i="1"/>
  <c r="CZ35" i="1"/>
  <c r="CZ36" i="1"/>
  <c r="CZ37" i="1"/>
  <c r="CZ38" i="1"/>
  <c r="CZ39" i="1"/>
  <c r="CZ40" i="1"/>
  <c r="CZ41" i="1"/>
  <c r="CZ42" i="1"/>
  <c r="CZ43" i="1"/>
  <c r="CZ58" i="1"/>
  <c r="CZ47" i="1"/>
  <c r="CZ48" i="1"/>
  <c r="CZ61" i="1"/>
  <c r="CZ51" i="1"/>
  <c r="CZ50" i="1"/>
  <c r="CZ59" i="1"/>
  <c r="CZ60" i="1"/>
  <c r="CZ53" i="1"/>
  <c r="CZ62" i="1"/>
  <c r="CZ54" i="1"/>
  <c r="CZ55" i="1"/>
  <c r="CZ56" i="1"/>
  <c r="CZ57" i="1"/>
  <c r="CZ44" i="1"/>
  <c r="CZ45" i="1"/>
  <c r="CZ46" i="1"/>
  <c r="CZ49" i="1"/>
  <c r="CZ52" i="1"/>
  <c r="CZ63" i="1"/>
  <c r="CZ64" i="1"/>
  <c r="CZ69" i="1"/>
  <c r="CZ71" i="1"/>
  <c r="CZ70" i="1"/>
  <c r="CZ73" i="1"/>
  <c r="CZ72" i="1"/>
  <c r="CZ77" i="1"/>
  <c r="CZ74" i="1"/>
  <c r="CZ75" i="1"/>
  <c r="CZ76" i="1"/>
  <c r="CZ86" i="1"/>
  <c r="CW134" i="1"/>
  <c r="CW133" i="1"/>
  <c r="CW132" i="1"/>
  <c r="CW131" i="1"/>
  <c r="CW130" i="1"/>
  <c r="CW129" i="1"/>
  <c r="CW100" i="1"/>
  <c r="CW99" i="1"/>
  <c r="CW128" i="1"/>
  <c r="CW97" i="1"/>
  <c r="CW127" i="1"/>
  <c r="CW96" i="1"/>
  <c r="CW98" i="1"/>
  <c r="CW122" i="1"/>
  <c r="CW121" i="1"/>
  <c r="CW120" i="1"/>
  <c r="CW119" i="1"/>
  <c r="CW118" i="1"/>
  <c r="CW117" i="1"/>
  <c r="CW116" i="1"/>
  <c r="CW115" i="1"/>
  <c r="CW114" i="1"/>
  <c r="CW113" i="1"/>
  <c r="CW112" i="1"/>
  <c r="CW111" i="1"/>
  <c r="CW110" i="1"/>
  <c r="CW108" i="1"/>
  <c r="CW107" i="1"/>
  <c r="CW106" i="1"/>
  <c r="CW126" i="1"/>
  <c r="CW123" i="1"/>
  <c r="CW109" i="1"/>
  <c r="CW125" i="1"/>
  <c r="CW124" i="1"/>
  <c r="CW105" i="1"/>
  <c r="CW103" i="1"/>
  <c r="CW102" i="1"/>
  <c r="CW101" i="1"/>
  <c r="CW104" i="1"/>
  <c r="CW95" i="1"/>
  <c r="CW94" i="1"/>
  <c r="CW93" i="1"/>
  <c r="CW92" i="1"/>
  <c r="CW91" i="1"/>
  <c r="CW90" i="1"/>
  <c r="CW89" i="1"/>
  <c r="CW88" i="1"/>
  <c r="CW87" i="1"/>
  <c r="CW84" i="1"/>
  <c r="CW79" i="1"/>
  <c r="CW83" i="1"/>
  <c r="CW82" i="1"/>
  <c r="CW85" i="1"/>
  <c r="CW78" i="1"/>
  <c r="CW81" i="1"/>
  <c r="CW80" i="1"/>
  <c r="CW69" i="1"/>
  <c r="CW71" i="1"/>
  <c r="CW70" i="1"/>
  <c r="CW73" i="1"/>
  <c r="CW72" i="1"/>
  <c r="CW77" i="1"/>
  <c r="CW74" i="1"/>
  <c r="CW75" i="1"/>
  <c r="CW76" i="1"/>
  <c r="CW53" i="1"/>
  <c r="CW62" i="1"/>
  <c r="CW54" i="1"/>
  <c r="CW55" i="1"/>
  <c r="CW56" i="1"/>
  <c r="CW57" i="1"/>
  <c r="CW44" i="1"/>
  <c r="CW45" i="1"/>
  <c r="CW46" i="1"/>
  <c r="CW49" i="1"/>
  <c r="CW52" i="1"/>
  <c r="CW63" i="1"/>
  <c r="CW64" i="1"/>
  <c r="CW60" i="1"/>
  <c r="CW36" i="1"/>
  <c r="CW37" i="1"/>
  <c r="CW38" i="1"/>
  <c r="CW39" i="1"/>
  <c r="CW40" i="1"/>
  <c r="CW41" i="1"/>
  <c r="CW42" i="1"/>
  <c r="CW43" i="1"/>
  <c r="CW58" i="1"/>
  <c r="CW47" i="1"/>
  <c r="CW48" i="1"/>
  <c r="CW61" i="1"/>
  <c r="CW51" i="1"/>
  <c r="CW50" i="1"/>
  <c r="CW59" i="1"/>
  <c r="CT134" i="1"/>
  <c r="CT133" i="1"/>
  <c r="CT132" i="1"/>
  <c r="CT131" i="1"/>
  <c r="CT130" i="1"/>
  <c r="CT129" i="1"/>
  <c r="CT100" i="1"/>
  <c r="CT99" i="1"/>
  <c r="CT128" i="1"/>
  <c r="CT97" i="1"/>
  <c r="CT127" i="1"/>
  <c r="CT96" i="1"/>
  <c r="CT98" i="1"/>
  <c r="CT122" i="1"/>
  <c r="CT121" i="1"/>
  <c r="CT120" i="1"/>
  <c r="CT119" i="1"/>
  <c r="CT118" i="1"/>
  <c r="CT117" i="1"/>
  <c r="CT116" i="1"/>
  <c r="CT115" i="1"/>
  <c r="CT114" i="1"/>
  <c r="CT113" i="1"/>
  <c r="CT112" i="1"/>
  <c r="CT111" i="1"/>
  <c r="CT110" i="1"/>
  <c r="CT108" i="1"/>
  <c r="CT107" i="1"/>
  <c r="CT106" i="1"/>
  <c r="CT126" i="1"/>
  <c r="CT123" i="1"/>
  <c r="CT109" i="1"/>
  <c r="CT125" i="1"/>
  <c r="CT124" i="1"/>
  <c r="CT105" i="1"/>
  <c r="CT103" i="1"/>
  <c r="CT102" i="1"/>
  <c r="CT101" i="1"/>
  <c r="CT104" i="1"/>
  <c r="CT95" i="1"/>
  <c r="CT94" i="1"/>
  <c r="CT93" i="1"/>
  <c r="CT92" i="1"/>
  <c r="CT91" i="1"/>
  <c r="CT90" i="1"/>
  <c r="CT89" i="1"/>
  <c r="CT88" i="1"/>
  <c r="CT87" i="1"/>
  <c r="CT84" i="1"/>
  <c r="CT79" i="1"/>
  <c r="CT83" i="1"/>
  <c r="CT82" i="1"/>
  <c r="CT85" i="1"/>
  <c r="CT78" i="1"/>
  <c r="CT81" i="1"/>
  <c r="CT80" i="1"/>
  <c r="CT86" i="1"/>
  <c r="CT76" i="1"/>
  <c r="CT75" i="1"/>
  <c r="CT74" i="1"/>
  <c r="CT77" i="1"/>
  <c r="CT72" i="1"/>
  <c r="CT73" i="1"/>
  <c r="CT70" i="1"/>
  <c r="CT71" i="1"/>
  <c r="CT69" i="1"/>
  <c r="CT68" i="1"/>
  <c r="CT67" i="1"/>
  <c r="CT66" i="1"/>
  <c r="CT65" i="1"/>
  <c r="CT63" i="1"/>
  <c r="CT16" i="1"/>
  <c r="CT17" i="1"/>
  <c r="CT18" i="1"/>
  <c r="CT19" i="1"/>
  <c r="CT20" i="1"/>
  <c r="CT21" i="1"/>
  <c r="CT22" i="1"/>
  <c r="CT23" i="1"/>
  <c r="CT25" i="1"/>
  <c r="CT26" i="1"/>
  <c r="CT27" i="1"/>
  <c r="CT28" i="1"/>
  <c r="CT29" i="1"/>
  <c r="CT30" i="1"/>
  <c r="CT31" i="1"/>
  <c r="CT32" i="1"/>
  <c r="CT33" i="1"/>
  <c r="CT34" i="1"/>
  <c r="CT35" i="1"/>
  <c r="CT36" i="1"/>
  <c r="CT37" i="1"/>
  <c r="CT38" i="1"/>
  <c r="CT39" i="1"/>
  <c r="CT40" i="1"/>
  <c r="CT41" i="1"/>
  <c r="CT42" i="1"/>
  <c r="CT43" i="1"/>
  <c r="CT58" i="1"/>
  <c r="CT47" i="1"/>
  <c r="CT48" i="1"/>
  <c r="CT61" i="1"/>
  <c r="CT51" i="1"/>
  <c r="CT50" i="1"/>
  <c r="CT59" i="1"/>
  <c r="CT60" i="1"/>
  <c r="CT53" i="1"/>
  <c r="CT62" i="1"/>
  <c r="CT54" i="1"/>
  <c r="CT55" i="1"/>
  <c r="CT56" i="1"/>
  <c r="CT57" i="1"/>
  <c r="HW75" i="1" l="1"/>
  <c r="HR74" i="1"/>
  <c r="HR77" i="1" l="1"/>
  <c r="HR72" i="1" l="1"/>
  <c r="HR70" i="1" l="1"/>
  <c r="HF71" i="1" l="1"/>
  <c r="GP71" i="1" s="1"/>
  <c r="GV79" i="1" l="1"/>
  <c r="GV78" i="1"/>
  <c r="GN79" i="1" l="1"/>
  <c r="HN79" i="1" s="1"/>
  <c r="GM79" i="1"/>
  <c r="GV81" i="1"/>
  <c r="GV80" i="1"/>
  <c r="GV84" i="1" l="1"/>
  <c r="GN84" i="1" l="1"/>
  <c r="GM84" i="1"/>
  <c r="HN84" i="1"/>
  <c r="GP2" i="1"/>
  <c r="HY2" i="1" s="1"/>
  <c r="GP3" i="1"/>
  <c r="HY3" i="1" s="1"/>
  <c r="GP4" i="1"/>
  <c r="HY4" i="1" s="1"/>
  <c r="GP5" i="1"/>
  <c r="HY5" i="1" s="1"/>
  <c r="GP6" i="1"/>
  <c r="HY6" i="1" s="1"/>
  <c r="GP7" i="1"/>
  <c r="HY7" i="1" s="1"/>
  <c r="GP8" i="1"/>
  <c r="HY8" i="1" s="1"/>
  <c r="GP9" i="1"/>
  <c r="HY9" i="1" s="1"/>
  <c r="GP10" i="1"/>
  <c r="HY10" i="1" s="1"/>
  <c r="GP11" i="1"/>
  <c r="HY11" i="1" s="1"/>
  <c r="GP12" i="1"/>
  <c r="HY12" i="1" s="1"/>
  <c r="GP13" i="1"/>
  <c r="HY13" i="1" s="1"/>
  <c r="GP14" i="1"/>
  <c r="HY14" i="1" s="1"/>
  <c r="GP15" i="1"/>
  <c r="HY15" i="1" s="1"/>
  <c r="GP16" i="1"/>
  <c r="HY16" i="1" s="1"/>
  <c r="GP17" i="1"/>
  <c r="HX17" i="1" s="1"/>
  <c r="GP18" i="1"/>
  <c r="HY18" i="1" s="1"/>
  <c r="GP19" i="1"/>
  <c r="HY19" i="1" s="1"/>
  <c r="GP20" i="1"/>
  <c r="HY20" i="1" s="1"/>
  <c r="GP21" i="1"/>
  <c r="HY21" i="1" s="1"/>
  <c r="GP22" i="1"/>
  <c r="HY22" i="1" s="1"/>
  <c r="GP23" i="1"/>
  <c r="HY23" i="1" s="1"/>
  <c r="GP24" i="1"/>
  <c r="HY24" i="1" s="1"/>
  <c r="GP25" i="1"/>
  <c r="HY25" i="1" s="1"/>
  <c r="GP26" i="1"/>
  <c r="HY26" i="1" s="1"/>
  <c r="GP27" i="1"/>
  <c r="HY27" i="1" s="1"/>
  <c r="GP28" i="1"/>
  <c r="HY28" i="1" s="1"/>
  <c r="GP29" i="1"/>
  <c r="HY29" i="1" s="1"/>
  <c r="GP30" i="1"/>
  <c r="HY30" i="1" s="1"/>
  <c r="GP31" i="1"/>
  <c r="HY31" i="1" s="1"/>
  <c r="GP33" i="1"/>
  <c r="HX33" i="1" s="1"/>
  <c r="GP34" i="1"/>
  <c r="HY34" i="1" s="1"/>
  <c r="GP35" i="1"/>
  <c r="HY35" i="1" s="1"/>
  <c r="HT133" i="1"/>
  <c r="HT130" i="1"/>
  <c r="HT129" i="1"/>
  <c r="HT100" i="1"/>
  <c r="HU100" i="1" s="1"/>
  <c r="HV100" i="1" s="1"/>
  <c r="HT99" i="1"/>
  <c r="HU99" i="1" s="1"/>
  <c r="HV99" i="1" s="1"/>
  <c r="HT128" i="1"/>
  <c r="HT97" i="1"/>
  <c r="HU97" i="1" s="1"/>
  <c r="HV97" i="1" s="1"/>
  <c r="HT127" i="1"/>
  <c r="HT126" i="1"/>
  <c r="HT105" i="1"/>
  <c r="HT104" i="1"/>
  <c r="HS133" i="1"/>
  <c r="HS130" i="1"/>
  <c r="HS129" i="1"/>
  <c r="HS99" i="1"/>
  <c r="HS128" i="1"/>
  <c r="HS127" i="1"/>
  <c r="HS126" i="1"/>
  <c r="HS105" i="1"/>
  <c r="HS104" i="1"/>
  <c r="ET133" i="1"/>
  <c r="HU133" i="1" s="1"/>
  <c r="ET130" i="1"/>
  <c r="HU130" i="1" s="1"/>
  <c r="ET129" i="1"/>
  <c r="ET128" i="1"/>
  <c r="ET127" i="1"/>
  <c r="ET126" i="1"/>
  <c r="ET105" i="1"/>
  <c r="HU127" i="1" l="1"/>
  <c r="HU126" i="1"/>
  <c r="HU128" i="1"/>
  <c r="HU105" i="1"/>
  <c r="HU129" i="1"/>
  <c r="HX13" i="1"/>
  <c r="HX29" i="1"/>
  <c r="HY33" i="1"/>
  <c r="HY17" i="1"/>
  <c r="HX25" i="1"/>
  <c r="HX9" i="1"/>
  <c r="HX21" i="1"/>
  <c r="HX5" i="1"/>
  <c r="HX28" i="1"/>
  <c r="HX24" i="1"/>
  <c r="HX20" i="1"/>
  <c r="HX16" i="1"/>
  <c r="HX12" i="1"/>
  <c r="HX8" i="1"/>
  <c r="HX4" i="1"/>
  <c r="HX35" i="1"/>
  <c r="HX31" i="1"/>
  <c r="HX27" i="1"/>
  <c r="HX23" i="1"/>
  <c r="HX19" i="1"/>
  <c r="HX15" i="1"/>
  <c r="HX11" i="1"/>
  <c r="HX7" i="1"/>
  <c r="HX3" i="1"/>
  <c r="HX34" i="1"/>
  <c r="HX30" i="1"/>
  <c r="HX26" i="1"/>
  <c r="HX22" i="1"/>
  <c r="HX18" i="1"/>
  <c r="HX14" i="1"/>
  <c r="HX10" i="1"/>
  <c r="HX6" i="1"/>
  <c r="HX2" i="1"/>
  <c r="ET52" i="1" l="1"/>
  <c r="HU52" i="1" s="1"/>
  <c r="ET49" i="1"/>
  <c r="HU49" i="1" s="1"/>
  <c r="ET46" i="1"/>
  <c r="HU46" i="1" s="1"/>
  <c r="ET45" i="1"/>
  <c r="HU45" i="1" s="1"/>
  <c r="ET44" i="1"/>
  <c r="HU44" i="1" s="1"/>
  <c r="HR54" i="1" l="1"/>
  <c r="HR51" i="1" l="1"/>
  <c r="HR58" i="1" l="1"/>
  <c r="HR138" i="1" s="1"/>
  <c r="HW53" i="1" l="1"/>
  <c r="ET60" i="1" l="1"/>
  <c r="ET57" i="1"/>
  <c r="HU57" i="1" s="1"/>
  <c r="ET62" i="1"/>
  <c r="ET59" i="1"/>
  <c r="ET53" i="1"/>
  <c r="ET39" i="1"/>
  <c r="ET40" i="1"/>
  <c r="ET61" i="1"/>
  <c r="ET50" i="1"/>
  <c r="ET51" i="1"/>
  <c r="ET48" i="1"/>
  <c r="ET47" i="1"/>
  <c r="ET41" i="1"/>
  <c r="ET43" i="1"/>
  <c r="ET38" i="1"/>
  <c r="ET36" i="1"/>
  <c r="ET42" i="1"/>
  <c r="ET58" i="1"/>
  <c r="ER56" i="1"/>
  <c r="ET56" i="1" s="1"/>
  <c r="ER55" i="1"/>
  <c r="ET55" i="1" s="1"/>
  <c r="HW86" i="1"/>
  <c r="HF63" i="1" l="1"/>
  <c r="GP63" i="1" s="1"/>
  <c r="HW131" i="1" l="1"/>
  <c r="GP123" i="1" l="1"/>
  <c r="GP103" i="1"/>
  <c r="GP130" i="1"/>
  <c r="GP118" i="1"/>
  <c r="GP122" i="1"/>
  <c r="GP121" i="1"/>
  <c r="GP117" i="1"/>
  <c r="GP116" i="1"/>
  <c r="GP115" i="1"/>
  <c r="GP114" i="1"/>
  <c r="GP113" i="1"/>
  <c r="GP112" i="1"/>
  <c r="GP111" i="1"/>
  <c r="GP120" i="1"/>
  <c r="GP119" i="1"/>
  <c r="GP129" i="1"/>
  <c r="GP110" i="1"/>
  <c r="GP108" i="1"/>
  <c r="GP107" i="1"/>
  <c r="GP106" i="1"/>
  <c r="GP133" i="1"/>
  <c r="GP125" i="1"/>
  <c r="GP109" i="1"/>
  <c r="GP105" i="1"/>
  <c r="GP127" i="1"/>
  <c r="GP128" i="1"/>
  <c r="GP100" i="1"/>
  <c r="GP99" i="1"/>
  <c r="GP97" i="1"/>
  <c r="GP126" i="1"/>
  <c r="GP124" i="1"/>
  <c r="GP101" i="1"/>
  <c r="GP104" i="1"/>
  <c r="GP96" i="1"/>
  <c r="GP92" i="1"/>
  <c r="GP102" i="1"/>
  <c r="GP90" i="1"/>
  <c r="GP84" i="1"/>
  <c r="GP79" i="1"/>
  <c r="GP83" i="1"/>
  <c r="GP82" i="1"/>
  <c r="GP85" i="1"/>
  <c r="GP78" i="1"/>
  <c r="GP81" i="1"/>
  <c r="GP80" i="1"/>
  <c r="GP86" i="1"/>
  <c r="GP132" i="1"/>
  <c r="HY56" i="1"/>
  <c r="GP131" i="1"/>
  <c r="HY92" i="1" l="1"/>
  <c r="HX92" i="1"/>
  <c r="HY99" i="1"/>
  <c r="HX99" i="1"/>
  <c r="HY79" i="1"/>
  <c r="HX79" i="1"/>
  <c r="HY85" i="1"/>
  <c r="HX85" i="1"/>
  <c r="HY84" i="1"/>
  <c r="HX84" i="1"/>
  <c r="HY96" i="1"/>
  <c r="HX96" i="1"/>
  <c r="HY100" i="1"/>
  <c r="HX100" i="1"/>
  <c r="HX82" i="1"/>
  <c r="HY82" i="1"/>
  <c r="HX78" i="1"/>
  <c r="HY78" i="1"/>
  <c r="HY80" i="1"/>
  <c r="HX80" i="1"/>
  <c r="HX90" i="1"/>
  <c r="HY90" i="1"/>
  <c r="HY81" i="1"/>
  <c r="HX81" i="1"/>
  <c r="HY83" i="1"/>
  <c r="HX83" i="1"/>
  <c r="HX97" i="1"/>
  <c r="HY97" i="1"/>
  <c r="HY86" i="1"/>
  <c r="HX86" i="1"/>
  <c r="HY131" i="1"/>
  <c r="HX131" i="1"/>
  <c r="GP95" i="1"/>
  <c r="GP94" i="1"/>
  <c r="GP93" i="1"/>
  <c r="GP91" i="1"/>
  <c r="GP89" i="1"/>
  <c r="GP88" i="1"/>
  <c r="GP87" i="1"/>
  <c r="GP67" i="1"/>
  <c r="GP68" i="1"/>
  <c r="GP66" i="1"/>
  <c r="HX66" i="1" s="1"/>
  <c r="GP57" i="1"/>
  <c r="GP45" i="1"/>
  <c r="GP44" i="1"/>
  <c r="GP49" i="1"/>
  <c r="HY49" i="1" s="1"/>
  <c r="GP52" i="1"/>
  <c r="HY52" i="1" s="1"/>
  <c r="GP46" i="1"/>
  <c r="HY48" i="1"/>
  <c r="GP38" i="1"/>
  <c r="GP39" i="1"/>
  <c r="HY46" i="1" l="1"/>
  <c r="HX46" i="1"/>
  <c r="HY45" i="1"/>
  <c r="HX45" i="1"/>
  <c r="HY57" i="1"/>
  <c r="HX57" i="1"/>
  <c r="HY44" i="1"/>
  <c r="HX44" i="1"/>
  <c r="AM132" i="1"/>
  <c r="AI133" i="1" l="1"/>
  <c r="GQ130" i="1" l="1"/>
  <c r="GQ129" i="1"/>
  <c r="GQ128" i="1"/>
  <c r="GQ126" i="1"/>
  <c r="GQ127" i="1"/>
  <c r="GQ105" i="1"/>
  <c r="GQ104" i="1"/>
  <c r="GQ133" i="1"/>
  <c r="BE3" i="1"/>
  <c r="BD4" i="1"/>
  <c r="AI98" i="1" l="1"/>
  <c r="EQ71" i="1" l="1"/>
  <c r="EZ71" i="1" l="1"/>
  <c r="ER71" i="1"/>
  <c r="FA71" i="1" s="1"/>
  <c r="HQ40" i="1"/>
  <c r="FH41" i="1"/>
  <c r="HQ41" i="1" s="1"/>
  <c r="ET71" i="1" l="1"/>
  <c r="HQ36" i="1" l="1"/>
  <c r="DK76" i="1" l="1"/>
  <c r="DK69" i="1"/>
  <c r="DK73" i="1"/>
  <c r="DK70" i="1"/>
  <c r="DK71" i="1"/>
  <c r="DK74" i="1"/>
  <c r="DK77" i="1"/>
  <c r="DK134" i="1"/>
  <c r="DK82" i="1"/>
  <c r="DK83" i="1"/>
  <c r="DK80" i="1"/>
  <c r="DK81" i="1"/>
  <c r="DK79" i="1"/>
  <c r="DK78" i="1"/>
  <c r="DK84" i="1"/>
  <c r="DK85" i="1"/>
  <c r="DK75" i="1"/>
  <c r="DK132" i="1"/>
  <c r="DK131" i="1"/>
  <c r="DK102" i="1"/>
  <c r="DK133" i="1"/>
  <c r="DO98" i="1"/>
  <c r="DO96" i="1"/>
  <c r="DO127" i="1"/>
  <c r="DO97" i="1"/>
  <c r="DO128" i="1"/>
  <c r="DO99" i="1"/>
  <c r="DO100" i="1"/>
  <c r="DO129" i="1"/>
  <c r="DO130" i="1"/>
  <c r="DO126" i="1"/>
  <c r="DO105" i="1"/>
  <c r="AE98" i="1" l="1"/>
  <c r="HM98" i="1" l="1"/>
  <c r="HG98" i="1"/>
  <c r="HK98" i="1"/>
  <c r="HH98" i="1"/>
  <c r="GR98" i="1"/>
  <c r="AM98" i="1"/>
  <c r="GU98" i="1"/>
  <c r="GY98" i="1"/>
  <c r="AF98" i="1"/>
  <c r="AN98" i="1"/>
  <c r="AE126" i="1" l="1"/>
  <c r="AM126" i="1" s="1"/>
  <c r="T126" i="1"/>
  <c r="U126" i="1"/>
  <c r="V126" i="1"/>
  <c r="AF126" i="1" l="1"/>
  <c r="AN126" i="1"/>
  <c r="W126" i="1"/>
  <c r="X126" i="1"/>
  <c r="Z126" i="1"/>
  <c r="S126" i="1"/>
  <c r="EU130" i="1" l="1"/>
  <c r="EU129" i="1"/>
  <c r="EU100" i="1"/>
  <c r="EU99" i="1"/>
  <c r="EU128" i="1"/>
  <c r="EU133" i="1"/>
  <c r="EU97" i="1"/>
  <c r="EU105" i="1"/>
  <c r="EU127" i="1"/>
  <c r="EU62" i="1"/>
  <c r="EU60" i="1"/>
  <c r="EU53" i="1"/>
  <c r="EU59" i="1"/>
  <c r="EU56" i="1"/>
  <c r="EU55" i="1"/>
  <c r="EU58" i="1"/>
  <c r="EU51" i="1"/>
  <c r="EU50" i="1"/>
  <c r="EU41" i="1"/>
  <c r="EU47" i="1"/>
  <c r="EU40" i="1"/>
  <c r="EU43" i="1"/>
  <c r="EU42" i="1"/>
  <c r="EU61" i="1"/>
  <c r="FI47" i="1" l="1"/>
  <c r="AE129" i="1" l="1"/>
  <c r="AM129" i="1" s="1"/>
  <c r="AE116" i="1"/>
  <c r="AM116" i="1" s="1"/>
  <c r="AE130" i="1"/>
  <c r="AM130" i="1" s="1"/>
  <c r="AF130" i="1" l="1"/>
  <c r="AN130" i="1"/>
  <c r="AF129" i="1"/>
  <c r="AN129" i="1"/>
  <c r="T128" i="1" l="1"/>
  <c r="U128" i="1"/>
  <c r="V128" i="1"/>
  <c r="AE128" i="1"/>
  <c r="AM128" i="1" s="1"/>
  <c r="AF128" i="1" l="1"/>
  <c r="AN128" i="1"/>
  <c r="Z128" i="1"/>
  <c r="X128" i="1"/>
  <c r="W128" i="1"/>
  <c r="S128" i="1"/>
  <c r="AE99" i="1"/>
  <c r="AE100" i="1"/>
  <c r="HG99" i="1" l="1"/>
  <c r="HH99" i="1"/>
  <c r="HK99" i="1"/>
  <c r="HM99" i="1"/>
  <c r="GR99" i="1"/>
  <c r="HK100" i="1"/>
  <c r="HM100" i="1"/>
  <c r="HH100" i="1"/>
  <c r="HG100" i="1"/>
  <c r="GR100" i="1"/>
  <c r="AM99" i="1"/>
  <c r="GU99" i="1"/>
  <c r="GY99" i="1"/>
  <c r="AM100" i="1"/>
  <c r="GU100" i="1"/>
  <c r="GY100" i="1"/>
  <c r="AF99" i="1"/>
  <c r="AN99" i="1"/>
  <c r="AF100" i="1"/>
  <c r="AN100" i="1"/>
  <c r="HB138" i="1"/>
  <c r="HI138" i="1"/>
  <c r="HL138" i="1"/>
  <c r="HO138" i="1"/>
  <c r="HP138" i="1"/>
  <c r="GS138" i="1"/>
  <c r="GT138" i="1"/>
  <c r="GX138" i="1"/>
  <c r="Q137" i="1" l="1"/>
  <c r="S137" i="1" l="1"/>
  <c r="U138" i="1"/>
  <c r="T137" i="1" l="1"/>
  <c r="Z137" i="1"/>
  <c r="X137" i="1"/>
  <c r="W137" i="1"/>
  <c r="V137" i="1"/>
  <c r="U137" i="1"/>
  <c r="AE97" i="1" l="1"/>
  <c r="T97" i="1"/>
  <c r="U97" i="1"/>
  <c r="V97" i="1"/>
  <c r="V133" i="1"/>
  <c r="P133" i="1"/>
  <c r="U133" i="1" s="1"/>
  <c r="P105" i="1"/>
  <c r="T105" i="1" s="1"/>
  <c r="V105" i="1"/>
  <c r="AE133" i="1"/>
  <c r="AM133" i="1" s="1"/>
  <c r="AE127" i="1"/>
  <c r="AM127" i="1" s="1"/>
  <c r="T127" i="1"/>
  <c r="U127" i="1"/>
  <c r="V127" i="1"/>
  <c r="AE105" i="1"/>
  <c r="AM105" i="1" s="1"/>
  <c r="HM97" i="1" l="1"/>
  <c r="HG97" i="1"/>
  <c r="HK97" i="1"/>
  <c r="HH97" i="1"/>
  <c r="GR97" i="1"/>
  <c r="AM97" i="1"/>
  <c r="GU97" i="1"/>
  <c r="GY97" i="1"/>
  <c r="AF127" i="1"/>
  <c r="AN127" i="1"/>
  <c r="AF105" i="1"/>
  <c r="AN105" i="1"/>
  <c r="S133" i="1"/>
  <c r="AN133" i="1"/>
  <c r="AF97" i="1"/>
  <c r="AN97" i="1"/>
  <c r="T133" i="1"/>
  <c r="U105" i="1"/>
  <c r="AF133" i="1"/>
  <c r="X105" i="1"/>
  <c r="X133" i="1"/>
  <c r="X97" i="1"/>
  <c r="Z97" i="1"/>
  <c r="Z133" i="1"/>
  <c r="W105" i="1"/>
  <c r="S105" i="1"/>
  <c r="W133" i="1"/>
  <c r="W97" i="1"/>
  <c r="S97" i="1"/>
  <c r="W127" i="1"/>
  <c r="S127" i="1"/>
  <c r="Z127" i="1"/>
  <c r="X127" i="1"/>
  <c r="Z105" i="1"/>
  <c r="J180" i="1" l="1"/>
  <c r="D154" i="1"/>
  <c r="E154" i="1"/>
  <c r="N186" i="1"/>
  <c r="N185" i="1"/>
  <c r="N184" i="1"/>
  <c r="N183" i="1"/>
  <c r="N182" i="1"/>
  <c r="N181" i="1"/>
  <c r="N180" i="1"/>
  <c r="P186" i="1"/>
  <c r="P185" i="1"/>
  <c r="P184" i="1"/>
  <c r="P183" i="1"/>
  <c r="P182" i="1"/>
  <c r="P181" i="1"/>
  <c r="P180" i="1"/>
  <c r="H180" i="1"/>
  <c r="P187" i="1" l="1"/>
  <c r="GV82" i="1" l="1"/>
  <c r="GV83" i="1"/>
  <c r="GN83" i="1" l="1"/>
  <c r="HN83" i="1" s="1"/>
  <c r="GM83" i="1"/>
  <c r="GN82" i="1"/>
  <c r="HN82" i="1" s="1"/>
  <c r="GM82" i="1"/>
  <c r="BD80" i="1"/>
  <c r="BD86" i="1"/>
  <c r="BD78" i="1"/>
  <c r="BD79" i="1"/>
  <c r="BD84" i="1"/>
  <c r="BD81" i="1"/>
  <c r="BD83" i="1"/>
  <c r="BD82" i="1"/>
  <c r="BD62" i="1"/>
  <c r="BD61" i="1"/>
  <c r="BD32" i="1"/>
  <c r="BD39" i="1"/>
  <c r="BD36" i="1"/>
  <c r="BD3" i="1"/>
  <c r="BD5" i="1"/>
  <c r="BD6" i="1"/>
  <c r="BE84" i="1" l="1"/>
  <c r="DP104" i="1" l="1"/>
  <c r="DT104" i="1"/>
  <c r="DU104" i="1" s="1"/>
  <c r="DW104" i="1"/>
  <c r="DZ104" i="1"/>
  <c r="EA104" i="1" s="1"/>
  <c r="EC104" i="1"/>
  <c r="ED104" i="1" s="1"/>
  <c r="EG104" i="1"/>
  <c r="EI104" i="1"/>
  <c r="EJ104" i="1" s="1"/>
  <c r="EL104" i="1"/>
  <c r="EM104" i="1" s="1"/>
  <c r="EQ104" i="1"/>
  <c r="ER104" i="1" s="1"/>
  <c r="DO102" i="1"/>
  <c r="DK96" i="1"/>
  <c r="DO104" i="1"/>
  <c r="DK104" i="1"/>
  <c r="DO90" i="1"/>
  <c r="DK90" i="1"/>
  <c r="DO95" i="1"/>
  <c r="DK95" i="1"/>
  <c r="DO88" i="1"/>
  <c r="DK88" i="1"/>
  <c r="DO94" i="1"/>
  <c r="DK94" i="1"/>
  <c r="DO92" i="1"/>
  <c r="DK92" i="1"/>
  <c r="DE102" i="1"/>
  <c r="DF102" i="1" s="1"/>
  <c r="DB102" i="1"/>
  <c r="DC102" i="1" s="1"/>
  <c r="CY102" i="1"/>
  <c r="CZ102" i="1" s="1"/>
  <c r="DE96" i="1"/>
  <c r="DF96" i="1" s="1"/>
  <c r="DB96" i="1"/>
  <c r="DC96" i="1" s="1"/>
  <c r="CY96" i="1"/>
  <c r="CZ96" i="1" s="1"/>
  <c r="DE104" i="1"/>
  <c r="DF104" i="1" s="1"/>
  <c r="DB104" i="1"/>
  <c r="DC104" i="1" s="1"/>
  <c r="CY104" i="1"/>
  <c r="CZ104" i="1" s="1"/>
  <c r="DE90" i="1"/>
  <c r="DF90" i="1" s="1"/>
  <c r="DB90" i="1"/>
  <c r="DC90" i="1" s="1"/>
  <c r="CY90" i="1"/>
  <c r="CZ90" i="1" s="1"/>
  <c r="DE95" i="1"/>
  <c r="DF95" i="1" s="1"/>
  <c r="DB95" i="1"/>
  <c r="DC95" i="1" s="1"/>
  <c r="CY95" i="1"/>
  <c r="CZ95" i="1" s="1"/>
  <c r="DE88" i="1"/>
  <c r="DF88" i="1" s="1"/>
  <c r="DB88" i="1"/>
  <c r="DC88" i="1" s="1"/>
  <c r="CY88" i="1"/>
  <c r="CZ88" i="1" s="1"/>
  <c r="DE94" i="1"/>
  <c r="DF94" i="1" s="1"/>
  <c r="DB94" i="1"/>
  <c r="DC94" i="1" s="1"/>
  <c r="CY94" i="1"/>
  <c r="CZ94" i="1" s="1"/>
  <c r="DE92" i="1"/>
  <c r="DF92" i="1" s="1"/>
  <c r="DB92" i="1"/>
  <c r="DC92" i="1" s="1"/>
  <c r="CY92" i="1"/>
  <c r="CZ92" i="1" s="1"/>
  <c r="BS104" i="1"/>
  <c r="BU104" i="1" s="1"/>
  <c r="BS90" i="1"/>
  <c r="BS95" i="1"/>
  <c r="BS88" i="1"/>
  <c r="BS94" i="1"/>
  <c r="BS92" i="1"/>
  <c r="AE104" i="1"/>
  <c r="DR104" i="1" l="1"/>
  <c r="ET104" i="1"/>
  <c r="HU104" i="1" s="1"/>
  <c r="AN104" i="1"/>
  <c r="AM104" i="1"/>
  <c r="DX104" i="1"/>
  <c r="EU104" i="1"/>
  <c r="AF104" i="1"/>
  <c r="BV104" i="1"/>
  <c r="BW104" i="1" s="1"/>
  <c r="BX104" i="1" s="1"/>
  <c r="ES104" i="1"/>
  <c r="S104" i="1"/>
  <c r="T104" i="1"/>
  <c r="U104" i="1"/>
  <c r="V104" i="1"/>
  <c r="W104" i="1"/>
  <c r="X104" i="1"/>
  <c r="Z104" i="1"/>
  <c r="I20" i="26" l="1"/>
  <c r="I19" i="26"/>
  <c r="I18" i="26"/>
  <c r="I17" i="26"/>
  <c r="I16" i="26"/>
  <c r="I15" i="26"/>
  <c r="I14" i="26"/>
  <c r="I13" i="26"/>
  <c r="H17" i="26"/>
  <c r="H18" i="26"/>
  <c r="H19" i="26"/>
  <c r="H20" i="26"/>
  <c r="D17" i="26"/>
  <c r="D18" i="26"/>
  <c r="D19" i="26"/>
  <c r="D20" i="26"/>
  <c r="BS40" i="1" l="1"/>
  <c r="BT60" i="1" l="1"/>
  <c r="BP60" i="1"/>
  <c r="BP59" i="1"/>
  <c r="BT59" i="1"/>
  <c r="AG138" i="1"/>
  <c r="AG148" i="1"/>
  <c r="AH58" i="1"/>
  <c r="AF132" i="1"/>
  <c r="AI138" i="1"/>
  <c r="AJ138" i="1"/>
  <c r="AK138" i="1"/>
  <c r="BT39" i="1"/>
  <c r="BT54" i="1"/>
  <c r="BT62" i="1"/>
  <c r="BT53" i="1"/>
  <c r="BT40" i="1"/>
  <c r="BT58" i="1"/>
  <c r="BT61" i="1"/>
  <c r="BT51" i="1"/>
  <c r="BT50" i="1"/>
  <c r="BT47" i="1"/>
  <c r="BT41" i="1"/>
  <c r="BT32" i="1"/>
  <c r="BT42" i="1"/>
  <c r="BT48" i="1"/>
  <c r="BT37" i="1"/>
  <c r="BT38" i="1"/>
  <c r="BT28" i="1"/>
  <c r="BT31" i="1"/>
  <c r="BT26" i="1"/>
  <c r="BT25" i="1"/>
  <c r="BT24" i="1"/>
  <c r="BT23" i="1"/>
  <c r="BT30" i="1"/>
  <c r="BP17" i="1"/>
  <c r="BP11" i="1"/>
  <c r="BP18" i="1"/>
  <c r="BP12" i="1"/>
  <c r="BP14" i="1"/>
  <c r="BP21" i="1"/>
  <c r="BP22" i="1"/>
  <c r="BP15" i="1"/>
  <c r="BP16" i="1"/>
  <c r="BP20" i="1"/>
  <c r="BP19" i="1"/>
  <c r="BT11" i="1"/>
  <c r="BP66" i="1" l="1"/>
  <c r="BP52" i="1"/>
  <c r="BP67" i="1"/>
  <c r="BP49" i="1"/>
  <c r="BP57" i="1"/>
  <c r="BP44" i="1"/>
  <c r="BS82" i="1"/>
  <c r="BS83" i="1"/>
  <c r="BS80" i="1"/>
  <c r="BS81" i="1"/>
  <c r="BS84" i="1"/>
  <c r="BS79" i="1"/>
  <c r="GV103" i="1" l="1"/>
  <c r="GM103" i="1" s="1"/>
  <c r="IA103" i="1"/>
  <c r="EQ103" i="1"/>
  <c r="EZ103" i="1" s="1"/>
  <c r="EL103" i="1"/>
  <c r="EM103" i="1" s="1"/>
  <c r="EI103" i="1"/>
  <c r="EJ103" i="1" s="1"/>
  <c r="EG103" i="1"/>
  <c r="EC103" i="1"/>
  <c r="ED103" i="1" s="1"/>
  <c r="DZ103" i="1"/>
  <c r="EA103" i="1" s="1"/>
  <c r="DW103" i="1"/>
  <c r="DT103" i="1"/>
  <c r="DU103" i="1" s="1"/>
  <c r="DP103" i="1"/>
  <c r="DO103" i="1"/>
  <c r="AE103" i="1"/>
  <c r="AM103" i="1" s="1"/>
  <c r="T103" i="1"/>
  <c r="R103" i="1"/>
  <c r="IA101" i="1"/>
  <c r="GV101" i="1"/>
  <c r="GM101" i="1" s="1"/>
  <c r="IA92" i="1"/>
  <c r="GV92" i="1"/>
  <c r="GM92" i="1" s="1"/>
  <c r="DO101" i="1"/>
  <c r="DP101" i="1"/>
  <c r="DT101" i="1"/>
  <c r="DU101" i="1" s="1"/>
  <c r="DW101" i="1"/>
  <c r="DZ101" i="1"/>
  <c r="EA101" i="1" s="1"/>
  <c r="EC101" i="1"/>
  <c r="ED101" i="1" s="1"/>
  <c r="EG101" i="1"/>
  <c r="EI101" i="1"/>
  <c r="EJ101" i="1" s="1"/>
  <c r="EL101" i="1"/>
  <c r="EM101" i="1" s="1"/>
  <c r="EQ101" i="1"/>
  <c r="ER101" i="1" s="1"/>
  <c r="DP96" i="1"/>
  <c r="DT96" i="1"/>
  <c r="DU96" i="1" s="1"/>
  <c r="DW96" i="1"/>
  <c r="DZ96" i="1"/>
  <c r="EA96" i="1" s="1"/>
  <c r="EC96" i="1"/>
  <c r="ED96" i="1" s="1"/>
  <c r="EG96" i="1"/>
  <c r="EI96" i="1"/>
  <c r="EJ96" i="1" s="1"/>
  <c r="EL96" i="1"/>
  <c r="EM96" i="1" s="1"/>
  <c r="EQ96" i="1"/>
  <c r="DP92" i="1"/>
  <c r="DT92" i="1"/>
  <c r="DU92" i="1" s="1"/>
  <c r="DW92" i="1"/>
  <c r="DZ92" i="1"/>
  <c r="EA92" i="1" s="1"/>
  <c r="EC92" i="1"/>
  <c r="ED92" i="1" s="1"/>
  <c r="EG92" i="1"/>
  <c r="EI92" i="1"/>
  <c r="EJ92" i="1" s="1"/>
  <c r="EL92" i="1"/>
  <c r="EM92" i="1" s="1"/>
  <c r="EQ92" i="1"/>
  <c r="IA96" i="1" l="1"/>
  <c r="ER92" i="1"/>
  <c r="ET92" i="1" s="1"/>
  <c r="EZ92" i="1"/>
  <c r="FA92" i="1" s="1"/>
  <c r="ER96" i="1"/>
  <c r="ET96" i="1" s="1"/>
  <c r="EZ96" i="1"/>
  <c r="FA96" i="1" s="1"/>
  <c r="GN101" i="1"/>
  <c r="HC101" i="1" s="1"/>
  <c r="GN103" i="1"/>
  <c r="HC103" i="1" s="1"/>
  <c r="GN92" i="1"/>
  <c r="GN96" i="1"/>
  <c r="DR101" i="1"/>
  <c r="ET101" i="1"/>
  <c r="DR92" i="1"/>
  <c r="DX92" i="1"/>
  <c r="EU92" i="1"/>
  <c r="DX96" i="1"/>
  <c r="EU96" i="1"/>
  <c r="DX101" i="1"/>
  <c r="EU101" i="1"/>
  <c r="DX103" i="1"/>
  <c r="EU103" i="1"/>
  <c r="HK103" i="1"/>
  <c r="AF103" i="1"/>
  <c r="ER103" i="1"/>
  <c r="BS103" i="1"/>
  <c r="W103" i="1"/>
  <c r="AN103" i="1"/>
  <c r="HG103" i="1"/>
  <c r="X103" i="1"/>
  <c r="GY103" i="1"/>
  <c r="HM103" i="1"/>
  <c r="U103" i="1"/>
  <c r="Z103" i="1"/>
  <c r="GR103" i="1"/>
  <c r="HH103" i="1"/>
  <c r="V103" i="1"/>
  <c r="S103" i="1"/>
  <c r="EZ101" i="1"/>
  <c r="EX92" i="1"/>
  <c r="EX101" i="1"/>
  <c r="FA101" i="1" s="1"/>
  <c r="FW101" i="1"/>
  <c r="ES92" i="1"/>
  <c r="ES101" i="1"/>
  <c r="M32" i="26"/>
  <c r="FW92" i="1" l="1"/>
  <c r="GQ92" i="1"/>
  <c r="HS96" i="1"/>
  <c r="GQ96" i="1"/>
  <c r="EX96" i="1"/>
  <c r="DR96" i="1"/>
  <c r="ES96" i="1"/>
  <c r="FW96" i="1"/>
  <c r="BV92" i="1"/>
  <c r="BW92" i="1" s="1"/>
  <c r="BX92" i="1" s="1"/>
  <c r="HT96" i="1"/>
  <c r="HU96" i="1" s="1"/>
  <c r="HV96" i="1" s="1"/>
  <c r="HT92" i="1"/>
  <c r="HU92" i="1" s="1"/>
  <c r="HV92" i="1" s="1"/>
  <c r="HS92" i="1"/>
  <c r="GQ103" i="1"/>
  <c r="HT103" i="1"/>
  <c r="HS103" i="1"/>
  <c r="GQ101" i="1"/>
  <c r="HT101" i="1"/>
  <c r="HU101" i="1" s="1"/>
  <c r="HS101" i="1"/>
  <c r="FW103" i="1"/>
  <c r="ET103" i="1"/>
  <c r="EX103" i="1"/>
  <c r="FA103" i="1" s="1"/>
  <c r="BV103" i="1" s="1"/>
  <c r="BW103" i="1" s="1"/>
  <c r="BX103" i="1" s="1"/>
  <c r="FC96" i="1"/>
  <c r="FE96" i="1" s="1"/>
  <c r="BU92" i="1"/>
  <c r="ES103" i="1"/>
  <c r="DR103" i="1"/>
  <c r="FC101" i="1"/>
  <c r="FE101" i="1" s="1"/>
  <c r="GO103" i="1"/>
  <c r="FL103" i="1"/>
  <c r="HN103" i="1"/>
  <c r="FC92" i="1"/>
  <c r="HN101" i="1"/>
  <c r="GO101" i="1"/>
  <c r="FL101" i="1"/>
  <c r="FL96" i="1"/>
  <c r="HN96" i="1"/>
  <c r="GO96" i="1"/>
  <c r="HC96" i="1"/>
  <c r="HN92" i="1"/>
  <c r="FL92" i="1"/>
  <c r="GO92" i="1"/>
  <c r="HC92" i="1"/>
  <c r="GP65" i="1"/>
  <c r="HX65" i="1" s="1"/>
  <c r="HU103" i="1" l="1"/>
  <c r="FE92" i="1"/>
  <c r="FC103" i="1"/>
  <c r="FE103" i="1" s="1"/>
  <c r="BU103" i="1"/>
  <c r="IA83" i="1" l="1"/>
  <c r="DO83" i="1"/>
  <c r="DP83" i="1"/>
  <c r="DT83" i="1"/>
  <c r="DU83" i="1" s="1"/>
  <c r="DW83" i="1"/>
  <c r="EL83" i="1"/>
  <c r="EM83" i="1" s="1"/>
  <c r="EC83" i="1"/>
  <c r="ED83" i="1" s="1"/>
  <c r="DZ83" i="1"/>
  <c r="BE90" i="1"/>
  <c r="BE82" i="1"/>
  <c r="BE83" i="1"/>
  <c r="AE83" i="1"/>
  <c r="HK83" i="1" s="1"/>
  <c r="T83" i="1"/>
  <c r="U83" i="1"/>
  <c r="V83" i="1"/>
  <c r="DR83" i="1" l="1"/>
  <c r="ET83" i="1"/>
  <c r="BF83" i="1"/>
  <c r="AM83" i="1"/>
  <c r="DX83" i="1"/>
  <c r="EU83" i="1"/>
  <c r="AF83" i="1"/>
  <c r="AS83" i="1"/>
  <c r="W83" i="1"/>
  <c r="X83" i="1"/>
  <c r="AN83" i="1"/>
  <c r="GU83" i="1"/>
  <c r="S83" i="1"/>
  <c r="GY83" i="1"/>
  <c r="HH83" i="1"/>
  <c r="HM83" i="1"/>
  <c r="HG83" i="1"/>
  <c r="FW83" i="1"/>
  <c r="ES83" i="1"/>
  <c r="EZ83" i="1"/>
  <c r="BV83" i="1" s="1"/>
  <c r="BW83" i="1" s="1"/>
  <c r="BX83" i="1" s="1"/>
  <c r="Z83" i="1"/>
  <c r="HT83" i="1" l="1"/>
  <c r="HU83" i="1" s="1"/>
  <c r="HV83" i="1" s="1"/>
  <c r="HS83" i="1"/>
  <c r="GQ83" i="1"/>
  <c r="FL83" i="1"/>
  <c r="BU83" i="1"/>
  <c r="GR83" i="1"/>
  <c r="FC83" i="1"/>
  <c r="FE83" i="1" s="1"/>
  <c r="GO83" i="1"/>
  <c r="HC83" i="1"/>
  <c r="BE79" i="1"/>
  <c r="BC85" i="1" l="1"/>
  <c r="BD85" i="1" s="1"/>
  <c r="BT70" i="1" l="1"/>
  <c r="BS63" i="1" l="1"/>
  <c r="T92" i="1" l="1"/>
  <c r="V96" i="1"/>
  <c r="V92" i="1"/>
  <c r="U92" i="1"/>
  <c r="AE92" i="1"/>
  <c r="GU92" i="1" l="1"/>
  <c r="HK92" i="1"/>
  <c r="GR92" i="1"/>
  <c r="AF92" i="1"/>
  <c r="AM92" i="1"/>
  <c r="AN92" i="1"/>
  <c r="HH92" i="1"/>
  <c r="HG92" i="1"/>
  <c r="HM92" i="1"/>
  <c r="GY92" i="1"/>
  <c r="Z92" i="1"/>
  <c r="X92" i="1"/>
  <c r="W92" i="1"/>
  <c r="S92" i="1"/>
  <c r="DV75" i="1" l="1"/>
  <c r="DV74" i="1"/>
  <c r="DV71" i="1"/>
  <c r="DV70" i="1"/>
  <c r="DV72" i="1"/>
  <c r="DV76" i="1"/>
  <c r="DV64" i="1"/>
  <c r="DV63" i="1"/>
  <c r="DV77" i="1"/>
  <c r="DV134" i="1"/>
  <c r="DV69" i="1"/>
  <c r="DV73" i="1"/>
  <c r="EQ68" i="1" l="1"/>
  <c r="ER68" i="1" s="1"/>
  <c r="ET68" i="1" s="1"/>
  <c r="HU68" i="1" s="1"/>
  <c r="EQ65" i="1"/>
  <c r="EQ67" i="1"/>
  <c r="EQ66" i="1"/>
  <c r="ER66" i="1" s="1"/>
  <c r="ET66" i="1" s="1"/>
  <c r="HU66" i="1" s="1"/>
  <c r="EQ44" i="1"/>
  <c r="EZ44" i="1" s="1"/>
  <c r="FC44" i="1" s="1"/>
  <c r="EQ57" i="1"/>
  <c r="EZ57" i="1" s="1"/>
  <c r="FC57" i="1" s="1"/>
  <c r="EQ49" i="1"/>
  <c r="EZ49" i="1" s="1"/>
  <c r="FC49" i="1" s="1"/>
  <c r="EQ52" i="1"/>
  <c r="EZ52" i="1" s="1"/>
  <c r="FC52" i="1" s="1"/>
  <c r="ER67" i="1" l="1"/>
  <c r="ET67" i="1" s="1"/>
  <c r="HU67" i="1" s="1"/>
  <c r="EZ67" i="1"/>
  <c r="ER65" i="1"/>
  <c r="ET65" i="1" s="1"/>
  <c r="HU65" i="1" s="1"/>
  <c r="EZ65" i="1"/>
  <c r="EQ134" i="1"/>
  <c r="ER134" i="1" s="1"/>
  <c r="ET134" i="1" s="1"/>
  <c r="FA67" i="1" l="1"/>
  <c r="FC67" i="1" s="1"/>
  <c r="FA65" i="1"/>
  <c r="FC65" i="1" l="1"/>
  <c r="GV41" i="1"/>
  <c r="GN41" i="1" l="1"/>
  <c r="GM41" i="1"/>
  <c r="GQ41" i="1"/>
  <c r="HT41" i="1"/>
  <c r="HU41" i="1" s="1"/>
  <c r="HV41" i="1" s="1"/>
  <c r="HS41" i="1"/>
  <c r="BT43" i="1"/>
  <c r="FD50" i="1" l="1"/>
  <c r="FD51" i="1" l="1"/>
  <c r="FD48" i="1" l="1"/>
  <c r="FD47" i="1"/>
  <c r="FD61" i="1" l="1"/>
  <c r="EF56" i="1" l="1"/>
  <c r="EG56" i="1" s="1"/>
  <c r="EC56" i="1"/>
  <c r="ED56" i="1" s="1"/>
  <c r="DZ56" i="1"/>
  <c r="EI56" i="1"/>
  <c r="EJ56" i="1" s="1"/>
  <c r="EM56" i="1"/>
  <c r="EQ56" i="1"/>
  <c r="EZ56" i="1" s="1"/>
  <c r="FC56" i="1" s="1"/>
  <c r="DP60" i="1" l="1"/>
  <c r="EF53" i="1"/>
  <c r="EF54" i="1"/>
  <c r="EF62" i="1"/>
  <c r="DZ62" i="1"/>
  <c r="IF2" i="1" l="1"/>
  <c r="ID2" i="1"/>
  <c r="IC2" i="1"/>
  <c r="AN132" i="1" l="1"/>
  <c r="BS2" i="1"/>
  <c r="BS9" i="1"/>
  <c r="BS3" i="1"/>
  <c r="BS6" i="1"/>
  <c r="BS4" i="1"/>
  <c r="BS5" i="1"/>
  <c r="BS7" i="1"/>
  <c r="BS8" i="1"/>
  <c r="BS10" i="1"/>
  <c r="BS19" i="1"/>
  <c r="BV19" i="1" s="1"/>
  <c r="BS13" i="1"/>
  <c r="BV13" i="1" s="1"/>
  <c r="BS11" i="1"/>
  <c r="BV11" i="1" s="1"/>
  <c r="BS78" i="1"/>
  <c r="BS87" i="1"/>
  <c r="BS89" i="1"/>
  <c r="BS91" i="1"/>
  <c r="BS93" i="1"/>
  <c r="BS102" i="1"/>
  <c r="BS101" i="1"/>
  <c r="BV101" i="1" s="1"/>
  <c r="BW101" i="1" s="1"/>
  <c r="BX101" i="1" s="1"/>
  <c r="BS96" i="1"/>
  <c r="BV96" i="1" s="1"/>
  <c r="BW96" i="1" s="1"/>
  <c r="BX96" i="1" s="1"/>
  <c r="BS124" i="1"/>
  <c r="BS125" i="1"/>
  <c r="BS109" i="1"/>
  <c r="BS106" i="1"/>
  <c r="BS107" i="1"/>
  <c r="BS108" i="1"/>
  <c r="BS110" i="1"/>
  <c r="BS119" i="1"/>
  <c r="BS120" i="1"/>
  <c r="BS111" i="1"/>
  <c r="BS112" i="1"/>
  <c r="BS113" i="1"/>
  <c r="BS114" i="1"/>
  <c r="BS115" i="1"/>
  <c r="BS116" i="1"/>
  <c r="BS117" i="1"/>
  <c r="BS121" i="1"/>
  <c r="BS122" i="1"/>
  <c r="BS123" i="1"/>
  <c r="BS118" i="1"/>
  <c r="CY87" i="1"/>
  <c r="CZ87" i="1" s="1"/>
  <c r="CY89" i="1"/>
  <c r="CZ89" i="1" s="1"/>
  <c r="CY91" i="1"/>
  <c r="CZ91" i="1" s="1"/>
  <c r="CY93" i="1"/>
  <c r="CZ93" i="1" s="1"/>
  <c r="DB87" i="1"/>
  <c r="DC87" i="1" s="1"/>
  <c r="DB89" i="1"/>
  <c r="DC89" i="1" s="1"/>
  <c r="DB91" i="1"/>
  <c r="DC91" i="1" s="1"/>
  <c r="DB93" i="1"/>
  <c r="DC93" i="1" s="1"/>
  <c r="DB60" i="1"/>
  <c r="DC60" i="1" s="1"/>
  <c r="DE60" i="1"/>
  <c r="DF60" i="1" s="1"/>
  <c r="DE87" i="1"/>
  <c r="DF87" i="1" s="1"/>
  <c r="DE89" i="1"/>
  <c r="DF89" i="1" s="1"/>
  <c r="DE91" i="1"/>
  <c r="DF91" i="1" s="1"/>
  <c r="DE93" i="1"/>
  <c r="DF93" i="1" s="1"/>
  <c r="DK60" i="1"/>
  <c r="DK87" i="1"/>
  <c r="DK89" i="1"/>
  <c r="DK91" i="1"/>
  <c r="DK93" i="1"/>
  <c r="DK36" i="1"/>
  <c r="DK38" i="1"/>
  <c r="DK42" i="1"/>
  <c r="DK41" i="1"/>
  <c r="DK43" i="1"/>
  <c r="DK61" i="1"/>
  <c r="DK50" i="1"/>
  <c r="DO85" i="1"/>
  <c r="DO80" i="1"/>
  <c r="DO81" i="1"/>
  <c r="DO78" i="1"/>
  <c r="DO82" i="1"/>
  <c r="DO79" i="1"/>
  <c r="DO84" i="1"/>
  <c r="DO87" i="1"/>
  <c r="DO89" i="1"/>
  <c r="DO91" i="1"/>
  <c r="DO93" i="1"/>
  <c r="DO124" i="1"/>
  <c r="DO125" i="1"/>
  <c r="DO109" i="1"/>
  <c r="DO106" i="1"/>
  <c r="DO107" i="1"/>
  <c r="DO108" i="1"/>
  <c r="DO110" i="1"/>
  <c r="DO119" i="1"/>
  <c r="DO120" i="1"/>
  <c r="DO111" i="1"/>
  <c r="DO112" i="1"/>
  <c r="DO113" i="1"/>
  <c r="DO114" i="1"/>
  <c r="DO115" i="1"/>
  <c r="DO116" i="1"/>
  <c r="DO117" i="1"/>
  <c r="DO121" i="1"/>
  <c r="DO122" i="1"/>
  <c r="DO123" i="1"/>
  <c r="DO118" i="1"/>
  <c r="DP82" i="1"/>
  <c r="DP79" i="1"/>
  <c r="DP84" i="1"/>
  <c r="DP90" i="1"/>
  <c r="DP87" i="1"/>
  <c r="DP88" i="1"/>
  <c r="DP89" i="1"/>
  <c r="DP91" i="1"/>
  <c r="DP93" i="1"/>
  <c r="DP94" i="1"/>
  <c r="DP95" i="1"/>
  <c r="DP102" i="1"/>
  <c r="DP124" i="1"/>
  <c r="DP125" i="1"/>
  <c r="DP109" i="1"/>
  <c r="DP106" i="1"/>
  <c r="DP107" i="1"/>
  <c r="DP108" i="1"/>
  <c r="DP110" i="1"/>
  <c r="DP119" i="1"/>
  <c r="DP120" i="1"/>
  <c r="DP111" i="1"/>
  <c r="DP112" i="1"/>
  <c r="DP113" i="1"/>
  <c r="DP114" i="1"/>
  <c r="DP115" i="1"/>
  <c r="DP116" i="1"/>
  <c r="DP117" i="1"/>
  <c r="DP121" i="1"/>
  <c r="DP122" i="1"/>
  <c r="DP123" i="1"/>
  <c r="DP118" i="1"/>
  <c r="DT49" i="1"/>
  <c r="DU49" i="1" s="1"/>
  <c r="DW49" i="1"/>
  <c r="DT45" i="1"/>
  <c r="DU45" i="1" s="1"/>
  <c r="DW45" i="1"/>
  <c r="DT57" i="1"/>
  <c r="DU57" i="1" s="1"/>
  <c r="DW57" i="1"/>
  <c r="DT46" i="1"/>
  <c r="DU46" i="1" s="1"/>
  <c r="DW46" i="1"/>
  <c r="DT44" i="1"/>
  <c r="DU44" i="1" s="1"/>
  <c r="DW44" i="1"/>
  <c r="DT63" i="1"/>
  <c r="DU63" i="1" s="1"/>
  <c r="DW63" i="1"/>
  <c r="DT64" i="1"/>
  <c r="DU64" i="1" s="1"/>
  <c r="DW64" i="1"/>
  <c r="DT72" i="1"/>
  <c r="DU72" i="1" s="1"/>
  <c r="DW72" i="1"/>
  <c r="DT76" i="1"/>
  <c r="DU76" i="1" s="1"/>
  <c r="DW76" i="1"/>
  <c r="DU60" i="1"/>
  <c r="DX60" i="1"/>
  <c r="DT65" i="1"/>
  <c r="DU65" i="1" s="1"/>
  <c r="DW65" i="1"/>
  <c r="DT66" i="1"/>
  <c r="DU66" i="1" s="1"/>
  <c r="DW66" i="1"/>
  <c r="DT67" i="1"/>
  <c r="DU67" i="1" s="1"/>
  <c r="DW67" i="1"/>
  <c r="DT68" i="1"/>
  <c r="DU68" i="1" s="1"/>
  <c r="DW68" i="1"/>
  <c r="DT71" i="1"/>
  <c r="DU71" i="1" s="1"/>
  <c r="DW71" i="1"/>
  <c r="DT70" i="1"/>
  <c r="DU70" i="1" s="1"/>
  <c r="DW70" i="1"/>
  <c r="DT74" i="1"/>
  <c r="DU74" i="1" s="1"/>
  <c r="DW74" i="1"/>
  <c r="DT75" i="1"/>
  <c r="DU75" i="1" s="1"/>
  <c r="DW75" i="1"/>
  <c r="DT132" i="1"/>
  <c r="DU132" i="1" s="1"/>
  <c r="DW132" i="1"/>
  <c r="DT131" i="1"/>
  <c r="DU131" i="1" s="1"/>
  <c r="DW131" i="1"/>
  <c r="DT85" i="1"/>
  <c r="DU85" i="1" s="1"/>
  <c r="DW85" i="1"/>
  <c r="DT80" i="1"/>
  <c r="DU80" i="1" s="1"/>
  <c r="DW80" i="1"/>
  <c r="DT81" i="1"/>
  <c r="DU81" i="1" s="1"/>
  <c r="DW81" i="1"/>
  <c r="DT78" i="1"/>
  <c r="DU78" i="1" s="1"/>
  <c r="DW78" i="1"/>
  <c r="DT82" i="1"/>
  <c r="DU82" i="1" s="1"/>
  <c r="DW82" i="1"/>
  <c r="DT79" i="1"/>
  <c r="DU79" i="1" s="1"/>
  <c r="DW79" i="1"/>
  <c r="DT84" i="1"/>
  <c r="DU84" i="1" s="1"/>
  <c r="DW84" i="1"/>
  <c r="DT90" i="1"/>
  <c r="DU90" i="1" s="1"/>
  <c r="DW90" i="1"/>
  <c r="DT87" i="1"/>
  <c r="DU87" i="1" s="1"/>
  <c r="DW87" i="1"/>
  <c r="DT88" i="1"/>
  <c r="DU88" i="1" s="1"/>
  <c r="DW88" i="1"/>
  <c r="DT89" i="1"/>
  <c r="DU89" i="1" s="1"/>
  <c r="DW89" i="1"/>
  <c r="DT91" i="1"/>
  <c r="DU91" i="1" s="1"/>
  <c r="DW91" i="1"/>
  <c r="DT93" i="1"/>
  <c r="DU93" i="1" s="1"/>
  <c r="DW93" i="1"/>
  <c r="DT94" i="1"/>
  <c r="DU94" i="1" s="1"/>
  <c r="DW94" i="1"/>
  <c r="DT95" i="1"/>
  <c r="DU95" i="1" s="1"/>
  <c r="DW95" i="1"/>
  <c r="DT102" i="1"/>
  <c r="DU102" i="1" s="1"/>
  <c r="DW102" i="1"/>
  <c r="DT124" i="1"/>
  <c r="DU124" i="1" s="1"/>
  <c r="DW124" i="1"/>
  <c r="DT125" i="1"/>
  <c r="DU125" i="1" s="1"/>
  <c r="DW125" i="1"/>
  <c r="DT109" i="1"/>
  <c r="DU109" i="1" s="1"/>
  <c r="DW109" i="1"/>
  <c r="DT106" i="1"/>
  <c r="DU106" i="1" s="1"/>
  <c r="DW106" i="1"/>
  <c r="DT107" i="1"/>
  <c r="DU107" i="1" s="1"/>
  <c r="DW107" i="1"/>
  <c r="DT108" i="1"/>
  <c r="DU108" i="1" s="1"/>
  <c r="DW108" i="1"/>
  <c r="DT110" i="1"/>
  <c r="DU110" i="1" s="1"/>
  <c r="DW110" i="1"/>
  <c r="DT119" i="1"/>
  <c r="DU119" i="1" s="1"/>
  <c r="DW119" i="1"/>
  <c r="DT120" i="1"/>
  <c r="DU120" i="1" s="1"/>
  <c r="DW120" i="1"/>
  <c r="DT111" i="1"/>
  <c r="DU111" i="1" s="1"/>
  <c r="DW111" i="1"/>
  <c r="DT112" i="1"/>
  <c r="DU112" i="1" s="1"/>
  <c r="DW112" i="1"/>
  <c r="DT113" i="1"/>
  <c r="DU113" i="1" s="1"/>
  <c r="DW113" i="1"/>
  <c r="DT114" i="1"/>
  <c r="DU114" i="1" s="1"/>
  <c r="DW114" i="1"/>
  <c r="DT115" i="1"/>
  <c r="DU115" i="1" s="1"/>
  <c r="DW115" i="1"/>
  <c r="DT116" i="1"/>
  <c r="DU116" i="1" s="1"/>
  <c r="DW116" i="1"/>
  <c r="DT117" i="1"/>
  <c r="DU117" i="1" s="1"/>
  <c r="DW117" i="1"/>
  <c r="DT121" i="1"/>
  <c r="DU121" i="1" s="1"/>
  <c r="DW121" i="1"/>
  <c r="DT122" i="1"/>
  <c r="DU122" i="1" s="1"/>
  <c r="DW122" i="1"/>
  <c r="DT123" i="1"/>
  <c r="DU123" i="1" s="1"/>
  <c r="DW123" i="1"/>
  <c r="DT118" i="1"/>
  <c r="DU118" i="1" s="1"/>
  <c r="DW118" i="1"/>
  <c r="DZ54" i="1"/>
  <c r="EA54" i="1" s="1"/>
  <c r="EA56" i="1"/>
  <c r="DZ69" i="1"/>
  <c r="EA69" i="1" s="1"/>
  <c r="DZ134" i="1"/>
  <c r="EA134" i="1" s="1"/>
  <c r="DZ73" i="1"/>
  <c r="EA73" i="1" s="1"/>
  <c r="DZ77" i="1"/>
  <c r="EA77" i="1" s="1"/>
  <c r="DZ86" i="1"/>
  <c r="EA86" i="1" s="1"/>
  <c r="EA62" i="1"/>
  <c r="EA59" i="1"/>
  <c r="DZ52" i="1"/>
  <c r="EA52" i="1" s="1"/>
  <c r="DZ49" i="1"/>
  <c r="EA49" i="1" s="1"/>
  <c r="DZ45" i="1"/>
  <c r="EA45" i="1" s="1"/>
  <c r="DZ57" i="1"/>
  <c r="EA57" i="1" s="1"/>
  <c r="DZ46" i="1"/>
  <c r="EA46" i="1" s="1"/>
  <c r="DZ44" i="1"/>
  <c r="EA44" i="1" s="1"/>
  <c r="DZ63" i="1"/>
  <c r="EA63" i="1" s="1"/>
  <c r="DZ64" i="1"/>
  <c r="EA64" i="1" s="1"/>
  <c r="DZ72" i="1"/>
  <c r="EA72" i="1" s="1"/>
  <c r="DZ76" i="1"/>
  <c r="EA76" i="1" s="1"/>
  <c r="DZ60" i="1"/>
  <c r="EA60" i="1" s="1"/>
  <c r="DZ65" i="1"/>
  <c r="EA65" i="1" s="1"/>
  <c r="DZ66" i="1"/>
  <c r="EA66" i="1" s="1"/>
  <c r="DZ67" i="1"/>
  <c r="EA67" i="1" s="1"/>
  <c r="DZ68" i="1"/>
  <c r="EA68" i="1" s="1"/>
  <c r="DZ71" i="1"/>
  <c r="EA71" i="1" s="1"/>
  <c r="DZ70" i="1"/>
  <c r="EA70" i="1" s="1"/>
  <c r="DZ74" i="1"/>
  <c r="EA74" i="1" s="1"/>
  <c r="DZ75" i="1"/>
  <c r="EA75" i="1" s="1"/>
  <c r="DZ132" i="1"/>
  <c r="EA132" i="1" s="1"/>
  <c r="DZ131" i="1"/>
  <c r="EA131" i="1" s="1"/>
  <c r="DZ85" i="1"/>
  <c r="EA85" i="1" s="1"/>
  <c r="DZ80" i="1"/>
  <c r="EA80" i="1" s="1"/>
  <c r="DZ81" i="1"/>
  <c r="EA81" i="1" s="1"/>
  <c r="DZ78" i="1"/>
  <c r="EA78" i="1" s="1"/>
  <c r="DZ82" i="1"/>
  <c r="EA82" i="1" s="1"/>
  <c r="DZ79" i="1"/>
  <c r="EA79" i="1" s="1"/>
  <c r="DZ84" i="1"/>
  <c r="EA84" i="1" s="1"/>
  <c r="DZ90" i="1"/>
  <c r="EA90" i="1" s="1"/>
  <c r="DZ87" i="1"/>
  <c r="EA87" i="1" s="1"/>
  <c r="DZ88" i="1"/>
  <c r="EA88" i="1" s="1"/>
  <c r="DZ89" i="1"/>
  <c r="EA89" i="1" s="1"/>
  <c r="DZ91" i="1"/>
  <c r="EA91" i="1" s="1"/>
  <c r="DZ93" i="1"/>
  <c r="EA93" i="1" s="1"/>
  <c r="DZ94" i="1"/>
  <c r="EA94" i="1" s="1"/>
  <c r="DZ95" i="1"/>
  <c r="EA95" i="1" s="1"/>
  <c r="DZ102" i="1"/>
  <c r="EA102" i="1" s="1"/>
  <c r="DZ124" i="1"/>
  <c r="EA124" i="1" s="1"/>
  <c r="DZ125" i="1"/>
  <c r="EA125" i="1" s="1"/>
  <c r="DZ109" i="1"/>
  <c r="EA109" i="1" s="1"/>
  <c r="DZ106" i="1"/>
  <c r="EA106" i="1" s="1"/>
  <c r="DZ107" i="1"/>
  <c r="EA107" i="1" s="1"/>
  <c r="DZ108" i="1"/>
  <c r="EA108" i="1" s="1"/>
  <c r="DZ110" i="1"/>
  <c r="EA110" i="1" s="1"/>
  <c r="DZ119" i="1"/>
  <c r="EA119" i="1" s="1"/>
  <c r="DZ120" i="1"/>
  <c r="EA120" i="1" s="1"/>
  <c r="DZ111" i="1"/>
  <c r="EA111" i="1" s="1"/>
  <c r="DZ112" i="1"/>
  <c r="EA112" i="1" s="1"/>
  <c r="DZ113" i="1"/>
  <c r="EA113" i="1" s="1"/>
  <c r="DZ114" i="1"/>
  <c r="EA114" i="1" s="1"/>
  <c r="DZ115" i="1"/>
  <c r="EA115" i="1" s="1"/>
  <c r="DZ116" i="1"/>
  <c r="EA116" i="1" s="1"/>
  <c r="DZ117" i="1"/>
  <c r="EA117" i="1" s="1"/>
  <c r="DZ121" i="1"/>
  <c r="EA121" i="1" s="1"/>
  <c r="DZ122" i="1"/>
  <c r="EA122" i="1" s="1"/>
  <c r="DZ123" i="1"/>
  <c r="EA123" i="1" s="1"/>
  <c r="DZ118" i="1"/>
  <c r="EA118" i="1" s="1"/>
  <c r="EC69" i="1"/>
  <c r="ED69" i="1" s="1"/>
  <c r="EG69" i="1"/>
  <c r="EC134" i="1"/>
  <c r="ED134" i="1" s="1"/>
  <c r="EG134" i="1"/>
  <c r="EC73" i="1"/>
  <c r="ED73" i="1" s="1"/>
  <c r="EG73" i="1"/>
  <c r="EC77" i="1"/>
  <c r="ED77" i="1" s="1"/>
  <c r="EG77" i="1"/>
  <c r="EC86" i="1"/>
  <c r="ED86" i="1" s="1"/>
  <c r="EG86" i="1"/>
  <c r="EC62" i="1"/>
  <c r="ED62" i="1" s="1"/>
  <c r="EG62" i="1"/>
  <c r="ED59" i="1"/>
  <c r="EG59" i="1"/>
  <c r="EC52" i="1"/>
  <c r="ED52" i="1" s="1"/>
  <c r="EG52" i="1"/>
  <c r="EC49" i="1"/>
  <c r="ED49" i="1" s="1"/>
  <c r="EG49" i="1"/>
  <c r="EC45" i="1"/>
  <c r="ED45" i="1" s="1"/>
  <c r="EG45" i="1"/>
  <c r="EC57" i="1"/>
  <c r="ED57" i="1" s="1"/>
  <c r="EG57" i="1"/>
  <c r="EC46" i="1"/>
  <c r="ED46" i="1" s="1"/>
  <c r="EG46" i="1"/>
  <c r="EC44" i="1"/>
  <c r="ED44" i="1" s="1"/>
  <c r="EG44" i="1"/>
  <c r="EC63" i="1"/>
  <c r="ED63" i="1" s="1"/>
  <c r="EG63" i="1"/>
  <c r="EC64" i="1"/>
  <c r="ED64" i="1" s="1"/>
  <c r="EG64" i="1"/>
  <c r="EC72" i="1"/>
  <c r="ED72" i="1" s="1"/>
  <c r="EG72" i="1"/>
  <c r="EC76" i="1"/>
  <c r="ED76" i="1" s="1"/>
  <c r="EG76" i="1"/>
  <c r="ED60" i="1"/>
  <c r="EG60" i="1"/>
  <c r="EC65" i="1"/>
  <c r="ED65" i="1" s="1"/>
  <c r="EG65" i="1"/>
  <c r="EC66" i="1"/>
  <c r="ED66" i="1" s="1"/>
  <c r="EG66" i="1"/>
  <c r="EC67" i="1"/>
  <c r="ED67" i="1" s="1"/>
  <c r="EG67" i="1"/>
  <c r="EC68" i="1"/>
  <c r="ED68" i="1" s="1"/>
  <c r="EG68" i="1"/>
  <c r="EC71" i="1"/>
  <c r="ED71" i="1" s="1"/>
  <c r="EG71" i="1"/>
  <c r="EC70" i="1"/>
  <c r="ED70" i="1" s="1"/>
  <c r="EG70" i="1"/>
  <c r="EC74" i="1"/>
  <c r="ED74" i="1" s="1"/>
  <c r="EG74" i="1"/>
  <c r="EC75" i="1"/>
  <c r="ED75" i="1" s="1"/>
  <c r="EG75" i="1"/>
  <c r="EC132" i="1"/>
  <c r="ED132" i="1" s="1"/>
  <c r="EG132" i="1"/>
  <c r="EC131" i="1"/>
  <c r="ED131" i="1" s="1"/>
  <c r="EG131" i="1"/>
  <c r="EC85" i="1"/>
  <c r="ED85" i="1" s="1"/>
  <c r="EG85" i="1"/>
  <c r="EC80" i="1"/>
  <c r="ED80" i="1" s="1"/>
  <c r="EG80" i="1"/>
  <c r="EC81" i="1"/>
  <c r="ED81" i="1" s="1"/>
  <c r="EG81" i="1"/>
  <c r="EC78" i="1"/>
  <c r="ED78" i="1" s="1"/>
  <c r="EG78" i="1"/>
  <c r="EC82" i="1"/>
  <c r="ED82" i="1" s="1"/>
  <c r="EG82" i="1"/>
  <c r="EC79" i="1"/>
  <c r="ED79" i="1" s="1"/>
  <c r="EG79" i="1"/>
  <c r="EC84" i="1"/>
  <c r="ED84" i="1" s="1"/>
  <c r="EG84" i="1"/>
  <c r="EC90" i="1"/>
  <c r="ED90" i="1" s="1"/>
  <c r="EG90" i="1"/>
  <c r="EC87" i="1"/>
  <c r="ED87" i="1" s="1"/>
  <c r="EG87" i="1"/>
  <c r="EC88" i="1"/>
  <c r="ED88" i="1" s="1"/>
  <c r="EG88" i="1"/>
  <c r="EC89" i="1"/>
  <c r="ED89" i="1" s="1"/>
  <c r="EG89" i="1"/>
  <c r="EC91" i="1"/>
  <c r="ED91" i="1" s="1"/>
  <c r="EG91" i="1"/>
  <c r="EC93" i="1"/>
  <c r="ED93" i="1" s="1"/>
  <c r="EG93" i="1"/>
  <c r="EC94" i="1"/>
  <c r="ED94" i="1" s="1"/>
  <c r="EG94" i="1"/>
  <c r="EC95" i="1"/>
  <c r="ED95" i="1" s="1"/>
  <c r="EG95" i="1"/>
  <c r="EC102" i="1"/>
  <c r="ED102" i="1" s="1"/>
  <c r="EG102" i="1"/>
  <c r="EC124" i="1"/>
  <c r="ED124" i="1" s="1"/>
  <c r="EG124" i="1"/>
  <c r="EC125" i="1"/>
  <c r="ED125" i="1" s="1"/>
  <c r="EG125" i="1"/>
  <c r="EC109" i="1"/>
  <c r="ED109" i="1" s="1"/>
  <c r="EG109" i="1"/>
  <c r="EC106" i="1"/>
  <c r="ED106" i="1" s="1"/>
  <c r="EG106" i="1"/>
  <c r="EC107" i="1"/>
  <c r="ED107" i="1" s="1"/>
  <c r="EG107" i="1"/>
  <c r="EC108" i="1"/>
  <c r="ED108" i="1" s="1"/>
  <c r="EG108" i="1"/>
  <c r="EC110" i="1"/>
  <c r="ED110" i="1" s="1"/>
  <c r="EG110" i="1"/>
  <c r="EC119" i="1"/>
  <c r="ED119" i="1" s="1"/>
  <c r="EG119" i="1"/>
  <c r="EC120" i="1"/>
  <c r="ED120" i="1" s="1"/>
  <c r="EG120" i="1"/>
  <c r="EC111" i="1"/>
  <c r="ED111" i="1" s="1"/>
  <c r="EG111" i="1"/>
  <c r="EC112" i="1"/>
  <c r="ED112" i="1" s="1"/>
  <c r="EG112" i="1"/>
  <c r="EC113" i="1"/>
  <c r="ED113" i="1" s="1"/>
  <c r="EG113" i="1"/>
  <c r="EC114" i="1"/>
  <c r="ED114" i="1" s="1"/>
  <c r="EG114" i="1"/>
  <c r="EC115" i="1"/>
  <c r="ED115" i="1" s="1"/>
  <c r="EG115" i="1"/>
  <c r="EC116" i="1"/>
  <c r="ED116" i="1" s="1"/>
  <c r="EG116" i="1"/>
  <c r="EC117" i="1"/>
  <c r="ED117" i="1" s="1"/>
  <c r="EG117" i="1"/>
  <c r="EC121" i="1"/>
  <c r="ED121" i="1" s="1"/>
  <c r="EG121" i="1"/>
  <c r="EC122" i="1"/>
  <c r="ED122" i="1" s="1"/>
  <c r="EG122" i="1"/>
  <c r="EC123" i="1"/>
  <c r="ED123" i="1" s="1"/>
  <c r="EG123" i="1"/>
  <c r="EC118" i="1"/>
  <c r="ED118" i="1" s="1"/>
  <c r="EG118" i="1"/>
  <c r="EI54" i="1"/>
  <c r="EJ54" i="1" s="1"/>
  <c r="EI69" i="1"/>
  <c r="EJ69" i="1" s="1"/>
  <c r="EI134" i="1"/>
  <c r="EJ134" i="1" s="1"/>
  <c r="EI73" i="1"/>
  <c r="EJ73" i="1" s="1"/>
  <c r="EI77" i="1"/>
  <c r="EJ77" i="1" s="1"/>
  <c r="EI86" i="1"/>
  <c r="EJ86" i="1" s="1"/>
  <c r="EI62" i="1"/>
  <c r="EJ62" i="1" s="1"/>
  <c r="EJ59" i="1"/>
  <c r="EI52" i="1"/>
  <c r="EJ52" i="1" s="1"/>
  <c r="EI49" i="1"/>
  <c r="EJ49" i="1" s="1"/>
  <c r="EI45" i="1"/>
  <c r="EJ45" i="1" s="1"/>
  <c r="EI57" i="1"/>
  <c r="EJ57" i="1" s="1"/>
  <c r="EI46" i="1"/>
  <c r="EJ46" i="1" s="1"/>
  <c r="EI44" i="1"/>
  <c r="EJ44" i="1" s="1"/>
  <c r="EI63" i="1"/>
  <c r="EJ63" i="1" s="1"/>
  <c r="EI64" i="1"/>
  <c r="EJ64" i="1" s="1"/>
  <c r="EI72" i="1"/>
  <c r="EJ72" i="1" s="1"/>
  <c r="EI76" i="1"/>
  <c r="EJ76" i="1" s="1"/>
  <c r="EI60" i="1"/>
  <c r="EJ60" i="1" s="1"/>
  <c r="EI65" i="1"/>
  <c r="EJ65" i="1" s="1"/>
  <c r="EI66" i="1"/>
  <c r="EJ66" i="1" s="1"/>
  <c r="EI67" i="1"/>
  <c r="EJ67" i="1" s="1"/>
  <c r="EI68" i="1"/>
  <c r="EJ68" i="1" s="1"/>
  <c r="EI71" i="1"/>
  <c r="EJ71" i="1" s="1"/>
  <c r="EI70" i="1"/>
  <c r="EJ70" i="1" s="1"/>
  <c r="EI74" i="1"/>
  <c r="EJ74" i="1" s="1"/>
  <c r="EI75" i="1"/>
  <c r="EJ75" i="1" s="1"/>
  <c r="EI132" i="1"/>
  <c r="EJ132" i="1" s="1"/>
  <c r="EI131" i="1"/>
  <c r="EJ131" i="1" s="1"/>
  <c r="EI85" i="1"/>
  <c r="EJ85" i="1" s="1"/>
  <c r="EI80" i="1"/>
  <c r="EJ80" i="1" s="1"/>
  <c r="EI81" i="1"/>
  <c r="EJ81" i="1" s="1"/>
  <c r="EI78" i="1"/>
  <c r="EJ78" i="1" s="1"/>
  <c r="EI82" i="1"/>
  <c r="EJ82" i="1" s="1"/>
  <c r="EI79" i="1"/>
  <c r="EJ79" i="1" s="1"/>
  <c r="EI84" i="1"/>
  <c r="EJ84" i="1" s="1"/>
  <c r="EI90" i="1"/>
  <c r="EJ90" i="1" s="1"/>
  <c r="EI87" i="1"/>
  <c r="EJ87" i="1" s="1"/>
  <c r="EI88" i="1"/>
  <c r="EJ88" i="1" s="1"/>
  <c r="EI89" i="1"/>
  <c r="EJ89" i="1" s="1"/>
  <c r="EI91" i="1"/>
  <c r="EJ91" i="1" s="1"/>
  <c r="EI93" i="1"/>
  <c r="EJ93" i="1" s="1"/>
  <c r="EI94" i="1"/>
  <c r="EJ94" i="1" s="1"/>
  <c r="EI95" i="1"/>
  <c r="EJ95" i="1" s="1"/>
  <c r="EI102" i="1"/>
  <c r="EJ102" i="1" s="1"/>
  <c r="EI124" i="1"/>
  <c r="EJ124" i="1" s="1"/>
  <c r="EI125" i="1"/>
  <c r="EJ125" i="1" s="1"/>
  <c r="EI109" i="1"/>
  <c r="EJ109" i="1" s="1"/>
  <c r="EI106" i="1"/>
  <c r="EJ106" i="1" s="1"/>
  <c r="EI107" i="1"/>
  <c r="EJ107" i="1" s="1"/>
  <c r="EI108" i="1"/>
  <c r="EJ108" i="1" s="1"/>
  <c r="EI110" i="1"/>
  <c r="EJ110" i="1" s="1"/>
  <c r="EI119" i="1"/>
  <c r="EJ119" i="1" s="1"/>
  <c r="EI120" i="1"/>
  <c r="EJ120" i="1" s="1"/>
  <c r="EI111" i="1"/>
  <c r="EJ111" i="1" s="1"/>
  <c r="EI112" i="1"/>
  <c r="EJ112" i="1" s="1"/>
  <c r="EI113" i="1"/>
  <c r="EJ113" i="1" s="1"/>
  <c r="EI114" i="1"/>
  <c r="EJ114" i="1" s="1"/>
  <c r="EI115" i="1"/>
  <c r="EJ115" i="1" s="1"/>
  <c r="EI116" i="1"/>
  <c r="EJ116" i="1" s="1"/>
  <c r="EI117" i="1"/>
  <c r="EJ117" i="1" s="1"/>
  <c r="EI121" i="1"/>
  <c r="EJ121" i="1" s="1"/>
  <c r="EI122" i="1"/>
  <c r="EJ122" i="1" s="1"/>
  <c r="EI123" i="1"/>
  <c r="EJ123" i="1" s="1"/>
  <c r="EI118" i="1"/>
  <c r="EJ118" i="1" s="1"/>
  <c r="EL82" i="1"/>
  <c r="EM82" i="1" s="1"/>
  <c r="EL79" i="1"/>
  <c r="EM79" i="1" s="1"/>
  <c r="EL84" i="1"/>
  <c r="EM84" i="1" s="1"/>
  <c r="EL90" i="1"/>
  <c r="EL124" i="1"/>
  <c r="EL125" i="1"/>
  <c r="EM125" i="1" s="1"/>
  <c r="EL109" i="1"/>
  <c r="EM109" i="1" s="1"/>
  <c r="EL106" i="1"/>
  <c r="EL107" i="1"/>
  <c r="EM107" i="1" s="1"/>
  <c r="EL108" i="1"/>
  <c r="EM108" i="1" s="1"/>
  <c r="EL110" i="1"/>
  <c r="EM110" i="1" s="1"/>
  <c r="EL119" i="1"/>
  <c r="EL120" i="1"/>
  <c r="EL111" i="1"/>
  <c r="EL112" i="1"/>
  <c r="EL113" i="1"/>
  <c r="EM113" i="1" s="1"/>
  <c r="EL114" i="1"/>
  <c r="EM114" i="1" s="1"/>
  <c r="EL115" i="1"/>
  <c r="EM115" i="1" s="1"/>
  <c r="EL116" i="1"/>
  <c r="EM116" i="1" s="1"/>
  <c r="EL117" i="1"/>
  <c r="EM117" i="1" s="1"/>
  <c r="EL121" i="1"/>
  <c r="EM121" i="1" s="1"/>
  <c r="EL122" i="1"/>
  <c r="EM122" i="1" s="1"/>
  <c r="EL123" i="1"/>
  <c r="EM123" i="1" s="1"/>
  <c r="EL118" i="1"/>
  <c r="EM118" i="1" s="1"/>
  <c r="EL91" i="1"/>
  <c r="EL93" i="1"/>
  <c r="EL94" i="1"/>
  <c r="EL95" i="1"/>
  <c r="EL102" i="1"/>
  <c r="EM102" i="1" s="1"/>
  <c r="EQ62" i="1"/>
  <c r="EZ62" i="1" s="1"/>
  <c r="FC62" i="1" s="1"/>
  <c r="EQ59" i="1"/>
  <c r="EZ59" i="1" s="1"/>
  <c r="FC59" i="1" s="1"/>
  <c r="EQ45" i="1"/>
  <c r="EQ46" i="1"/>
  <c r="EZ46" i="1" s="1"/>
  <c r="FC46" i="1" s="1"/>
  <c r="EQ64" i="1"/>
  <c r="EQ60" i="1"/>
  <c r="EQ132" i="1"/>
  <c r="ER132" i="1" s="1"/>
  <c r="ET132" i="1" s="1"/>
  <c r="EQ131" i="1"/>
  <c r="ET85" i="1"/>
  <c r="ET81" i="1"/>
  <c r="ET78" i="1"/>
  <c r="ET82" i="1"/>
  <c r="ET79" i="1"/>
  <c r="ET84" i="1"/>
  <c r="EQ90" i="1"/>
  <c r="EQ87" i="1"/>
  <c r="ER87" i="1" s="1"/>
  <c r="ET87" i="1" s="1"/>
  <c r="EQ88" i="1"/>
  <c r="ER88" i="1" s="1"/>
  <c r="ET88" i="1" s="1"/>
  <c r="EQ89" i="1"/>
  <c r="ER89" i="1" s="1"/>
  <c r="ET89" i="1" s="1"/>
  <c r="EQ91" i="1"/>
  <c r="ER91" i="1" s="1"/>
  <c r="EQ93" i="1"/>
  <c r="ER93" i="1" s="1"/>
  <c r="ET93" i="1" s="1"/>
  <c r="EQ94" i="1"/>
  <c r="ER94" i="1" s="1"/>
  <c r="ET94" i="1" s="1"/>
  <c r="EQ95" i="1"/>
  <c r="ER95" i="1" s="1"/>
  <c r="ET95" i="1" s="1"/>
  <c r="EQ102" i="1"/>
  <c r="ER102" i="1" s="1"/>
  <c r="EQ124" i="1"/>
  <c r="ER124" i="1" s="1"/>
  <c r="ET124" i="1" s="1"/>
  <c r="EQ125" i="1"/>
  <c r="ER125" i="1" s="1"/>
  <c r="ET125" i="1" s="1"/>
  <c r="EQ109" i="1"/>
  <c r="EQ106" i="1"/>
  <c r="ER106" i="1" s="1"/>
  <c r="EQ107" i="1"/>
  <c r="ER107" i="1" s="1"/>
  <c r="EQ108" i="1"/>
  <c r="ER108" i="1" s="1"/>
  <c r="EQ110" i="1"/>
  <c r="ER110" i="1" s="1"/>
  <c r="ET110" i="1" s="1"/>
  <c r="EQ119" i="1"/>
  <c r="ER119" i="1" s="1"/>
  <c r="EQ120" i="1"/>
  <c r="ER120" i="1" s="1"/>
  <c r="EQ111" i="1"/>
  <c r="ER111" i="1" s="1"/>
  <c r="ET111" i="1" s="1"/>
  <c r="EQ112" i="1"/>
  <c r="ER112" i="1" s="1"/>
  <c r="EQ113" i="1"/>
  <c r="ER113" i="1" s="1"/>
  <c r="ET113" i="1" s="1"/>
  <c r="EQ114" i="1"/>
  <c r="ER114" i="1" s="1"/>
  <c r="EQ115" i="1"/>
  <c r="ER115" i="1" s="1"/>
  <c r="EQ116" i="1"/>
  <c r="ER116" i="1" s="1"/>
  <c r="EQ117" i="1"/>
  <c r="ER117" i="1" s="1"/>
  <c r="EQ121" i="1"/>
  <c r="ER121" i="1" s="1"/>
  <c r="EQ122" i="1"/>
  <c r="ER122" i="1" s="1"/>
  <c r="ET122" i="1" s="1"/>
  <c r="EQ123" i="1"/>
  <c r="ER123" i="1" s="1"/>
  <c r="EQ118" i="1"/>
  <c r="ER118" i="1" s="1"/>
  <c r="ET118" i="1" s="1"/>
  <c r="ER90" i="1" l="1"/>
  <c r="ET90" i="1" s="1"/>
  <c r="EZ90" i="1"/>
  <c r="DR112" i="1"/>
  <c r="ET112" i="1"/>
  <c r="EX106" i="1"/>
  <c r="ET106" i="1"/>
  <c r="ES115" i="1"/>
  <c r="ET115" i="1"/>
  <c r="ES116" i="1"/>
  <c r="ET116" i="1"/>
  <c r="DR121" i="1"/>
  <c r="ET121" i="1"/>
  <c r="DR114" i="1"/>
  <c r="ET114" i="1"/>
  <c r="ES120" i="1"/>
  <c r="ET120" i="1"/>
  <c r="DR108" i="1"/>
  <c r="ET108" i="1"/>
  <c r="DR102" i="1"/>
  <c r="ET102" i="1"/>
  <c r="EX117" i="1"/>
  <c r="FA117" i="1" s="1"/>
  <c r="BV117" i="1" s="1"/>
  <c r="BW117" i="1" s="1"/>
  <c r="BX117" i="1" s="1"/>
  <c r="ET117" i="1"/>
  <c r="DR119" i="1"/>
  <c r="ET119" i="1"/>
  <c r="DR107" i="1"/>
  <c r="ET107" i="1"/>
  <c r="EX123" i="1"/>
  <c r="ET123" i="1"/>
  <c r="EX91" i="1"/>
  <c r="ET91" i="1"/>
  <c r="DX123" i="1"/>
  <c r="EU123" i="1"/>
  <c r="DX121" i="1"/>
  <c r="EU121" i="1"/>
  <c r="DX116" i="1"/>
  <c r="EU116" i="1"/>
  <c r="DX114" i="1"/>
  <c r="EU114" i="1"/>
  <c r="DX112" i="1"/>
  <c r="EU112" i="1"/>
  <c r="DX120" i="1"/>
  <c r="EU120" i="1"/>
  <c r="DX110" i="1"/>
  <c r="EU110" i="1"/>
  <c r="DX108" i="1"/>
  <c r="EU108" i="1"/>
  <c r="DX106" i="1"/>
  <c r="EU106" i="1"/>
  <c r="DX125" i="1"/>
  <c r="EU125" i="1"/>
  <c r="DX102" i="1"/>
  <c r="EU102" i="1"/>
  <c r="DX94" i="1"/>
  <c r="EU94" i="1"/>
  <c r="DX91" i="1"/>
  <c r="EU91" i="1"/>
  <c r="DX88" i="1"/>
  <c r="EU88" i="1"/>
  <c r="DX90" i="1"/>
  <c r="EU90" i="1"/>
  <c r="DX79" i="1"/>
  <c r="EU79" i="1"/>
  <c r="DX78" i="1"/>
  <c r="EU78" i="1"/>
  <c r="DX80" i="1"/>
  <c r="EU80" i="1"/>
  <c r="DX131" i="1"/>
  <c r="EU131" i="1"/>
  <c r="DX75" i="1"/>
  <c r="EU75" i="1"/>
  <c r="DX70" i="1"/>
  <c r="EU70" i="1"/>
  <c r="DX68" i="1"/>
  <c r="EU68" i="1"/>
  <c r="DX66" i="1"/>
  <c r="EU66" i="1"/>
  <c r="DX72" i="1"/>
  <c r="EU72" i="1"/>
  <c r="DX63" i="1"/>
  <c r="EU63" i="1"/>
  <c r="DX46" i="1"/>
  <c r="EU46" i="1"/>
  <c r="DX45" i="1"/>
  <c r="EU45" i="1"/>
  <c r="DX118" i="1"/>
  <c r="EU118" i="1"/>
  <c r="DX122" i="1"/>
  <c r="EU122" i="1"/>
  <c r="DX117" i="1"/>
  <c r="EU117" i="1"/>
  <c r="DX115" i="1"/>
  <c r="EU115" i="1"/>
  <c r="DX113" i="1"/>
  <c r="EU113" i="1"/>
  <c r="DX111" i="1"/>
  <c r="EU111" i="1"/>
  <c r="DX119" i="1"/>
  <c r="EU119" i="1"/>
  <c r="DX107" i="1"/>
  <c r="EU107" i="1"/>
  <c r="DX109" i="1"/>
  <c r="EU109" i="1"/>
  <c r="DX124" i="1"/>
  <c r="EU124" i="1"/>
  <c r="DX95" i="1"/>
  <c r="EU95" i="1"/>
  <c r="DX93" i="1"/>
  <c r="EU93" i="1"/>
  <c r="DX89" i="1"/>
  <c r="EU89" i="1"/>
  <c r="DX87" i="1"/>
  <c r="EU87" i="1"/>
  <c r="DX84" i="1"/>
  <c r="EU84" i="1"/>
  <c r="DX82" i="1"/>
  <c r="EU82" i="1"/>
  <c r="DX81" i="1"/>
  <c r="EU81" i="1"/>
  <c r="DX85" i="1"/>
  <c r="EU85" i="1"/>
  <c r="DX132" i="1"/>
  <c r="EU132" i="1"/>
  <c r="DX74" i="1"/>
  <c r="EU74" i="1"/>
  <c r="DX71" i="1"/>
  <c r="EU71" i="1"/>
  <c r="DX67" i="1"/>
  <c r="EU67" i="1"/>
  <c r="DX65" i="1"/>
  <c r="EU65" i="1"/>
  <c r="DX76" i="1"/>
  <c r="EU76" i="1"/>
  <c r="DX64" i="1"/>
  <c r="EU64" i="1"/>
  <c r="DX44" i="1"/>
  <c r="EU44" i="1"/>
  <c r="DX57" i="1"/>
  <c r="EU57" i="1"/>
  <c r="DX49" i="1"/>
  <c r="EU49" i="1"/>
  <c r="BU19" i="1"/>
  <c r="BU9" i="1"/>
  <c r="BV9" i="1"/>
  <c r="BU4" i="1"/>
  <c r="BV4" i="1"/>
  <c r="BU96" i="1"/>
  <c r="BU11" i="1"/>
  <c r="BU8" i="1"/>
  <c r="BV8" i="1"/>
  <c r="BW8" i="1" s="1"/>
  <c r="BX8" i="1" s="1"/>
  <c r="BU6" i="1"/>
  <c r="BV6" i="1"/>
  <c r="BU5" i="1"/>
  <c r="BV5" i="1"/>
  <c r="BU10" i="1"/>
  <c r="BV10" i="1"/>
  <c r="BU2" i="1"/>
  <c r="BV2" i="1"/>
  <c r="BU101" i="1"/>
  <c r="BU13" i="1"/>
  <c r="BU7" i="1"/>
  <c r="BV7" i="1"/>
  <c r="BW7" i="1" s="1"/>
  <c r="BX7" i="1" s="1"/>
  <c r="BU3" i="1"/>
  <c r="BV3" i="1"/>
  <c r="BW3" i="1" s="1"/>
  <c r="BX3" i="1" s="1"/>
  <c r="EZ64" i="1"/>
  <c r="FA64" i="1" s="1"/>
  <c r="ER64" i="1"/>
  <c r="ET64" i="1" s="1"/>
  <c r="ER76" i="1"/>
  <c r="EZ76" i="1"/>
  <c r="EZ63" i="1"/>
  <c r="ER63" i="1"/>
  <c r="FA63" i="1" s="1"/>
  <c r="EZ72" i="1"/>
  <c r="ER72" i="1"/>
  <c r="FA72" i="1" s="1"/>
  <c r="EZ45" i="1"/>
  <c r="FC45" i="1" s="1"/>
  <c r="B76" i="26" s="1" a="1"/>
  <c r="B76" i="26" s="1"/>
  <c r="ES45" i="1"/>
  <c r="ET80" i="1"/>
  <c r="EZ80" i="1"/>
  <c r="ES57" i="1"/>
  <c r="ES111" i="1"/>
  <c r="DR111" i="1"/>
  <c r="ES110" i="1"/>
  <c r="DR110" i="1"/>
  <c r="EX95" i="1"/>
  <c r="DR95" i="1"/>
  <c r="EX89" i="1"/>
  <c r="DR89" i="1"/>
  <c r="ES122" i="1"/>
  <c r="DR122" i="1"/>
  <c r="DR125" i="1"/>
  <c r="EX125" i="1"/>
  <c r="ES132" i="1"/>
  <c r="EX132" i="1"/>
  <c r="FA132" i="1" s="1"/>
  <c r="ES78" i="1"/>
  <c r="ER131" i="1"/>
  <c r="ET131" i="1" s="1"/>
  <c r="ES125" i="1"/>
  <c r="ES117" i="1"/>
  <c r="ES106" i="1"/>
  <c r="ES95" i="1"/>
  <c r="ES46" i="1"/>
  <c r="ES85" i="1"/>
  <c r="DR115" i="1"/>
  <c r="DR118" i="1"/>
  <c r="EX118" i="1"/>
  <c r="FA118" i="1" s="1"/>
  <c r="BV118" i="1" s="1"/>
  <c r="BW118" i="1" s="1"/>
  <c r="BX118" i="1" s="1"/>
  <c r="EX113" i="1"/>
  <c r="FA113" i="1" s="1"/>
  <c r="BV113" i="1" s="1"/>
  <c r="BW113" i="1" s="1"/>
  <c r="BX113" i="1" s="1"/>
  <c r="DR113" i="1"/>
  <c r="ES113" i="1"/>
  <c r="EX93" i="1"/>
  <c r="DR93" i="1"/>
  <c r="ES93" i="1"/>
  <c r="EX87" i="1"/>
  <c r="DR87" i="1"/>
  <c r="ES79" i="1"/>
  <c r="DR79" i="1"/>
  <c r="ES124" i="1"/>
  <c r="EX124" i="1"/>
  <c r="DR124" i="1"/>
  <c r="ES94" i="1"/>
  <c r="EX94" i="1"/>
  <c r="DR94" i="1"/>
  <c r="ES88" i="1"/>
  <c r="DR88" i="1"/>
  <c r="ES84" i="1"/>
  <c r="DR84" i="1"/>
  <c r="ES118" i="1"/>
  <c r="ES89" i="1"/>
  <c r="ES102" i="1"/>
  <c r="ES91" i="1"/>
  <c r="ES82" i="1"/>
  <c r="DR117" i="1"/>
  <c r="DR120" i="1"/>
  <c r="DR106" i="1"/>
  <c r="EX120" i="1"/>
  <c r="FA120" i="1" s="1"/>
  <c r="BV120" i="1" s="1"/>
  <c r="BW120" i="1" s="1"/>
  <c r="BX120" i="1" s="1"/>
  <c r="EX102" i="1"/>
  <c r="ES87" i="1"/>
  <c r="DR123" i="1"/>
  <c r="DR116" i="1"/>
  <c r="DR91" i="1"/>
  <c r="DR82" i="1"/>
  <c r="ES114" i="1"/>
  <c r="EX114" i="1"/>
  <c r="FA114" i="1" s="1"/>
  <c r="BV114" i="1" s="1"/>
  <c r="BW114" i="1" s="1"/>
  <c r="BX114" i="1" s="1"/>
  <c r="ES112" i="1"/>
  <c r="EX112" i="1"/>
  <c r="ES119" i="1"/>
  <c r="EX119" i="1"/>
  <c r="FA119" i="1" s="1"/>
  <c r="BV119" i="1" s="1"/>
  <c r="BW119" i="1" s="1"/>
  <c r="BX119" i="1" s="1"/>
  <c r="ES108" i="1"/>
  <c r="EX108" i="1"/>
  <c r="ES121" i="1"/>
  <c r="EX121" i="1"/>
  <c r="FA121" i="1" s="1"/>
  <c r="BV121" i="1" s="1"/>
  <c r="BW121" i="1" s="1"/>
  <c r="BX121" i="1" s="1"/>
  <c r="ES107" i="1"/>
  <c r="EX107" i="1"/>
  <c r="EX88" i="1"/>
  <c r="ES81" i="1"/>
  <c r="EX115" i="1"/>
  <c r="FA115" i="1" s="1"/>
  <c r="BV115" i="1" s="1"/>
  <c r="BW115" i="1" s="1"/>
  <c r="BX115" i="1" s="1"/>
  <c r="EX111" i="1"/>
  <c r="EX110" i="1"/>
  <c r="EX116" i="1"/>
  <c r="FA116" i="1" s="1"/>
  <c r="BV116" i="1" s="1"/>
  <c r="BW116" i="1" s="1"/>
  <c r="BX116" i="1" s="1"/>
  <c r="EX122" i="1"/>
  <c r="FA122" i="1" s="1"/>
  <c r="BV122" i="1" s="1"/>
  <c r="BW122" i="1" s="1"/>
  <c r="BX122" i="1" s="1"/>
  <c r="FW102" i="1"/>
  <c r="FW124" i="1"/>
  <c r="FW125" i="1"/>
  <c r="FW106" i="1"/>
  <c r="FW107" i="1"/>
  <c r="FW108" i="1"/>
  <c r="FW110" i="1"/>
  <c r="FW119" i="1"/>
  <c r="FW120" i="1"/>
  <c r="FW111" i="1"/>
  <c r="FW112" i="1"/>
  <c r="FW113" i="1"/>
  <c r="FW114" i="1"/>
  <c r="FW115" i="1"/>
  <c r="FW116" i="1"/>
  <c r="FW117" i="1"/>
  <c r="FW121" i="1"/>
  <c r="FW122" i="1"/>
  <c r="FW123" i="1"/>
  <c r="FW118" i="1"/>
  <c r="FW78" i="1"/>
  <c r="FW82" i="1"/>
  <c r="FW79" i="1"/>
  <c r="FW84" i="1"/>
  <c r="FW90" i="1"/>
  <c r="FW87" i="1"/>
  <c r="FW88" i="1"/>
  <c r="FW89" i="1"/>
  <c r="GV90" i="1"/>
  <c r="GV124" i="1"/>
  <c r="GV123" i="1"/>
  <c r="GV125" i="1"/>
  <c r="GV109" i="1"/>
  <c r="GM109" i="1" s="1"/>
  <c r="GV106" i="1"/>
  <c r="GV111" i="1"/>
  <c r="GV107" i="1"/>
  <c r="GM107" i="1" s="1"/>
  <c r="GV108" i="1"/>
  <c r="GV112" i="1"/>
  <c r="GV110" i="1"/>
  <c r="GM110" i="1" s="1"/>
  <c r="GV119" i="1"/>
  <c r="GV113" i="1"/>
  <c r="GM113" i="1" s="1"/>
  <c r="GV114" i="1"/>
  <c r="GV115" i="1"/>
  <c r="GM115" i="1" s="1"/>
  <c r="GV116" i="1"/>
  <c r="GM116" i="1" s="1"/>
  <c r="GV117" i="1"/>
  <c r="GM117" i="1" s="1"/>
  <c r="GV118" i="1"/>
  <c r="GV120" i="1"/>
  <c r="GV121" i="1"/>
  <c r="GM121" i="1" s="1"/>
  <c r="GV122" i="1"/>
  <c r="GV102" i="1"/>
  <c r="GM102" i="1" s="1"/>
  <c r="EZ119" i="1"/>
  <c r="EZ113" i="1"/>
  <c r="EZ114" i="1"/>
  <c r="EZ115" i="1"/>
  <c r="EZ116" i="1"/>
  <c r="EZ117" i="1"/>
  <c r="EZ118" i="1"/>
  <c r="EZ120" i="1"/>
  <c r="EZ121" i="1"/>
  <c r="EZ122" i="1"/>
  <c r="HG132" i="1"/>
  <c r="HH132" i="1"/>
  <c r="HK132" i="1"/>
  <c r="HM132" i="1"/>
  <c r="HQ59" i="1"/>
  <c r="HQ60" i="1"/>
  <c r="IA122" i="1"/>
  <c r="IA118" i="1"/>
  <c r="IA115" i="1"/>
  <c r="IA110" i="1"/>
  <c r="IA28" i="1"/>
  <c r="IA27" i="1"/>
  <c r="IA29" i="1"/>
  <c r="IA11" i="1"/>
  <c r="IA24" i="1"/>
  <c r="IA125" i="1"/>
  <c r="IA16" i="1"/>
  <c r="IA15" i="1"/>
  <c r="IA109" i="1"/>
  <c r="IA123" i="1"/>
  <c r="IA21" i="1"/>
  <c r="IA102" i="1"/>
  <c r="IA26" i="1"/>
  <c r="IA20" i="1"/>
  <c r="IA79" i="1"/>
  <c r="IA35" i="1"/>
  <c r="IA31" i="1"/>
  <c r="IA82" i="1"/>
  <c r="IA14" i="1"/>
  <c r="IA30" i="1"/>
  <c r="IA19" i="1"/>
  <c r="IA23" i="1"/>
  <c r="IA39" i="1"/>
  <c r="IA38" i="1"/>
  <c r="GQ44" i="1"/>
  <c r="GQ49" i="1"/>
  <c r="GQ46" i="1"/>
  <c r="GN123" i="1" l="1"/>
  <c r="GM123" i="1"/>
  <c r="GN60" i="1"/>
  <c r="HN60" i="1" s="1"/>
  <c r="GM60" i="1"/>
  <c r="GN118" i="1"/>
  <c r="GM118" i="1"/>
  <c r="GN114" i="1"/>
  <c r="HT114" i="1" s="1"/>
  <c r="HU114" i="1" s="1"/>
  <c r="GM114" i="1"/>
  <c r="GN125" i="1"/>
  <c r="GM125" i="1"/>
  <c r="GN59" i="1"/>
  <c r="HN59" i="1" s="1"/>
  <c r="GM59" i="1"/>
  <c r="GN122" i="1"/>
  <c r="GM122" i="1"/>
  <c r="GN108" i="1"/>
  <c r="HT108" i="1" s="1"/>
  <c r="HU108" i="1" s="1"/>
  <c r="GM108" i="1"/>
  <c r="ES90" i="1"/>
  <c r="DR90" i="1"/>
  <c r="GN121" i="1"/>
  <c r="GN116" i="1"/>
  <c r="GN107" i="1"/>
  <c r="HC107" i="1" s="1"/>
  <c r="GN115" i="1"/>
  <c r="GN110" i="1"/>
  <c r="GN102" i="1"/>
  <c r="HC102" i="1" s="1"/>
  <c r="GN117" i="1"/>
  <c r="GN113" i="1"/>
  <c r="GN109" i="1"/>
  <c r="ET76" i="1"/>
  <c r="HU76" i="1" s="1"/>
  <c r="FA76" i="1"/>
  <c r="HT79" i="1"/>
  <c r="HU79" i="1" s="1"/>
  <c r="HV79" i="1" s="1"/>
  <c r="HS79" i="1"/>
  <c r="HT125" i="1"/>
  <c r="HU125" i="1" s="1"/>
  <c r="HS125" i="1"/>
  <c r="HT122" i="1"/>
  <c r="HU122" i="1" s="1"/>
  <c r="HS122" i="1"/>
  <c r="HT82" i="1"/>
  <c r="HU82" i="1" s="1"/>
  <c r="HV82" i="1" s="1"/>
  <c r="HS82" i="1"/>
  <c r="HT118" i="1"/>
  <c r="HU118" i="1" s="1"/>
  <c r="HS118" i="1"/>
  <c r="HT123" i="1"/>
  <c r="HU123" i="1" s="1"/>
  <c r="HS123" i="1"/>
  <c r="HT84" i="1"/>
  <c r="HU84" i="1" s="1"/>
  <c r="HV84" i="1" s="1"/>
  <c r="HS84" i="1"/>
  <c r="EX131" i="1"/>
  <c r="FA131" i="1" s="1"/>
  <c r="DR72" i="1"/>
  <c r="ET72" i="1"/>
  <c r="FC63" i="1"/>
  <c r="ET63" i="1"/>
  <c r="ES64" i="1"/>
  <c r="GQ67" i="1"/>
  <c r="FL68" i="1"/>
  <c r="GQ68" i="1"/>
  <c r="HC122" i="1"/>
  <c r="GQ122" i="1"/>
  <c r="GQ66" i="1"/>
  <c r="GO79" i="1"/>
  <c r="GQ79" i="1"/>
  <c r="GQ125" i="1"/>
  <c r="FL52" i="1"/>
  <c r="GQ52" i="1"/>
  <c r="GO84" i="1"/>
  <c r="GQ84" i="1"/>
  <c r="GQ45" i="1"/>
  <c r="FL57" i="1"/>
  <c r="GQ57" i="1"/>
  <c r="GO82" i="1"/>
  <c r="GQ82" i="1"/>
  <c r="GO118" i="1"/>
  <c r="GQ118" i="1"/>
  <c r="GQ123" i="1"/>
  <c r="BV80" i="1"/>
  <c r="BW80" i="1" s="1"/>
  <c r="BX80" i="1" s="1"/>
  <c r="IA60" i="1"/>
  <c r="BU114" i="1"/>
  <c r="BU80" i="1"/>
  <c r="BU117" i="1"/>
  <c r="BU122" i="1"/>
  <c r="BU121" i="1"/>
  <c r="BU119" i="1"/>
  <c r="BU118" i="1"/>
  <c r="BU120" i="1"/>
  <c r="BU116" i="1"/>
  <c r="BU115" i="1"/>
  <c r="BU113" i="1"/>
  <c r="ES80" i="1"/>
  <c r="FC64" i="1"/>
  <c r="FC80" i="1"/>
  <c r="FE80" i="1" s="1"/>
  <c r="FL125" i="1"/>
  <c r="FL122" i="1"/>
  <c r="FL118" i="1"/>
  <c r="FL46" i="1"/>
  <c r="ES131" i="1"/>
  <c r="FL84" i="1"/>
  <c r="FL79" i="1"/>
  <c r="FL45" i="1"/>
  <c r="FL123" i="1"/>
  <c r="FL82" i="1"/>
  <c r="FL44" i="1"/>
  <c r="FL49" i="1"/>
  <c r="FC120" i="1"/>
  <c r="FE120" i="1" s="1"/>
  <c r="FC116" i="1"/>
  <c r="FE116" i="1" s="1"/>
  <c r="FC119" i="1"/>
  <c r="FE119" i="1" s="1"/>
  <c r="GO122" i="1"/>
  <c r="FC121" i="1"/>
  <c r="FE121" i="1" s="1"/>
  <c r="FC113" i="1"/>
  <c r="FE113" i="1" s="1"/>
  <c r="FC122" i="1"/>
  <c r="FE122" i="1" s="1"/>
  <c r="FC117" i="1"/>
  <c r="FE117" i="1" s="1"/>
  <c r="FC114" i="1"/>
  <c r="FE114" i="1" s="1"/>
  <c r="FC118" i="1"/>
  <c r="FE118" i="1" s="1"/>
  <c r="FC115" i="1"/>
  <c r="FE115" i="1" s="1"/>
  <c r="IA117" i="1"/>
  <c r="HN123" i="1"/>
  <c r="GO123" i="1"/>
  <c r="HC125" i="1"/>
  <c r="HN125" i="1"/>
  <c r="GO125" i="1"/>
  <c r="HC84" i="1"/>
  <c r="HC118" i="1"/>
  <c r="IA121" i="1"/>
  <c r="HC82" i="1"/>
  <c r="HC123" i="1"/>
  <c r="HN122" i="1"/>
  <c r="HN118" i="1"/>
  <c r="HC79" i="1"/>
  <c r="IA84" i="1"/>
  <c r="IA114" i="1"/>
  <c r="IA116" i="1"/>
  <c r="IA108" i="1"/>
  <c r="IA107" i="1"/>
  <c r="IA113" i="1"/>
  <c r="AE64" i="1"/>
  <c r="HK64" i="1" s="1"/>
  <c r="AE63" i="1"/>
  <c r="AE65" i="1"/>
  <c r="AE66" i="1"/>
  <c r="AE67" i="1"/>
  <c r="AE68" i="1"/>
  <c r="AE46" i="1"/>
  <c r="AE45" i="1"/>
  <c r="AH86" i="1"/>
  <c r="AE86" i="1" s="1"/>
  <c r="AM86" i="1" s="1"/>
  <c r="GO114" i="1" l="1"/>
  <c r="HN114" i="1"/>
  <c r="FL114" i="1"/>
  <c r="GQ59" i="1"/>
  <c r="HS108" i="1"/>
  <c r="HC108" i="1"/>
  <c r="HC114" i="1"/>
  <c r="HC59" i="1"/>
  <c r="FL108" i="1"/>
  <c r="GQ114" i="1"/>
  <c r="HT59" i="1"/>
  <c r="HU59" i="1" s="1"/>
  <c r="HV59" i="1" s="1"/>
  <c r="HS114" i="1"/>
  <c r="HN108" i="1"/>
  <c r="GO108" i="1"/>
  <c r="FL59" i="1"/>
  <c r="GQ108" i="1"/>
  <c r="HS59" i="1"/>
  <c r="AM63" i="1"/>
  <c r="HK63" i="1"/>
  <c r="BV63" i="1"/>
  <c r="BW63" i="1" s="1"/>
  <c r="GQ107" i="1"/>
  <c r="HT107" i="1"/>
  <c r="HU107" i="1" s="1"/>
  <c r="HS107" i="1"/>
  <c r="GQ113" i="1"/>
  <c r="HT113" i="1"/>
  <c r="HU113" i="1" s="1"/>
  <c r="HS113" i="1"/>
  <c r="HT115" i="1"/>
  <c r="HU115" i="1" s="1"/>
  <c r="HS115" i="1"/>
  <c r="GQ116" i="1"/>
  <c r="HT116" i="1"/>
  <c r="HU116" i="1" s="1"/>
  <c r="HS116" i="1"/>
  <c r="HT102" i="1"/>
  <c r="HU102" i="1" s="1"/>
  <c r="HS102" i="1"/>
  <c r="HT117" i="1"/>
  <c r="HU117" i="1" s="1"/>
  <c r="HS117" i="1"/>
  <c r="GQ121" i="1"/>
  <c r="HT121" i="1"/>
  <c r="HU121" i="1" s="1"/>
  <c r="HS121" i="1"/>
  <c r="HT109" i="1"/>
  <c r="HS109" i="1"/>
  <c r="HT110" i="1"/>
  <c r="HU110" i="1" s="1"/>
  <c r="HS110" i="1"/>
  <c r="BU63" i="1"/>
  <c r="HT60" i="1"/>
  <c r="HU60" i="1" s="1"/>
  <c r="HV60" i="1" s="1"/>
  <c r="HS60" i="1"/>
  <c r="AN64" i="1"/>
  <c r="AM64" i="1"/>
  <c r="AN45" i="1"/>
  <c r="AM45" i="1"/>
  <c r="AN46" i="1"/>
  <c r="AM46" i="1"/>
  <c r="AN65" i="1"/>
  <c r="AM65" i="1"/>
  <c r="AN67" i="1"/>
  <c r="AM67" i="1"/>
  <c r="AN66" i="1"/>
  <c r="AM66" i="1"/>
  <c r="AN68" i="1"/>
  <c r="AM68" i="1"/>
  <c r="HN109" i="1"/>
  <c r="GQ109" i="1"/>
  <c r="HC115" i="1"/>
  <c r="GQ115" i="1"/>
  <c r="HN110" i="1"/>
  <c r="GQ110" i="1"/>
  <c r="HN102" i="1"/>
  <c r="GQ102" i="1"/>
  <c r="HN117" i="1"/>
  <c r="GQ117" i="1"/>
  <c r="HC60" i="1"/>
  <c r="GQ60" i="1"/>
  <c r="AN63" i="1"/>
  <c r="AF63" i="1"/>
  <c r="AN86" i="1"/>
  <c r="GO109" i="1"/>
  <c r="GO110" i="1"/>
  <c r="FL109" i="1"/>
  <c r="HC109" i="1"/>
  <c r="HC117" i="1"/>
  <c r="GO117" i="1"/>
  <c r="FL117" i="1"/>
  <c r="FL121" i="1"/>
  <c r="HN116" i="1"/>
  <c r="FL116" i="1"/>
  <c r="FL102" i="1"/>
  <c r="FL107" i="1"/>
  <c r="HC110" i="1"/>
  <c r="FL110" i="1"/>
  <c r="FL113" i="1"/>
  <c r="HN107" i="1"/>
  <c r="FL115" i="1"/>
  <c r="HN115" i="1"/>
  <c r="GO115" i="1"/>
  <c r="GO107" i="1"/>
  <c r="GO116" i="1"/>
  <c r="GO102" i="1"/>
  <c r="HN113" i="1"/>
  <c r="HC116" i="1"/>
  <c r="HC121" i="1"/>
  <c r="HN121" i="1"/>
  <c r="GO121" i="1"/>
  <c r="HC113" i="1"/>
  <c r="GO113" i="1"/>
  <c r="GR45" i="1"/>
  <c r="GY45" i="1"/>
  <c r="HM45" i="1"/>
  <c r="HK45" i="1"/>
  <c r="GR46" i="1"/>
  <c r="HM46" i="1"/>
  <c r="HK46" i="1"/>
  <c r="GY65" i="1"/>
  <c r="HK65" i="1"/>
  <c r="HM65" i="1"/>
  <c r="HG63" i="1"/>
  <c r="HH63" i="1"/>
  <c r="HM63" i="1"/>
  <c r="GY68" i="1"/>
  <c r="HK68" i="1"/>
  <c r="HM68" i="1"/>
  <c r="HG86" i="1"/>
  <c r="HK86" i="1"/>
  <c r="HM86" i="1"/>
  <c r="HH86" i="1"/>
  <c r="GR67" i="1"/>
  <c r="GY67" i="1"/>
  <c r="HM67" i="1"/>
  <c r="HK67" i="1"/>
  <c r="HH64" i="1"/>
  <c r="HG64" i="1"/>
  <c r="HM64" i="1"/>
  <c r="GR66" i="1"/>
  <c r="GY66" i="1"/>
  <c r="HK66" i="1"/>
  <c r="HM66" i="1"/>
  <c r="AD138" i="1"/>
  <c r="ES44" i="1" l="1"/>
  <c r="Z132" i="1" l="1"/>
  <c r="EL75" i="1" l="1"/>
  <c r="EM75" i="1" s="1"/>
  <c r="EZ125" i="1" l="1"/>
  <c r="AE125" i="1"/>
  <c r="AM125" i="1" s="1"/>
  <c r="U125" i="1"/>
  <c r="T125" i="1"/>
  <c r="D16" i="26"/>
  <c r="H16" i="26"/>
  <c r="H15" i="26"/>
  <c r="D15" i="26"/>
  <c r="EZ110" i="1"/>
  <c r="EZ107" i="1"/>
  <c r="EZ109" i="1"/>
  <c r="EZ79" i="1"/>
  <c r="EZ82" i="1"/>
  <c r="BV82" i="1" l="1"/>
  <c r="BW82" i="1" s="1"/>
  <c r="BX82" i="1" s="1"/>
  <c r="BU82" i="1"/>
  <c r="BV79" i="1"/>
  <c r="BW79" i="1" s="1"/>
  <c r="BX79" i="1" s="1"/>
  <c r="BU79" i="1"/>
  <c r="AF125" i="1"/>
  <c r="AN125" i="1"/>
  <c r="GR125" i="1"/>
  <c r="EZ84" i="1"/>
  <c r="EZ102" i="1"/>
  <c r="FA123" i="1"/>
  <c r="BV123" i="1" s="1"/>
  <c r="BW123" i="1" s="1"/>
  <c r="BX123" i="1" s="1"/>
  <c r="EZ123" i="1"/>
  <c r="FA108" i="1"/>
  <c r="BV108" i="1" s="1"/>
  <c r="BW108" i="1" s="1"/>
  <c r="BX108" i="1" s="1"/>
  <c r="EZ108" i="1"/>
  <c r="GY125" i="1"/>
  <c r="HG125" i="1"/>
  <c r="HH125" i="1"/>
  <c r="HM125" i="1"/>
  <c r="HK125" i="1"/>
  <c r="Z125" i="1"/>
  <c r="FA125" i="1"/>
  <c r="BV125" i="1" s="1"/>
  <c r="BW125" i="1" s="1"/>
  <c r="BX125" i="1" s="1"/>
  <c r="W125" i="1"/>
  <c r="S125" i="1"/>
  <c r="X125" i="1"/>
  <c r="FA110" i="1"/>
  <c r="BV110" i="1" s="1"/>
  <c r="BW110" i="1" s="1"/>
  <c r="BX110" i="1" s="1"/>
  <c r="ER109" i="1"/>
  <c r="ES123" i="1"/>
  <c r="DR109" i="1" l="1"/>
  <c r="ET109" i="1"/>
  <c r="HU109" i="1" s="1"/>
  <c r="BV84" i="1"/>
  <c r="BW84" i="1" s="1"/>
  <c r="BX84" i="1" s="1"/>
  <c r="BU84" i="1"/>
  <c r="BU108" i="1"/>
  <c r="BU123" i="1"/>
  <c r="BU110" i="1"/>
  <c r="BU125" i="1"/>
  <c r="FC110" i="1"/>
  <c r="FE110" i="1" s="1"/>
  <c r="FC79" i="1"/>
  <c r="FE79" i="1" s="1"/>
  <c r="FC125" i="1"/>
  <c r="FE125" i="1" s="1"/>
  <c r="FC82" i="1"/>
  <c r="FE82" i="1" s="1"/>
  <c r="EX109" i="1"/>
  <c r="FA109" i="1" s="1"/>
  <c r="BV109" i="1" s="1"/>
  <c r="BW109" i="1" s="1"/>
  <c r="BX109" i="1" s="1"/>
  <c r="FW109" i="1"/>
  <c r="ES109" i="1"/>
  <c r="FA102" i="1"/>
  <c r="BV102" i="1" s="1"/>
  <c r="BW102" i="1" s="1"/>
  <c r="BX102" i="1" s="1"/>
  <c r="FC123" i="1"/>
  <c r="FE123" i="1" s="1"/>
  <c r="FC108" i="1"/>
  <c r="FE108" i="1" s="1"/>
  <c r="FC84" i="1"/>
  <c r="FE84" i="1" s="1"/>
  <c r="FA107" i="1"/>
  <c r="BV107" i="1" s="1"/>
  <c r="BW107" i="1" s="1"/>
  <c r="BX107" i="1" s="1"/>
  <c r="T96" i="1"/>
  <c r="U96" i="1"/>
  <c r="T124" i="1"/>
  <c r="U124" i="1"/>
  <c r="AE96" i="1"/>
  <c r="HK96" i="1" l="1"/>
  <c r="GR96" i="1"/>
  <c r="AM96" i="1"/>
  <c r="GU96" i="1"/>
  <c r="AF96" i="1"/>
  <c r="AN96" i="1"/>
  <c r="BU102" i="1"/>
  <c r="BU109" i="1"/>
  <c r="BU107" i="1"/>
  <c r="HM96" i="1"/>
  <c r="HG96" i="1"/>
  <c r="HH96" i="1"/>
  <c r="GY96" i="1"/>
  <c r="FC109" i="1"/>
  <c r="FE109" i="1" s="1"/>
  <c r="FC102" i="1"/>
  <c r="FE102" i="1" s="1"/>
  <c r="FC107" i="1"/>
  <c r="FE107" i="1" s="1"/>
  <c r="Z96" i="1"/>
  <c r="W96" i="1"/>
  <c r="X96" i="1"/>
  <c r="S96" i="1"/>
  <c r="AL138" i="1" l="1"/>
  <c r="P102" i="1" l="1"/>
  <c r="T102" i="1" s="1"/>
  <c r="V102" i="1"/>
  <c r="AE102" i="1"/>
  <c r="AN102" i="1" l="1"/>
  <c r="AM102" i="1"/>
  <c r="AF102" i="1"/>
  <c r="GR102" i="1"/>
  <c r="GY102" i="1"/>
  <c r="HG102" i="1"/>
  <c r="HH102" i="1"/>
  <c r="HM102" i="1"/>
  <c r="HK102" i="1"/>
  <c r="S102" i="1"/>
  <c r="Z102" i="1"/>
  <c r="U102" i="1"/>
  <c r="X102" i="1"/>
  <c r="W102" i="1"/>
  <c r="GZ138" i="1" l="1"/>
  <c r="AE111" i="1" l="1"/>
  <c r="AM111" i="1" s="1"/>
  <c r="AN111" i="1" l="1"/>
  <c r="AF111" i="1"/>
  <c r="Z111" i="1"/>
  <c r="HG111" i="1"/>
  <c r="HH111" i="1"/>
  <c r="HM111" i="1"/>
  <c r="HK111" i="1"/>
  <c r="BP65" i="1"/>
  <c r="BP68" i="1"/>
  <c r="AE110" i="1" l="1"/>
  <c r="AM110" i="1" s="1"/>
  <c r="V110" i="1"/>
  <c r="T110" i="1"/>
  <c r="U110" i="1"/>
  <c r="AE123" i="1"/>
  <c r="V123" i="1"/>
  <c r="U123" i="1"/>
  <c r="T123" i="1"/>
  <c r="AE112" i="1"/>
  <c r="AM112" i="1" s="1"/>
  <c r="P109" i="1"/>
  <c r="T109" i="1" s="1"/>
  <c r="V109" i="1"/>
  <c r="AE109" i="1"/>
  <c r="AN109" i="1" l="1"/>
  <c r="AM109" i="1"/>
  <c r="AN123" i="1"/>
  <c r="AM123" i="1"/>
  <c r="AF109" i="1"/>
  <c r="AN112" i="1"/>
  <c r="AF112" i="1"/>
  <c r="AF123" i="1"/>
  <c r="AN110" i="1"/>
  <c r="AF110" i="1"/>
  <c r="HG112" i="1"/>
  <c r="HK112" i="1"/>
  <c r="HM112" i="1"/>
  <c r="HH112" i="1"/>
  <c r="GR123" i="1"/>
  <c r="GY123" i="1"/>
  <c r="HG123" i="1"/>
  <c r="HH123" i="1"/>
  <c r="HK123" i="1"/>
  <c r="HM123" i="1"/>
  <c r="GR109" i="1"/>
  <c r="GY109" i="1"/>
  <c r="HG109" i="1"/>
  <c r="HM109" i="1"/>
  <c r="HH109" i="1"/>
  <c r="HK109" i="1"/>
  <c r="GR110" i="1"/>
  <c r="GY110" i="1"/>
  <c r="HG110" i="1"/>
  <c r="HH110" i="1"/>
  <c r="HM110" i="1"/>
  <c r="HK110" i="1"/>
  <c r="Z109" i="1"/>
  <c r="Z112" i="1"/>
  <c r="S123" i="1"/>
  <c r="Z123" i="1"/>
  <c r="Z110" i="1"/>
  <c r="W123" i="1"/>
  <c r="X123" i="1"/>
  <c r="W110" i="1"/>
  <c r="X110" i="1"/>
  <c r="S110" i="1"/>
  <c r="W109" i="1"/>
  <c r="S109" i="1"/>
  <c r="U109" i="1"/>
  <c r="X109" i="1"/>
  <c r="AE108" i="1"/>
  <c r="AM108" i="1" s="1"/>
  <c r="T108" i="1"/>
  <c r="U108" i="1"/>
  <c r="V108" i="1"/>
  <c r="AN108" i="1" l="1"/>
  <c r="AF108" i="1"/>
  <c r="GR108" i="1"/>
  <c r="GY108" i="1"/>
  <c r="HG108" i="1"/>
  <c r="HH108" i="1"/>
  <c r="HK108" i="1"/>
  <c r="HM108" i="1"/>
  <c r="Z108" i="1"/>
  <c r="W108" i="1"/>
  <c r="X108" i="1"/>
  <c r="S108" i="1"/>
  <c r="AE122" i="1"/>
  <c r="AM122" i="1" s="1"/>
  <c r="AE107" i="1"/>
  <c r="AM107" i="1" s="1"/>
  <c r="V107" i="1"/>
  <c r="AN122" i="1" l="1"/>
  <c r="AF122" i="1"/>
  <c r="AN107" i="1"/>
  <c r="AF107" i="1"/>
  <c r="GR122" i="1"/>
  <c r="GY122" i="1"/>
  <c r="HG122" i="1"/>
  <c r="HM122" i="1"/>
  <c r="HH122" i="1"/>
  <c r="HK122" i="1"/>
  <c r="GR107" i="1"/>
  <c r="GY107" i="1"/>
  <c r="HG107" i="1"/>
  <c r="HM107" i="1"/>
  <c r="HH107" i="1"/>
  <c r="HK107" i="1"/>
  <c r="W122" i="1"/>
  <c r="Z122" i="1"/>
  <c r="S122" i="1"/>
  <c r="W107" i="1"/>
  <c r="S107" i="1"/>
  <c r="P107" i="1"/>
  <c r="Z107" i="1" s="1"/>
  <c r="R101" i="1"/>
  <c r="AE84" i="1"/>
  <c r="T84" i="1"/>
  <c r="U84" i="1"/>
  <c r="V84" i="1"/>
  <c r="AM84" i="1" l="1"/>
  <c r="HK84" i="1"/>
  <c r="GR84" i="1"/>
  <c r="AU84" i="1"/>
  <c r="AT84" i="1"/>
  <c r="AS84" i="1"/>
  <c r="AF84" i="1"/>
  <c r="BF84" i="1"/>
  <c r="HG84" i="1"/>
  <c r="GY84" i="1"/>
  <c r="HH84" i="1"/>
  <c r="AN84" i="1"/>
  <c r="GU84" i="1"/>
  <c r="HM84" i="1"/>
  <c r="Z84" i="1"/>
  <c r="T107" i="1"/>
  <c r="U107" i="1"/>
  <c r="X107" i="1"/>
  <c r="W84" i="1"/>
  <c r="X84" i="1"/>
  <c r="S84" i="1"/>
  <c r="AE114" i="1"/>
  <c r="AM114" i="1" s="1"/>
  <c r="V114" i="1"/>
  <c r="T114" i="1"/>
  <c r="U114" i="1"/>
  <c r="AE113" i="1"/>
  <c r="AM113" i="1" s="1"/>
  <c r="V113" i="1"/>
  <c r="T113" i="1"/>
  <c r="U113" i="1"/>
  <c r="AE118" i="1"/>
  <c r="AM118" i="1" s="1"/>
  <c r="V118" i="1"/>
  <c r="T118" i="1"/>
  <c r="U118" i="1"/>
  <c r="T116" i="1"/>
  <c r="U116" i="1"/>
  <c r="V116" i="1"/>
  <c r="AE115" i="1"/>
  <c r="AM115" i="1" s="1"/>
  <c r="T115" i="1"/>
  <c r="U115" i="1"/>
  <c r="V115" i="1"/>
  <c r="V117" i="1"/>
  <c r="AE117" i="1"/>
  <c r="AM117" i="1" s="1"/>
  <c r="T117" i="1"/>
  <c r="U117" i="1"/>
  <c r="V121" i="1"/>
  <c r="AE121" i="1"/>
  <c r="AM121" i="1" s="1"/>
  <c r="T121" i="1"/>
  <c r="U121" i="1"/>
  <c r="V124" i="1"/>
  <c r="X112" i="1"/>
  <c r="AN117" i="1" l="1"/>
  <c r="AF117" i="1"/>
  <c r="AN115" i="1"/>
  <c r="AF115" i="1"/>
  <c r="AN116" i="1"/>
  <c r="AF116" i="1"/>
  <c r="AN118" i="1"/>
  <c r="AF118" i="1"/>
  <c r="AN113" i="1"/>
  <c r="AF113" i="1"/>
  <c r="AN114" i="1"/>
  <c r="AF114" i="1"/>
  <c r="AN121" i="1"/>
  <c r="AF121" i="1"/>
  <c r="GR121" i="1"/>
  <c r="GY121" i="1"/>
  <c r="HG121" i="1"/>
  <c r="HH121" i="1"/>
  <c r="HK121" i="1"/>
  <c r="HM121" i="1"/>
  <c r="GR115" i="1"/>
  <c r="GY115" i="1"/>
  <c r="HG115" i="1"/>
  <c r="HH115" i="1"/>
  <c r="HK115" i="1"/>
  <c r="HM115" i="1"/>
  <c r="GR116" i="1"/>
  <c r="GY116" i="1"/>
  <c r="HG116" i="1"/>
  <c r="HH116" i="1"/>
  <c r="HM116" i="1"/>
  <c r="HK116" i="1"/>
  <c r="GR118" i="1"/>
  <c r="GY118" i="1"/>
  <c r="HG118" i="1"/>
  <c r="HM118" i="1"/>
  <c r="HH118" i="1"/>
  <c r="HK118" i="1"/>
  <c r="GR113" i="1"/>
  <c r="GY113" i="1"/>
  <c r="HG113" i="1"/>
  <c r="HH113" i="1"/>
  <c r="HK113" i="1"/>
  <c r="HM113" i="1"/>
  <c r="GR114" i="1"/>
  <c r="GY114" i="1"/>
  <c r="HG114" i="1"/>
  <c r="HH114" i="1"/>
  <c r="HM114" i="1"/>
  <c r="HK114" i="1"/>
  <c r="GR117" i="1"/>
  <c r="GY117" i="1"/>
  <c r="HG117" i="1"/>
  <c r="HH117" i="1"/>
  <c r="HK117" i="1"/>
  <c r="HM117" i="1"/>
  <c r="S121" i="1"/>
  <c r="Z121" i="1"/>
  <c r="W117" i="1"/>
  <c r="Z117" i="1"/>
  <c r="Z115" i="1"/>
  <c r="Z116" i="1"/>
  <c r="Z118" i="1"/>
  <c r="Z113" i="1"/>
  <c r="Z114" i="1"/>
  <c r="W116" i="1"/>
  <c r="S113" i="1"/>
  <c r="X116" i="1"/>
  <c r="S118" i="1"/>
  <c r="X115" i="1"/>
  <c r="X118" i="1"/>
  <c r="X113" i="1"/>
  <c r="S117" i="1"/>
  <c r="W118" i="1"/>
  <c r="W113" i="1"/>
  <c r="X114" i="1"/>
  <c r="W114" i="1"/>
  <c r="S114" i="1"/>
  <c r="S116" i="1"/>
  <c r="W115" i="1"/>
  <c r="S115" i="1"/>
  <c r="X117" i="1"/>
  <c r="X121" i="1"/>
  <c r="W121" i="1"/>
  <c r="FJ138" i="1" l="1"/>
  <c r="FM138" i="1"/>
  <c r="FN138" i="1"/>
  <c r="FO138" i="1"/>
  <c r="FP138" i="1"/>
  <c r="FQ138" i="1"/>
  <c r="FR138" i="1"/>
  <c r="FS138" i="1"/>
  <c r="FT138" i="1"/>
  <c r="FU138" i="1"/>
  <c r="FV138" i="1"/>
  <c r="FX138" i="1"/>
  <c r="FY138" i="1"/>
  <c r="FZ138" i="1"/>
  <c r="GB138" i="1"/>
  <c r="GC138" i="1"/>
  <c r="GD138" i="1"/>
  <c r="GE138" i="1"/>
  <c r="GL138" i="1"/>
  <c r="AE79" i="1" l="1"/>
  <c r="V111" i="1"/>
  <c r="U111" i="1"/>
  <c r="T111" i="1"/>
  <c r="V106" i="1"/>
  <c r="U106" i="1"/>
  <c r="T106" i="1"/>
  <c r="V82" i="1"/>
  <c r="U82" i="1"/>
  <c r="T82" i="1"/>
  <c r="V90" i="1"/>
  <c r="U90" i="1"/>
  <c r="T90" i="1"/>
  <c r="V101" i="1"/>
  <c r="U101" i="1"/>
  <c r="T101" i="1"/>
  <c r="V78" i="1"/>
  <c r="V79" i="1"/>
  <c r="AM79" i="1" l="1"/>
  <c r="HK79" i="1"/>
  <c r="AU79" i="1"/>
  <c r="AT79" i="1"/>
  <c r="AS79" i="1"/>
  <c r="AR79" i="1"/>
  <c r="AF79" i="1"/>
  <c r="BF79" i="1"/>
  <c r="HH79" i="1"/>
  <c r="HG79" i="1"/>
  <c r="GY79" i="1"/>
  <c r="AN79" i="1"/>
  <c r="GU79" i="1"/>
  <c r="GR79" i="1"/>
  <c r="HM79" i="1"/>
  <c r="P79" i="1"/>
  <c r="T79" i="1" s="1"/>
  <c r="S79" i="1"/>
  <c r="W79" i="1"/>
  <c r="Z79" i="1" l="1"/>
  <c r="U79" i="1"/>
  <c r="X79" i="1"/>
  <c r="BE85" i="1" l="1"/>
  <c r="BE78" i="1"/>
  <c r="BE81" i="1"/>
  <c r="BE80" i="1"/>
  <c r="BE86" i="1"/>
  <c r="BE60" i="1"/>
  <c r="BE59" i="1"/>
  <c r="BE62" i="1"/>
  <c r="BE61" i="1"/>
  <c r="BE39" i="1"/>
  <c r="BE36" i="1"/>
  <c r="BE32" i="1"/>
  <c r="BE6" i="1"/>
  <c r="BE5" i="1"/>
  <c r="BE4" i="1"/>
  <c r="HQ81" i="1"/>
  <c r="GM81" i="1" s="1"/>
  <c r="EZ81" i="1"/>
  <c r="EL81" i="1"/>
  <c r="EM81" i="1" s="1"/>
  <c r="DP81" i="1"/>
  <c r="AE81" i="1"/>
  <c r="HK81" i="1" s="1"/>
  <c r="GN81" i="1" l="1"/>
  <c r="AS81" i="1"/>
  <c r="AM81" i="1"/>
  <c r="BV81" i="1"/>
  <c r="BW81" i="1" s="1"/>
  <c r="BX81" i="1" s="1"/>
  <c r="BU81" i="1"/>
  <c r="AF81" i="1"/>
  <c r="BF81" i="1"/>
  <c r="HH81" i="1"/>
  <c r="HG81" i="1"/>
  <c r="GY81" i="1"/>
  <c r="AN81" i="1"/>
  <c r="GU81" i="1"/>
  <c r="HM81" i="1"/>
  <c r="R81" i="1"/>
  <c r="W81" i="1" s="1"/>
  <c r="Q81" i="1"/>
  <c r="S81" i="1" s="1"/>
  <c r="P81" i="1"/>
  <c r="Z81" i="1" s="1"/>
  <c r="GR81" i="1" l="1"/>
  <c r="HN81" i="1"/>
  <c r="IA81" i="1"/>
  <c r="HS81" i="1"/>
  <c r="FL81" i="1"/>
  <c r="HT81" i="1"/>
  <c r="HU81" i="1" s="1"/>
  <c r="HV81" i="1" s="1"/>
  <c r="GQ81" i="1"/>
  <c r="HC81" i="1"/>
  <c r="GO81" i="1"/>
  <c r="X81" i="1"/>
  <c r="T81" i="1"/>
  <c r="V81" i="1"/>
  <c r="U81" i="1"/>
  <c r="DR81" i="1"/>
  <c r="FW81" i="1"/>
  <c r="FC81" i="1" l="1"/>
  <c r="FE81" i="1" s="1"/>
  <c r="AE82" i="1" l="1"/>
  <c r="HK82" i="1" s="1"/>
  <c r="BF82" i="1" l="1"/>
  <c r="AM82" i="1"/>
  <c r="AT82" i="1"/>
  <c r="AU82" i="1"/>
  <c r="GY82" i="1"/>
  <c r="AF82" i="1"/>
  <c r="AN82" i="1"/>
  <c r="GU82" i="1"/>
  <c r="HH82" i="1"/>
  <c r="HG82" i="1"/>
  <c r="HM82" i="1"/>
  <c r="Z82" i="1"/>
  <c r="GR82" i="1"/>
  <c r="X82" i="1"/>
  <c r="S82" i="1"/>
  <c r="W82" i="1"/>
  <c r="C247" i="26" l="1"/>
  <c r="C248" i="26"/>
  <c r="C249" i="26"/>
  <c r="E211" i="26"/>
  <c r="E216" i="26"/>
  <c r="E210" i="26"/>
  <c r="E212" i="26"/>
  <c r="E214" i="26"/>
  <c r="E215" i="26"/>
  <c r="E208" i="26"/>
  <c r="E213" i="26"/>
  <c r="E209" i="26"/>
  <c r="EL74" i="1" l="1"/>
  <c r="EM74" i="1" s="1"/>
  <c r="EL80" i="1"/>
  <c r="EM80" i="1" s="1"/>
  <c r="EL78" i="1"/>
  <c r="EM78" i="1" s="1"/>
  <c r="EL85" i="1"/>
  <c r="EM85" i="1" s="1"/>
  <c r="EM90" i="1"/>
  <c r="EM119" i="1"/>
  <c r="EM120" i="1"/>
  <c r="EM106" i="1"/>
  <c r="EM111" i="1"/>
  <c r="EM112" i="1"/>
  <c r="EM124" i="1"/>
  <c r="DT52" i="1"/>
  <c r="DT86" i="1"/>
  <c r="DT69" i="1"/>
  <c r="DT73" i="1"/>
  <c r="DT134" i="1"/>
  <c r="DT77" i="1"/>
  <c r="DO75" i="1"/>
  <c r="AE80" i="1" l="1"/>
  <c r="AM80" i="1" l="1"/>
  <c r="HK80" i="1"/>
  <c r="BF80" i="1"/>
  <c r="AT80" i="1"/>
  <c r="AU80" i="1"/>
  <c r="AF80" i="1"/>
  <c r="HM80" i="1"/>
  <c r="HG80" i="1"/>
  <c r="HH80" i="1"/>
  <c r="GY80" i="1"/>
  <c r="AN80" i="1"/>
  <c r="GU80" i="1"/>
  <c r="R80" i="1"/>
  <c r="Q80" i="1"/>
  <c r="P80" i="1"/>
  <c r="Z80" i="1" s="1"/>
  <c r="FK41" i="1"/>
  <c r="T80" i="1" l="1"/>
  <c r="U80" i="1"/>
  <c r="V80" i="1"/>
  <c r="AU19" i="1"/>
  <c r="AT19" i="1"/>
  <c r="AS19" i="1"/>
  <c r="E155" i="1" l="1"/>
  <c r="E156" i="1"/>
  <c r="E157" i="1"/>
  <c r="E158" i="1"/>
  <c r="E159" i="1"/>
  <c r="E160" i="1"/>
  <c r="E161" i="1"/>
  <c r="G161" i="1"/>
  <c r="G160" i="1"/>
  <c r="G159" i="1"/>
  <c r="G158" i="1"/>
  <c r="G157" i="1"/>
  <c r="G156" i="1"/>
  <c r="G155" i="1"/>
  <c r="G154" i="1"/>
  <c r="C163" i="1"/>
  <c r="I158" i="1"/>
  <c r="E162" i="1" l="1"/>
  <c r="E164" i="1" s="1"/>
  <c r="FK51" i="1" l="1"/>
  <c r="FK47" i="1" l="1"/>
  <c r="FK43" i="1" l="1"/>
  <c r="FI55" i="1" l="1"/>
  <c r="FI54" i="1"/>
  <c r="FI53" i="1"/>
  <c r="FI51" i="1"/>
  <c r="FI43" i="1"/>
  <c r="FI40" i="1"/>
  <c r="FI42" i="1"/>
  <c r="FI38" i="1"/>
  <c r="FI23" i="1"/>
  <c r="FI138" i="1" l="1"/>
  <c r="FK38" i="1"/>
  <c r="FK25" i="1" l="1"/>
  <c r="FK23" i="1" l="1"/>
  <c r="FK33" i="1" l="1"/>
  <c r="FK30" i="1" l="1"/>
  <c r="FK27" i="1" l="1"/>
  <c r="FK26" i="1" l="1"/>
  <c r="FK31" i="1"/>
  <c r="FK29" i="1" l="1"/>
  <c r="FK138" i="1" s="1"/>
  <c r="FH2" i="1" l="1"/>
  <c r="FH3" i="1"/>
  <c r="FH6" i="1"/>
  <c r="FH4" i="1"/>
  <c r="FH5" i="1"/>
  <c r="FH10" i="1"/>
  <c r="FH9" i="1"/>
  <c r="FH7" i="1"/>
  <c r="FH8" i="1"/>
  <c r="FH19" i="1"/>
  <c r="FH11" i="1"/>
  <c r="FH13" i="1"/>
  <c r="FH14" i="1"/>
  <c r="FH15" i="1"/>
  <c r="FH16" i="1"/>
  <c r="FH21" i="1"/>
  <c r="FH29" i="1"/>
  <c r="FH20" i="1"/>
  <c r="FH31" i="1"/>
  <c r="FH22" i="1"/>
  <c r="FH26" i="1"/>
  <c r="FH32" i="1"/>
  <c r="FH27" i="1"/>
  <c r="FH28" i="1"/>
  <c r="FH17" i="1"/>
  <c r="FH30" i="1"/>
  <c r="FH35" i="1"/>
  <c r="FH18" i="1"/>
  <c r="EX42" i="1" l="1"/>
  <c r="BT56" i="1" l="1"/>
  <c r="BT55" i="1"/>
  <c r="EC54" i="1" l="1"/>
  <c r="EC55" i="1"/>
  <c r="EU54" i="1"/>
  <c r="DY24" i="1" l="1"/>
  <c r="DP134" i="1"/>
  <c r="DP132" i="1"/>
  <c r="DP77" i="1"/>
  <c r="DO13" i="1"/>
  <c r="DP85" i="1"/>
  <c r="DP78" i="1"/>
  <c r="DP80" i="1"/>
  <c r="DP75" i="1"/>
  <c r="DP74" i="1"/>
  <c r="DP76" i="1"/>
  <c r="DP131" i="1"/>
  <c r="DP71" i="1"/>
  <c r="DP70" i="1"/>
  <c r="DP73" i="1"/>
  <c r="DP64" i="1"/>
  <c r="DP63" i="1"/>
  <c r="DP86" i="1"/>
  <c r="DP69" i="1"/>
  <c r="DP72" i="1"/>
  <c r="DP56" i="1"/>
  <c r="DP55" i="1"/>
  <c r="DP65" i="1"/>
  <c r="DP68" i="1"/>
  <c r="DP67" i="1"/>
  <c r="DP66" i="1"/>
  <c r="DP44" i="1"/>
  <c r="DP54" i="1"/>
  <c r="DP46" i="1"/>
  <c r="DP52" i="1"/>
  <c r="DP49" i="1"/>
  <c r="DP45" i="1"/>
  <c r="DP57" i="1"/>
  <c r="DP59" i="1"/>
  <c r="DP53" i="1"/>
  <c r="DP50" i="1"/>
  <c r="DP62" i="1"/>
  <c r="DP51" i="1"/>
  <c r="DP58" i="1"/>
  <c r="DP61" i="1"/>
  <c r="DP48" i="1"/>
  <c r="DP47" i="1"/>
  <c r="DP41" i="1"/>
  <c r="DP40" i="1"/>
  <c r="DP43" i="1"/>
  <c r="DP42" i="1"/>
  <c r="DP39" i="1"/>
  <c r="DP38" i="1"/>
  <c r="DP36" i="1"/>
  <c r="DP25" i="1"/>
  <c r="DP23" i="1"/>
  <c r="DP24" i="1"/>
  <c r="DP34" i="1"/>
  <c r="DP33" i="1"/>
  <c r="DP37" i="1"/>
  <c r="DP18" i="1"/>
  <c r="DP35" i="1"/>
  <c r="DP30" i="1"/>
  <c r="DP17" i="1"/>
  <c r="DP28" i="1"/>
  <c r="DP27" i="1"/>
  <c r="DP32" i="1"/>
  <c r="DP26" i="1"/>
  <c r="DP22" i="1"/>
  <c r="DP31" i="1"/>
  <c r="DP12" i="1"/>
  <c r="DP20" i="1"/>
  <c r="DP29" i="1"/>
  <c r="DP21" i="1"/>
  <c r="DP16" i="1"/>
  <c r="DP15" i="1"/>
  <c r="DP14" i="1"/>
  <c r="DP11" i="1"/>
  <c r="DP13" i="1"/>
  <c r="DP19" i="1"/>
  <c r="DP10" i="1"/>
  <c r="DP8" i="1"/>
  <c r="DP7" i="1"/>
  <c r="DP5" i="1"/>
  <c r="DP4" i="1"/>
  <c r="DP9" i="1"/>
  <c r="DP6" i="1"/>
  <c r="DP3" i="1"/>
  <c r="DP2" i="1"/>
  <c r="H14" i="26"/>
  <c r="H13" i="26"/>
  <c r="D14" i="26"/>
  <c r="D13" i="26"/>
  <c r="D12" i="26"/>
  <c r="EQ2" i="1" l="1"/>
  <c r="EZ2" i="1" l="1"/>
  <c r="ES2" i="1"/>
  <c r="AZ138" i="1"/>
  <c r="BA138" i="1"/>
  <c r="BB138" i="1"/>
  <c r="BC138" i="1"/>
  <c r="FG138" i="1"/>
  <c r="HQ95" i="1"/>
  <c r="HQ94" i="1"/>
  <c r="HQ93" i="1"/>
  <c r="HQ91" i="1"/>
  <c r="HQ89" i="1"/>
  <c r="HQ88" i="1"/>
  <c r="HQ75" i="1"/>
  <c r="IA75" i="1" s="1"/>
  <c r="HQ74" i="1"/>
  <c r="IA74" i="1" s="1"/>
  <c r="HQ76" i="1"/>
  <c r="HQ132" i="1"/>
  <c r="IA132" i="1" s="1"/>
  <c r="HQ131" i="1"/>
  <c r="IA131" i="1" s="1"/>
  <c r="HQ80" i="1"/>
  <c r="GM80" i="1" s="1"/>
  <c r="HQ78" i="1"/>
  <c r="GM78" i="1" s="1"/>
  <c r="HQ85" i="1"/>
  <c r="GM85" i="1" s="1"/>
  <c r="HQ90" i="1"/>
  <c r="GM90" i="1" s="1"/>
  <c r="HQ119" i="1"/>
  <c r="GM119" i="1" s="1"/>
  <c r="HQ120" i="1"/>
  <c r="GM120" i="1" s="1"/>
  <c r="HQ106" i="1"/>
  <c r="GM106" i="1" s="1"/>
  <c r="HQ111" i="1"/>
  <c r="GM111" i="1" s="1"/>
  <c r="HQ112" i="1"/>
  <c r="GM112" i="1" s="1"/>
  <c r="HQ124" i="1"/>
  <c r="GM124" i="1" s="1"/>
  <c r="HQ87" i="1"/>
  <c r="GM87" i="1" s="1"/>
  <c r="IA70" i="1"/>
  <c r="HQ134" i="1"/>
  <c r="HQ71" i="1"/>
  <c r="HQ64" i="1"/>
  <c r="HQ69" i="1"/>
  <c r="HQ86" i="1"/>
  <c r="IA86" i="1" s="1"/>
  <c r="HQ63" i="1"/>
  <c r="FH24" i="1"/>
  <c r="FH138" i="1" s="1"/>
  <c r="IA124" i="1" l="1"/>
  <c r="GN124" i="1"/>
  <c r="IA120" i="1"/>
  <c r="GN120" i="1"/>
  <c r="GN78" i="1"/>
  <c r="HN78" i="1" s="1"/>
  <c r="IA112" i="1"/>
  <c r="GN112" i="1"/>
  <c r="HN119" i="1"/>
  <c r="GN119" i="1"/>
  <c r="IA80" i="1"/>
  <c r="GN80" i="1"/>
  <c r="HN80" i="1" s="1"/>
  <c r="IA111" i="1"/>
  <c r="GN111" i="1"/>
  <c r="IA90" i="1"/>
  <c r="GN90" i="1"/>
  <c r="GN87" i="1"/>
  <c r="IA106" i="1"/>
  <c r="GN106" i="1"/>
  <c r="HC106" i="1" s="1"/>
  <c r="IA85" i="1"/>
  <c r="GN85" i="1"/>
  <c r="IA64" i="1"/>
  <c r="IA119" i="1"/>
  <c r="IA72" i="1"/>
  <c r="IA78" i="1"/>
  <c r="FC2" i="1"/>
  <c r="GQ85" i="1" l="1"/>
  <c r="HN85" i="1"/>
  <c r="HN90" i="1"/>
  <c r="GQ90" i="1"/>
  <c r="GR111" i="1"/>
  <c r="GR112" i="1"/>
  <c r="HN106" i="1"/>
  <c r="HT106" i="1"/>
  <c r="HU106" i="1" s="1"/>
  <c r="FL106" i="1"/>
  <c r="HS106" i="1"/>
  <c r="GQ106" i="1"/>
  <c r="GO106" i="1"/>
  <c r="GQ80" i="1"/>
  <c r="HC80" i="1"/>
  <c r="HT80" i="1"/>
  <c r="HU80" i="1" s="1"/>
  <c r="HV80" i="1" s="1"/>
  <c r="HS80" i="1"/>
  <c r="FL80" i="1"/>
  <c r="GO80" i="1"/>
  <c r="GR80" i="1"/>
  <c r="HS85" i="1"/>
  <c r="FL85" i="1"/>
  <c r="HC85" i="1"/>
  <c r="HT85" i="1"/>
  <c r="HU85" i="1" s="1"/>
  <c r="HV85" i="1" s="1"/>
  <c r="GQ87" i="1"/>
  <c r="FL87" i="1"/>
  <c r="HS78" i="1"/>
  <c r="HT78" i="1"/>
  <c r="HU78" i="1" s="1"/>
  <c r="HV78" i="1" s="1"/>
  <c r="GQ78" i="1"/>
  <c r="FL78" i="1"/>
  <c r="HC78" i="1"/>
  <c r="GO78" i="1"/>
  <c r="HT124" i="1"/>
  <c r="HU124" i="1" s="1"/>
  <c r="FL124" i="1"/>
  <c r="GO124" i="1"/>
  <c r="HN124" i="1"/>
  <c r="HS124" i="1"/>
  <c r="GQ124" i="1"/>
  <c r="HC124" i="1"/>
  <c r="FE2" i="1"/>
  <c r="BP46" i="1" l="1"/>
  <c r="BP45" i="1"/>
  <c r="BP63" i="1"/>
  <c r="BP86" i="1"/>
  <c r="B244" i="26"/>
  <c r="C246" i="26" s="1"/>
  <c r="C250" i="26" s="1"/>
  <c r="H254" i="26"/>
  <c r="H249" i="26"/>
  <c r="H248" i="26"/>
  <c r="ES72" i="1" l="1"/>
  <c r="H247" i="26"/>
  <c r="H250" i="26" s="1"/>
  <c r="H252" i="26" s="1"/>
  <c r="H255" i="26" s="1"/>
  <c r="EZ78" i="1"/>
  <c r="EZ124" i="1"/>
  <c r="EZ106" i="1"/>
  <c r="EZ111" i="1"/>
  <c r="FA90" i="1"/>
  <c r="EZ112" i="1"/>
  <c r="EZ131" i="1"/>
  <c r="BU78" i="1" l="1"/>
  <c r="BV78" i="1"/>
  <c r="BW78" i="1" s="1"/>
  <c r="BX78" i="1" s="1"/>
  <c r="BV90" i="1"/>
  <c r="BW90" i="1" s="1"/>
  <c r="BX90" i="1" s="1"/>
  <c r="BU90" i="1"/>
  <c r="FA124" i="1"/>
  <c r="BV124" i="1" s="1"/>
  <c r="BW124" i="1" s="1"/>
  <c r="BX124" i="1" s="1"/>
  <c r="BU124" i="1" l="1"/>
  <c r="FC124" i="1"/>
  <c r="FE124" i="1" s="1"/>
  <c r="DR78" i="1"/>
  <c r="DR80" i="1"/>
  <c r="FA106" i="1"/>
  <c r="BV106" i="1" s="1"/>
  <c r="BW106" i="1" s="1"/>
  <c r="BX106" i="1" s="1"/>
  <c r="FW80" i="1"/>
  <c r="BU106" i="1" l="1"/>
  <c r="FC78" i="1"/>
  <c r="FC106" i="1"/>
  <c r="FE106" i="1" s="1"/>
  <c r="FC90" i="1"/>
  <c r="FE90" i="1" s="1"/>
  <c r="FC131" i="1"/>
  <c r="FE131" i="1" s="1"/>
  <c r="FE78" i="1" l="1"/>
  <c r="L135" i="26"/>
  <c r="P32" i="1"/>
  <c r="P58" i="1"/>
  <c r="AY58" i="1" s="1"/>
  <c r="P10" i="1"/>
  <c r="P35" i="1"/>
  <c r="P31" i="1"/>
  <c r="P75" i="1"/>
  <c r="P74" i="1"/>
  <c r="R86" i="1"/>
  <c r="R69" i="1"/>
  <c r="R41" i="1"/>
  <c r="R56" i="1"/>
  <c r="R55" i="1"/>
  <c r="Q37" i="1"/>
  <c r="Q36" i="1"/>
  <c r="Q3" i="1"/>
  <c r="Q61" i="1"/>
  <c r="Q32" i="1"/>
  <c r="Q6" i="1"/>
  <c r="Q11" i="1"/>
  <c r="Q24" i="1"/>
  <c r="Q15" i="1"/>
  <c r="Q25" i="1"/>
  <c r="Q73" i="1"/>
  <c r="Q26" i="1"/>
  <c r="Q20" i="1"/>
  <c r="Q42" i="1"/>
  <c r="Q40" i="1"/>
  <c r="L137" i="26" l="1"/>
  <c r="L138" i="26"/>
  <c r="L136" i="26"/>
  <c r="L139" i="26"/>
  <c r="AE78" i="1" l="1"/>
  <c r="AM78" i="1" l="1"/>
  <c r="HK78" i="1"/>
  <c r="BF78" i="1"/>
  <c r="AV78" i="1"/>
  <c r="AT78" i="1"/>
  <c r="AU78" i="1"/>
  <c r="AF78" i="1"/>
  <c r="HG78" i="1"/>
  <c r="HH78" i="1"/>
  <c r="GY78" i="1"/>
  <c r="AN78" i="1"/>
  <c r="GU78" i="1"/>
  <c r="GR78" i="1"/>
  <c r="HM78" i="1"/>
  <c r="P78" i="1"/>
  <c r="Z78" i="1" s="1"/>
  <c r="W78" i="1"/>
  <c r="S78" i="1"/>
  <c r="T78" i="1" l="1"/>
  <c r="X78" i="1"/>
  <c r="U78" i="1"/>
  <c r="BT63" i="1"/>
  <c r="BX63" i="1" s="1"/>
  <c r="BT64" i="1"/>
  <c r="BT134" i="1"/>
  <c r="BT69" i="1"/>
  <c r="BT138" i="1" l="1"/>
  <c r="S80" i="1" l="1"/>
  <c r="X80" i="1" l="1"/>
  <c r="W80" i="1"/>
  <c r="BS62" i="1" l="1"/>
  <c r="BV62" i="1" s="1"/>
  <c r="BW62" i="1" s="1"/>
  <c r="BX62" i="1" s="1"/>
  <c r="BS50" i="1"/>
  <c r="BV50" i="1" s="1"/>
  <c r="BW50" i="1" s="1"/>
  <c r="BX50" i="1" s="1"/>
  <c r="BS53" i="1"/>
  <c r="BV53" i="1" s="1"/>
  <c r="BW53" i="1" s="1"/>
  <c r="BX53" i="1" s="1"/>
  <c r="BS55" i="1"/>
  <c r="BV55" i="1" s="1"/>
  <c r="BW55" i="1" s="1"/>
  <c r="BX55" i="1" s="1"/>
  <c r="BS56" i="1"/>
  <c r="BV56" i="1" s="1"/>
  <c r="BW56" i="1" s="1"/>
  <c r="BX56" i="1" s="1"/>
  <c r="BS59" i="1"/>
  <c r="BV59" i="1" s="1"/>
  <c r="BW59" i="1" s="1"/>
  <c r="BX59" i="1" s="1"/>
  <c r="BS60" i="1"/>
  <c r="BS57" i="1"/>
  <c r="BS49" i="1"/>
  <c r="BS46" i="1"/>
  <c r="BS86" i="1"/>
  <c r="BS69" i="1"/>
  <c r="BS44" i="1"/>
  <c r="BS65" i="1"/>
  <c r="BS67" i="1"/>
  <c r="BS68" i="1"/>
  <c r="BS66" i="1"/>
  <c r="BP131" i="1"/>
  <c r="BP73" i="1"/>
  <c r="BP70" i="1"/>
  <c r="BP76" i="1"/>
  <c r="BP75" i="1"/>
  <c r="BP74" i="1"/>
  <c r="BP72" i="1"/>
  <c r="BP71" i="1"/>
  <c r="BP132" i="1"/>
  <c r="BU55" i="1" l="1"/>
  <c r="BU59" i="1"/>
  <c r="BU50" i="1"/>
  <c r="BU53" i="1"/>
  <c r="BU56" i="1"/>
  <c r="BU62" i="1"/>
  <c r="BS85" i="1"/>
  <c r="BP77" i="1"/>
  <c r="BS75" i="1"/>
  <c r="BS74" i="1"/>
  <c r="BS71" i="1"/>
  <c r="BS134" i="1"/>
  <c r="BS76" i="1"/>
  <c r="BS45" i="1"/>
  <c r="BS52" i="1"/>
  <c r="BS73" i="1" l="1"/>
  <c r="BS64" i="1"/>
  <c r="BV64" i="1" s="1"/>
  <c r="BS77" i="1"/>
  <c r="BS131" i="1"/>
  <c r="BV131" i="1" s="1"/>
  <c r="BW131" i="1" s="1"/>
  <c r="BX131" i="1" s="1"/>
  <c r="BS72" i="1"/>
  <c r="BV72" i="1" s="1"/>
  <c r="BW72" i="1" s="1"/>
  <c r="BX72" i="1" s="1"/>
  <c r="BS132" i="1"/>
  <c r="BV132" i="1" s="1"/>
  <c r="BW132" i="1" s="1"/>
  <c r="BX132" i="1" s="1"/>
  <c r="BS70" i="1"/>
  <c r="BW64" i="1" l="1"/>
  <c r="BX64" i="1" s="1"/>
  <c r="BU72" i="1"/>
  <c r="BU132" i="1"/>
  <c r="BU64" i="1"/>
  <c r="BU131" i="1"/>
  <c r="DR42" i="1"/>
  <c r="FD42" i="1"/>
  <c r="AE106" i="1" l="1"/>
  <c r="AM106" i="1" s="1"/>
  <c r="V85" i="1"/>
  <c r="U85" i="1"/>
  <c r="T85" i="1"/>
  <c r="AE124" i="1"/>
  <c r="AF124" i="1" l="1"/>
  <c r="AM124" i="1"/>
  <c r="AN106" i="1"/>
  <c r="AF106" i="1"/>
  <c r="GR124" i="1"/>
  <c r="AN124" i="1"/>
  <c r="GY124" i="1"/>
  <c r="HG124" i="1"/>
  <c r="HK124" i="1"/>
  <c r="HH124" i="1"/>
  <c r="HM124" i="1"/>
  <c r="GR106" i="1"/>
  <c r="GY106" i="1"/>
  <c r="HH106" i="1"/>
  <c r="HG106" i="1"/>
  <c r="HM106" i="1"/>
  <c r="HK106" i="1"/>
  <c r="S106" i="1"/>
  <c r="Z106" i="1"/>
  <c r="S124" i="1"/>
  <c r="Z124" i="1"/>
  <c r="W111" i="1"/>
  <c r="X111" i="1"/>
  <c r="W106" i="1"/>
  <c r="X106" i="1"/>
  <c r="W124" i="1"/>
  <c r="X124" i="1"/>
  <c r="AE119" i="1"/>
  <c r="AM119" i="1" s="1"/>
  <c r="AE120" i="1"/>
  <c r="AM120" i="1" s="1"/>
  <c r="AE101" i="1"/>
  <c r="AF101" i="1" l="1"/>
  <c r="AM101" i="1"/>
  <c r="AN119" i="1"/>
  <c r="AF119" i="1"/>
  <c r="AN120" i="1"/>
  <c r="AF120" i="1"/>
  <c r="AN101" i="1"/>
  <c r="HM101" i="1"/>
  <c r="HG101" i="1"/>
  <c r="HK101" i="1"/>
  <c r="HH101" i="1"/>
  <c r="GR101" i="1"/>
  <c r="GY101" i="1"/>
  <c r="HH119" i="1"/>
  <c r="HG119" i="1"/>
  <c r="HK119" i="1"/>
  <c r="HM119" i="1"/>
  <c r="HG120" i="1"/>
  <c r="HK120" i="1"/>
  <c r="HH120" i="1"/>
  <c r="HM120" i="1"/>
  <c r="Z119" i="1"/>
  <c r="GR119" i="1"/>
  <c r="Z120" i="1"/>
  <c r="GR120" i="1"/>
  <c r="S101" i="1"/>
  <c r="Z101" i="1"/>
  <c r="W101" i="1"/>
  <c r="X101" i="1"/>
  <c r="L32" i="26"/>
  <c r="FL66" i="1" l="1"/>
  <c r="FL67" i="1"/>
  <c r="HD138" i="1"/>
  <c r="GQ65" i="1" l="1"/>
  <c r="GR65" i="1"/>
  <c r="FL65" i="1"/>
  <c r="EI53" i="1" l="1"/>
  <c r="EF55" i="1" l="1"/>
  <c r="EI55" i="1"/>
  <c r="EL54" i="1" l="1"/>
  <c r="EL63" i="1"/>
  <c r="EL69" i="1"/>
  <c r="EL64" i="1"/>
  <c r="EL73" i="1"/>
  <c r="EL134" i="1"/>
  <c r="EL86" i="1"/>
  <c r="EL77" i="1"/>
  <c r="EL72" i="1"/>
  <c r="EL70" i="1"/>
  <c r="EL131" i="1"/>
  <c r="EL132" i="1"/>
  <c r="EL71" i="1"/>
  <c r="EL76" i="1"/>
  <c r="EL44" i="1"/>
  <c r="EL65" i="1"/>
  <c r="EL67" i="1"/>
  <c r="EL68" i="1"/>
  <c r="EL66" i="1"/>
  <c r="EL87" i="1"/>
  <c r="EM87" i="1" s="1"/>
  <c r="EL88" i="1"/>
  <c r="EM88" i="1" s="1"/>
  <c r="EL89" i="1"/>
  <c r="EM89" i="1" s="1"/>
  <c r="EM91" i="1"/>
  <c r="EM93" i="1"/>
  <c r="EM94" i="1"/>
  <c r="EM95" i="1"/>
  <c r="EL53" i="1"/>
  <c r="EL39" i="1"/>
  <c r="GP74" i="1" l="1"/>
  <c r="GP75" i="1"/>
  <c r="HQ56" i="1" l="1"/>
  <c r="HQ73" i="1"/>
  <c r="IA63" i="1" l="1"/>
  <c r="IA51" i="1"/>
  <c r="HQ50" i="1"/>
  <c r="HQ77" i="1"/>
  <c r="HQ62" i="1"/>
  <c r="HQ48" i="1"/>
  <c r="HQ61" i="1"/>
  <c r="HQ47" i="1"/>
  <c r="HQ43" i="1"/>
  <c r="IA41" i="1"/>
  <c r="IA59" i="1" l="1"/>
  <c r="HC87" i="1"/>
  <c r="V132" i="1"/>
  <c r="V120" i="1"/>
  <c r="U120" i="1"/>
  <c r="V119" i="1"/>
  <c r="U119" i="1"/>
  <c r="U132" i="1"/>
  <c r="U75" i="1"/>
  <c r="T132" i="1"/>
  <c r="T112" i="1"/>
  <c r="T70" i="1"/>
  <c r="T120" i="1"/>
  <c r="T119" i="1"/>
  <c r="T76" i="1"/>
  <c r="T131" i="1"/>
  <c r="T71" i="1"/>
  <c r="T75" i="1"/>
  <c r="T74" i="1"/>
  <c r="GV70" i="1"/>
  <c r="DO70" i="1"/>
  <c r="GN70" i="1" l="1"/>
  <c r="HN70" i="1" s="1"/>
  <c r="GM70" i="1"/>
  <c r="HS70" i="1" l="1"/>
  <c r="HT70" i="1"/>
  <c r="GQ70" i="1"/>
  <c r="HC70" i="1"/>
  <c r="FL70" i="1"/>
  <c r="DV24" i="1"/>
  <c r="DU24" i="1"/>
  <c r="DI24" i="1"/>
  <c r="DD24" i="1"/>
  <c r="DA24" i="1"/>
  <c r="CZ24" i="1"/>
  <c r="CU24" i="1"/>
  <c r="CR24" i="1"/>
  <c r="CT24" i="1" s="1"/>
  <c r="DF24" i="1" l="1"/>
  <c r="CW24" i="1"/>
  <c r="DK24" i="1"/>
  <c r="DC24" i="1"/>
  <c r="DX24" i="1"/>
  <c r="EB24" i="1" l="1"/>
  <c r="EA24" i="1"/>
  <c r="ED24" i="1" l="1"/>
  <c r="EE24" i="1"/>
  <c r="EH24" i="1" l="1"/>
  <c r="EG24" i="1"/>
  <c r="FW42" i="1"/>
  <c r="FW43" i="1"/>
  <c r="FW47" i="1"/>
  <c r="FW48" i="1"/>
  <c r="FW61" i="1"/>
  <c r="FW53" i="1"/>
  <c r="FW34" i="1"/>
  <c r="FW33" i="1"/>
  <c r="FW24" i="1"/>
  <c r="FW23" i="1"/>
  <c r="FW25" i="1"/>
  <c r="FW36" i="1"/>
  <c r="FW39" i="1"/>
  <c r="FW41" i="1"/>
  <c r="FW28" i="1"/>
  <c r="FW27" i="1"/>
  <c r="FW17" i="1"/>
  <c r="FW18" i="1"/>
  <c r="FW35" i="1"/>
  <c r="EK24" i="1" l="1"/>
  <c r="EM24" i="1" s="1"/>
  <c r="EJ24" i="1"/>
  <c r="FW37" i="1" l="1"/>
  <c r="FW22" i="1"/>
  <c r="FW21" i="1"/>
  <c r="HI135" i="1" l="1"/>
  <c r="HO135" i="1"/>
  <c r="HP135" i="1"/>
  <c r="HC52" i="1" l="1"/>
  <c r="HC45" i="1"/>
  <c r="HC46" i="1"/>
  <c r="HC49" i="1"/>
  <c r="GO85" i="1" l="1"/>
  <c r="GO59" i="1"/>
  <c r="AE23" i="1"/>
  <c r="AM23" i="1" s="1"/>
  <c r="AE26" i="1"/>
  <c r="AM26" i="1" s="1"/>
  <c r="AE24" i="1"/>
  <c r="AM24" i="1" s="1"/>
  <c r="AE25" i="1"/>
  <c r="AM25" i="1" s="1"/>
  <c r="AE27" i="1"/>
  <c r="AM27" i="1" s="1"/>
  <c r="AE35" i="1"/>
  <c r="AE33" i="1"/>
  <c r="AM33" i="1" s="1"/>
  <c r="AE44" i="1"/>
  <c r="AE32" i="1"/>
  <c r="AM32" i="1" s="1"/>
  <c r="AE38" i="1"/>
  <c r="AM38" i="1" s="1"/>
  <c r="AE37" i="1"/>
  <c r="AM37" i="1" s="1"/>
  <c r="AE36" i="1"/>
  <c r="AM36" i="1" s="1"/>
  <c r="AE42" i="1"/>
  <c r="AE47" i="1"/>
  <c r="AE48" i="1"/>
  <c r="AE41" i="1"/>
  <c r="AE51" i="1"/>
  <c r="AE43" i="1"/>
  <c r="AE50" i="1"/>
  <c r="HK50" i="1" s="1"/>
  <c r="AE55" i="1"/>
  <c r="AE40" i="1"/>
  <c r="HK40" i="1" s="1"/>
  <c r="AE39" i="1"/>
  <c r="AM39" i="1" s="1"/>
  <c r="AE54" i="1"/>
  <c r="AE56" i="1"/>
  <c r="AE77" i="1"/>
  <c r="HK77" i="1" s="1"/>
  <c r="AE53" i="1"/>
  <c r="HK53" i="1" s="1"/>
  <c r="AE69" i="1"/>
  <c r="HK69" i="1" s="1"/>
  <c r="AE134" i="1"/>
  <c r="AE73" i="1"/>
  <c r="AE62" i="1"/>
  <c r="AE72" i="1"/>
  <c r="AE87" i="1"/>
  <c r="AE88" i="1"/>
  <c r="AE89" i="1"/>
  <c r="AE91" i="1"/>
  <c r="AE59" i="1"/>
  <c r="AE49" i="1"/>
  <c r="AE71" i="1"/>
  <c r="AE90" i="1"/>
  <c r="AE52" i="1"/>
  <c r="AE74" i="1"/>
  <c r="AE60" i="1"/>
  <c r="HK60" i="1" s="1"/>
  <c r="AE75" i="1"/>
  <c r="AE76" i="1"/>
  <c r="AE93" i="1"/>
  <c r="AE94" i="1"/>
  <c r="AE95" i="1"/>
  <c r="AE70" i="1"/>
  <c r="AE131" i="1"/>
  <c r="AM131" i="1" s="1"/>
  <c r="AE16" i="1"/>
  <c r="AM16" i="1" s="1"/>
  <c r="AE7" i="1"/>
  <c r="AM7" i="1" s="1"/>
  <c r="AE28" i="1"/>
  <c r="AM28" i="1" s="1"/>
  <c r="AE5" i="1"/>
  <c r="AE85" i="1"/>
  <c r="AE2" i="1"/>
  <c r="AE9" i="1"/>
  <c r="AM9" i="1" s="1"/>
  <c r="AE3" i="1"/>
  <c r="AE6" i="1"/>
  <c r="AE57" i="1"/>
  <c r="AE4" i="1"/>
  <c r="AE10" i="1"/>
  <c r="AM10" i="1" s="1"/>
  <c r="AE8" i="1"/>
  <c r="AE34" i="1"/>
  <c r="AM34" i="1" s="1"/>
  <c r="AE19" i="1"/>
  <c r="AM19" i="1" s="1"/>
  <c r="AE13" i="1"/>
  <c r="AM13" i="1" s="1"/>
  <c r="AE18" i="1"/>
  <c r="AM18" i="1" s="1"/>
  <c r="AE21" i="1"/>
  <c r="AM21" i="1" s="1"/>
  <c r="AE14" i="1"/>
  <c r="AM14" i="1" s="1"/>
  <c r="AE17" i="1"/>
  <c r="AM17" i="1" s="1"/>
  <c r="AE12" i="1"/>
  <c r="AM12" i="1" s="1"/>
  <c r="AE22" i="1"/>
  <c r="AM22" i="1" s="1"/>
  <c r="AE11" i="1"/>
  <c r="AM11" i="1" s="1"/>
  <c r="AE15" i="1"/>
  <c r="AM15" i="1" s="1"/>
  <c r="AE20" i="1"/>
  <c r="AM20" i="1" s="1"/>
  <c r="AE31" i="1"/>
  <c r="AM31" i="1" s="1"/>
  <c r="AE29" i="1"/>
  <c r="AM29" i="1" s="1"/>
  <c r="AE30" i="1"/>
  <c r="AM30" i="1" s="1"/>
  <c r="HK85" i="1" l="1"/>
  <c r="GR85" i="1"/>
  <c r="AM71" i="1"/>
  <c r="HK71" i="1"/>
  <c r="AM62" i="1"/>
  <c r="HK62" i="1"/>
  <c r="AM43" i="1"/>
  <c r="HK43" i="1"/>
  <c r="AM47" i="1"/>
  <c r="HK47" i="1"/>
  <c r="AM74" i="1"/>
  <c r="HK74" i="1"/>
  <c r="AM73" i="1"/>
  <c r="HK73" i="1"/>
  <c r="AM51" i="1"/>
  <c r="HK51" i="1"/>
  <c r="AM42" i="1"/>
  <c r="HK42" i="1"/>
  <c r="AM70" i="1"/>
  <c r="HK70" i="1"/>
  <c r="AM76" i="1"/>
  <c r="HK76" i="1"/>
  <c r="AM59" i="1"/>
  <c r="HK59" i="1"/>
  <c r="AM56" i="1"/>
  <c r="HK56" i="1"/>
  <c r="AM55" i="1"/>
  <c r="HK55" i="1"/>
  <c r="AM41" i="1"/>
  <c r="HK41" i="1"/>
  <c r="AM75" i="1"/>
  <c r="HK75" i="1"/>
  <c r="AM90" i="1"/>
  <c r="HK90" i="1"/>
  <c r="GR90" i="1"/>
  <c r="AM72" i="1"/>
  <c r="HK72" i="1"/>
  <c r="AM54" i="1"/>
  <c r="HK54" i="1"/>
  <c r="AM48" i="1"/>
  <c r="HK48" i="1"/>
  <c r="AM35" i="1"/>
  <c r="AV35" i="1"/>
  <c r="AS35" i="1"/>
  <c r="AU35" i="1"/>
  <c r="AT35" i="1"/>
  <c r="HM8" i="1"/>
  <c r="AM8" i="1"/>
  <c r="BF85" i="1"/>
  <c r="AM85" i="1"/>
  <c r="AN94" i="1"/>
  <c r="AM94" i="1"/>
  <c r="AN89" i="1"/>
  <c r="AM89" i="1"/>
  <c r="BF3" i="1"/>
  <c r="AM3" i="1"/>
  <c r="BF5" i="1"/>
  <c r="AM5" i="1"/>
  <c r="AN93" i="1"/>
  <c r="AM93" i="1"/>
  <c r="AN49" i="1"/>
  <c r="AM49" i="1"/>
  <c r="AN88" i="1"/>
  <c r="AM88" i="1"/>
  <c r="AF77" i="1"/>
  <c r="AM77" i="1"/>
  <c r="AN40" i="1"/>
  <c r="AM40" i="1"/>
  <c r="AN60" i="1"/>
  <c r="AM60" i="1"/>
  <c r="AN53" i="1"/>
  <c r="AM53" i="1"/>
  <c r="BF4" i="1"/>
  <c r="AM4" i="1"/>
  <c r="AN52" i="1"/>
  <c r="AM52" i="1"/>
  <c r="AN87" i="1"/>
  <c r="AM87" i="1"/>
  <c r="AF134" i="1"/>
  <c r="AM134" i="1"/>
  <c r="AN44" i="1"/>
  <c r="AM44" i="1"/>
  <c r="BF6" i="1"/>
  <c r="AM6" i="1"/>
  <c r="AN57" i="1"/>
  <c r="AM57" i="1"/>
  <c r="AN2" i="1"/>
  <c r="AM2" i="1"/>
  <c r="AN95" i="1"/>
  <c r="AM95" i="1"/>
  <c r="AN91" i="1"/>
  <c r="AM91" i="1"/>
  <c r="AF69" i="1"/>
  <c r="AM69" i="1"/>
  <c r="AN50" i="1"/>
  <c r="AM50" i="1"/>
  <c r="AF90" i="1"/>
  <c r="AU90" i="1"/>
  <c r="AT90" i="1"/>
  <c r="AN62" i="1"/>
  <c r="BF62" i="1"/>
  <c r="AN39" i="1"/>
  <c r="BF39" i="1"/>
  <c r="HK32" i="1"/>
  <c r="BF32" i="1"/>
  <c r="Z36" i="1"/>
  <c r="BF36" i="1"/>
  <c r="AF85" i="1"/>
  <c r="AN47" i="1"/>
  <c r="AF47" i="1"/>
  <c r="AN74" i="1"/>
  <c r="AF74" i="1"/>
  <c r="AN73" i="1"/>
  <c r="AF73" i="1"/>
  <c r="AN51" i="1"/>
  <c r="AF51" i="1"/>
  <c r="AN59" i="1"/>
  <c r="AF59" i="1"/>
  <c r="AN55" i="1"/>
  <c r="AF55" i="1"/>
  <c r="AN71" i="1"/>
  <c r="AF71" i="1"/>
  <c r="AN131" i="1"/>
  <c r="AF131" i="1"/>
  <c r="AN70" i="1"/>
  <c r="AF70" i="1"/>
  <c r="AN76" i="1"/>
  <c r="AF76" i="1"/>
  <c r="AN56" i="1"/>
  <c r="AF56" i="1"/>
  <c r="AN75" i="1"/>
  <c r="AF75" i="1"/>
  <c r="AN72" i="1"/>
  <c r="AF72" i="1"/>
  <c r="AN54" i="1"/>
  <c r="AF54" i="1"/>
  <c r="AN48" i="1"/>
  <c r="AF48" i="1"/>
  <c r="AN85" i="1"/>
  <c r="HG85" i="1"/>
  <c r="HH85" i="1"/>
  <c r="GY85" i="1"/>
  <c r="AN90" i="1"/>
  <c r="GU90" i="1"/>
  <c r="Z77" i="1"/>
  <c r="AN77" i="1"/>
  <c r="Z134" i="1"/>
  <c r="AN134" i="1"/>
  <c r="Z69" i="1"/>
  <c r="AN69" i="1"/>
  <c r="HG29" i="1"/>
  <c r="HK29" i="1"/>
  <c r="HH29" i="1"/>
  <c r="HM29" i="1"/>
  <c r="HG20" i="1"/>
  <c r="HK20" i="1"/>
  <c r="HH20" i="1"/>
  <c r="HM20" i="1"/>
  <c r="HG30" i="1"/>
  <c r="HH30" i="1"/>
  <c r="HM30" i="1"/>
  <c r="HK30" i="1"/>
  <c r="HG15" i="1"/>
  <c r="HH15" i="1"/>
  <c r="HM15" i="1"/>
  <c r="HK15" i="1"/>
  <c r="HG17" i="1"/>
  <c r="HM17" i="1"/>
  <c r="HH17" i="1"/>
  <c r="HG13" i="1"/>
  <c r="HH13" i="1"/>
  <c r="HM13" i="1"/>
  <c r="HG10" i="1"/>
  <c r="HH10" i="1"/>
  <c r="HM10" i="1"/>
  <c r="HK3" i="1"/>
  <c r="HM3" i="1"/>
  <c r="HM5" i="1"/>
  <c r="HK5" i="1"/>
  <c r="HK16" i="1"/>
  <c r="HM16" i="1"/>
  <c r="HK94" i="1"/>
  <c r="HM94" i="1"/>
  <c r="GR60" i="1"/>
  <c r="GY60" i="1"/>
  <c r="HG60" i="1"/>
  <c r="HH60" i="1"/>
  <c r="HM60" i="1"/>
  <c r="Z71" i="1"/>
  <c r="HG71" i="1"/>
  <c r="HH71" i="1"/>
  <c r="HM71" i="1"/>
  <c r="HM89" i="1"/>
  <c r="HK89" i="1"/>
  <c r="Z62" i="1"/>
  <c r="HH62" i="1"/>
  <c r="HG62" i="1"/>
  <c r="HM62" i="1"/>
  <c r="Z53" i="1"/>
  <c r="HH39" i="1"/>
  <c r="HG39" i="1"/>
  <c r="HK39" i="1"/>
  <c r="HM39" i="1"/>
  <c r="HM43" i="1"/>
  <c r="HM47" i="1"/>
  <c r="HH38" i="1"/>
  <c r="HG38" i="1"/>
  <c r="HK38" i="1"/>
  <c r="HM38" i="1"/>
  <c r="HG35" i="1"/>
  <c r="HH35" i="1"/>
  <c r="HK35" i="1"/>
  <c r="HM35" i="1"/>
  <c r="HG26" i="1"/>
  <c r="HK26" i="1"/>
  <c r="HH26" i="1"/>
  <c r="HM26" i="1"/>
  <c r="HG14" i="1"/>
  <c r="HM14" i="1"/>
  <c r="HH14" i="1"/>
  <c r="HK14" i="1"/>
  <c r="HM4" i="1"/>
  <c r="HK4" i="1"/>
  <c r="HG9" i="1"/>
  <c r="HH9" i="1"/>
  <c r="HM9" i="1"/>
  <c r="HG28" i="1"/>
  <c r="HM28" i="1"/>
  <c r="HH28" i="1"/>
  <c r="HK28" i="1"/>
  <c r="HG131" i="1"/>
  <c r="HK131" i="1"/>
  <c r="HH131" i="1"/>
  <c r="HM131" i="1"/>
  <c r="HK93" i="1"/>
  <c r="HM93" i="1"/>
  <c r="HG74" i="1"/>
  <c r="HM74" i="1"/>
  <c r="HH74" i="1"/>
  <c r="GR49" i="1"/>
  <c r="GY49" i="1"/>
  <c r="HM49" i="1"/>
  <c r="HK49" i="1"/>
  <c r="HM88" i="1"/>
  <c r="HK88" i="1"/>
  <c r="HH73" i="1"/>
  <c r="HG73" i="1"/>
  <c r="HM73" i="1"/>
  <c r="HG40" i="1"/>
  <c r="HH40" i="1"/>
  <c r="HM40" i="1"/>
  <c r="HM51" i="1"/>
  <c r="HG42" i="1"/>
  <c r="HM42" i="1"/>
  <c r="HH42" i="1"/>
  <c r="HH27" i="1"/>
  <c r="HG27" i="1"/>
  <c r="HK27" i="1"/>
  <c r="HM27" i="1"/>
  <c r="HG23" i="1"/>
  <c r="HK23" i="1"/>
  <c r="HH23" i="1"/>
  <c r="HM23" i="1"/>
  <c r="HH11" i="1"/>
  <c r="HG11" i="1"/>
  <c r="HK11" i="1"/>
  <c r="HM11" i="1"/>
  <c r="HG19" i="1"/>
  <c r="HM19" i="1"/>
  <c r="HH19" i="1"/>
  <c r="HK19" i="1"/>
  <c r="HG31" i="1"/>
  <c r="HH31" i="1"/>
  <c r="HK31" i="1"/>
  <c r="HM31" i="1"/>
  <c r="HG22" i="1"/>
  <c r="HM22" i="1"/>
  <c r="HH22" i="1"/>
  <c r="HG21" i="1"/>
  <c r="HH21" i="1"/>
  <c r="HM21" i="1"/>
  <c r="HK21" i="1"/>
  <c r="HG34" i="1"/>
  <c r="HH34" i="1"/>
  <c r="HM34" i="1"/>
  <c r="GR57" i="1"/>
  <c r="GY57" i="1"/>
  <c r="HM57" i="1"/>
  <c r="HK57" i="1"/>
  <c r="Z2" i="1"/>
  <c r="HG2" i="1"/>
  <c r="HH2" i="1"/>
  <c r="HM2" i="1"/>
  <c r="GR70" i="1"/>
  <c r="HG70" i="1"/>
  <c r="HH70" i="1"/>
  <c r="HM70" i="1"/>
  <c r="GY70" i="1"/>
  <c r="HH76" i="1"/>
  <c r="HG76" i="1"/>
  <c r="HM76" i="1"/>
  <c r="GR52" i="1"/>
  <c r="GY52" i="1"/>
  <c r="HK52" i="1"/>
  <c r="HM52" i="1"/>
  <c r="GY59" i="1"/>
  <c r="HG59" i="1"/>
  <c r="HH59" i="1"/>
  <c r="HM59" i="1"/>
  <c r="GR87" i="1"/>
  <c r="GY87" i="1"/>
  <c r="HK87" i="1"/>
  <c r="HM87" i="1"/>
  <c r="HG56" i="1"/>
  <c r="HH56" i="1"/>
  <c r="HM56" i="1"/>
  <c r="HG55" i="1"/>
  <c r="HH55" i="1"/>
  <c r="HM55" i="1"/>
  <c r="HG41" i="1"/>
  <c r="HH41" i="1"/>
  <c r="HM41" i="1"/>
  <c r="GR44" i="1"/>
  <c r="GY44" i="1"/>
  <c r="HM44" i="1"/>
  <c r="HK44" i="1"/>
  <c r="HG25" i="1"/>
  <c r="HH25" i="1"/>
  <c r="HM25" i="1"/>
  <c r="HG12" i="1"/>
  <c r="HM12" i="1"/>
  <c r="HH12" i="1"/>
  <c r="HG18" i="1"/>
  <c r="HH18" i="1"/>
  <c r="HM18" i="1"/>
  <c r="HM6" i="1"/>
  <c r="HK6" i="1"/>
  <c r="HM85" i="1"/>
  <c r="HM7" i="1"/>
  <c r="HK95" i="1"/>
  <c r="HM95" i="1"/>
  <c r="Z75" i="1"/>
  <c r="HG75" i="1"/>
  <c r="HH75" i="1"/>
  <c r="HM75" i="1"/>
  <c r="HH90" i="1"/>
  <c r="HG90" i="1"/>
  <c r="HM90" i="1"/>
  <c r="HK91" i="1"/>
  <c r="HM91" i="1"/>
  <c r="HH72" i="1"/>
  <c r="HG72" i="1"/>
  <c r="HM72" i="1"/>
  <c r="Z54" i="1"/>
  <c r="HG54" i="1"/>
  <c r="HH54" i="1"/>
  <c r="HM54" i="1"/>
  <c r="HG50" i="1"/>
  <c r="HH50" i="1"/>
  <c r="HM50" i="1"/>
  <c r="HM48" i="1"/>
  <c r="HK37" i="1"/>
  <c r="HG33" i="1"/>
  <c r="HH33" i="1"/>
  <c r="HM33" i="1"/>
  <c r="HM24" i="1"/>
  <c r="HK24" i="1"/>
  <c r="Z59" i="1"/>
  <c r="GR59" i="1"/>
  <c r="Z85" i="1"/>
  <c r="AF17" i="1"/>
  <c r="Z17" i="1"/>
  <c r="AF11" i="1"/>
  <c r="Z11" i="1"/>
  <c r="AF19" i="1"/>
  <c r="Z19" i="1"/>
  <c r="AF9" i="1"/>
  <c r="Z9" i="1"/>
  <c r="AF68" i="1"/>
  <c r="Z68" i="1"/>
  <c r="AF87" i="1"/>
  <c r="Z87" i="1"/>
  <c r="Z72" i="1"/>
  <c r="Z56" i="1"/>
  <c r="AF41" i="1"/>
  <c r="Z41" i="1"/>
  <c r="AF45" i="1"/>
  <c r="Z45" i="1"/>
  <c r="AF27" i="1"/>
  <c r="Z27" i="1"/>
  <c r="AF65" i="1"/>
  <c r="Z65" i="1"/>
  <c r="AF22" i="1"/>
  <c r="Z22" i="1"/>
  <c r="AF21" i="1"/>
  <c r="Z21" i="1"/>
  <c r="AF34" i="1"/>
  <c r="Z34" i="1"/>
  <c r="AF57" i="1"/>
  <c r="Z57" i="1"/>
  <c r="Z131" i="1"/>
  <c r="AF93" i="1"/>
  <c r="Z93" i="1"/>
  <c r="AF60" i="1"/>
  <c r="Z60" i="1"/>
  <c r="AF91" i="1"/>
  <c r="Z91" i="1"/>
  <c r="AF46" i="1"/>
  <c r="Z46" i="1"/>
  <c r="Z63" i="1"/>
  <c r="AF50" i="1"/>
  <c r="Z50" i="1"/>
  <c r="AF37" i="1"/>
  <c r="Z37" i="1"/>
  <c r="AF44" i="1"/>
  <c r="Z44" i="1"/>
  <c r="AF25" i="1"/>
  <c r="Z25" i="1"/>
  <c r="AF15" i="1"/>
  <c r="Z15" i="1"/>
  <c r="AF31" i="1"/>
  <c r="Z31" i="1"/>
  <c r="AF14" i="1"/>
  <c r="Z14" i="1"/>
  <c r="AF4" i="1"/>
  <c r="Z4" i="1"/>
  <c r="AF28" i="1"/>
  <c r="Z28" i="1"/>
  <c r="AF94" i="1"/>
  <c r="Z94" i="1"/>
  <c r="S90" i="1"/>
  <c r="Z90" i="1"/>
  <c r="Z55" i="1"/>
  <c r="AF23" i="1"/>
  <c r="Z23" i="1"/>
  <c r="AF30" i="1"/>
  <c r="Z30" i="1"/>
  <c r="AF20" i="1"/>
  <c r="Z20" i="1"/>
  <c r="AF12" i="1"/>
  <c r="Z12" i="1"/>
  <c r="AF18" i="1"/>
  <c r="Z18" i="1"/>
  <c r="AF8" i="1"/>
  <c r="Z8" i="1"/>
  <c r="AF6" i="1"/>
  <c r="Z6" i="1"/>
  <c r="AF7" i="1"/>
  <c r="Z7" i="1"/>
  <c r="Z70" i="1"/>
  <c r="AF67" i="1"/>
  <c r="Z67" i="1"/>
  <c r="Z74" i="1"/>
  <c r="AF49" i="1"/>
  <c r="Z49" i="1"/>
  <c r="AF89" i="1"/>
  <c r="Z89" i="1"/>
  <c r="AF66" i="1"/>
  <c r="Z66" i="1"/>
  <c r="AF39" i="1"/>
  <c r="Z39" i="1"/>
  <c r="AF43" i="1"/>
  <c r="Z43" i="1"/>
  <c r="AF38" i="1"/>
  <c r="Z38" i="1"/>
  <c r="AF33" i="1"/>
  <c r="Z33" i="1"/>
  <c r="AF24" i="1"/>
  <c r="Z24" i="1"/>
  <c r="AF29" i="1"/>
  <c r="Z29" i="1"/>
  <c r="AF13" i="1"/>
  <c r="Z13" i="1"/>
  <c r="AF10" i="1"/>
  <c r="Z10" i="1"/>
  <c r="AF3" i="1"/>
  <c r="Z3" i="1"/>
  <c r="AF5" i="1"/>
  <c r="Z5" i="1"/>
  <c r="AF16" i="1"/>
  <c r="Z16" i="1"/>
  <c r="AF95" i="1"/>
  <c r="Z95" i="1"/>
  <c r="Z76" i="1"/>
  <c r="AF52" i="1"/>
  <c r="Z52" i="1"/>
  <c r="AF86" i="1"/>
  <c r="Z86" i="1"/>
  <c r="AF88" i="1"/>
  <c r="Z88" i="1"/>
  <c r="AF64" i="1"/>
  <c r="E12" i="26" s="1"/>
  <c r="Z64" i="1"/>
  <c r="Z73" i="1"/>
  <c r="AF40" i="1"/>
  <c r="Z40" i="1"/>
  <c r="Z51" i="1"/>
  <c r="AF42" i="1"/>
  <c r="Z42" i="1"/>
  <c r="AF32" i="1"/>
  <c r="Z32" i="1"/>
  <c r="AF35" i="1"/>
  <c r="Z35" i="1"/>
  <c r="AF26" i="1"/>
  <c r="Z26" i="1"/>
  <c r="AF2" i="1"/>
  <c r="AR71" i="1"/>
  <c r="Q48" i="1"/>
  <c r="S48" i="1" s="1"/>
  <c r="R48" i="1"/>
  <c r="P48" i="1"/>
  <c r="Z48" i="1" s="1"/>
  <c r="Q47" i="1"/>
  <c r="P47" i="1"/>
  <c r="Z47" i="1" s="1"/>
  <c r="R47" i="1"/>
  <c r="W90" i="1"/>
  <c r="X90" i="1"/>
  <c r="AF62" i="1"/>
  <c r="GO70" i="1"/>
  <c r="GU69" i="1"/>
  <c r="GU134" i="1"/>
  <c r="GU53" i="1"/>
  <c r="AF53" i="1"/>
  <c r="GU36" i="1"/>
  <c r="AF36" i="1"/>
  <c r="GU77" i="1"/>
  <c r="GU32" i="1"/>
  <c r="X85" i="1"/>
  <c r="W85" i="1"/>
  <c r="S85" i="1"/>
  <c r="AV74" i="1"/>
  <c r="AU74" i="1"/>
  <c r="AU75" i="1"/>
  <c r="AT75" i="1"/>
  <c r="AS75" i="1"/>
  <c r="AR75" i="1"/>
  <c r="GU65" i="1"/>
  <c r="HH65" i="1"/>
  <c r="HG65" i="1"/>
  <c r="GU21" i="1"/>
  <c r="GU28" i="1"/>
  <c r="HH89" i="1"/>
  <c r="HG89" i="1"/>
  <c r="GU55" i="1"/>
  <c r="GU41" i="1"/>
  <c r="HG45" i="1"/>
  <c r="HH45" i="1"/>
  <c r="GU23" i="1"/>
  <c r="GU30" i="1"/>
  <c r="GU12" i="1"/>
  <c r="GU8" i="1"/>
  <c r="HH8" i="1"/>
  <c r="HG8" i="1"/>
  <c r="GU60" i="1"/>
  <c r="GU86" i="1"/>
  <c r="GU66" i="1"/>
  <c r="HG66" i="1"/>
  <c r="HH66" i="1"/>
  <c r="GU63" i="1"/>
  <c r="GU54" i="1"/>
  <c r="GU50" i="1"/>
  <c r="GU37" i="1"/>
  <c r="HH44" i="1"/>
  <c r="HG44" i="1"/>
  <c r="GU25" i="1"/>
  <c r="GU29" i="1"/>
  <c r="GU15" i="1"/>
  <c r="GU17" i="1"/>
  <c r="GU13" i="1"/>
  <c r="GU10" i="1"/>
  <c r="GU3" i="1"/>
  <c r="HG3" i="1"/>
  <c r="HH3" i="1"/>
  <c r="GU5" i="1"/>
  <c r="HG5" i="1"/>
  <c r="HH5" i="1"/>
  <c r="GU7" i="1"/>
  <c r="HG7" i="1"/>
  <c r="HH7" i="1"/>
  <c r="GU70" i="1"/>
  <c r="GU67" i="1"/>
  <c r="HG67" i="1"/>
  <c r="HH67" i="1"/>
  <c r="GU74" i="1"/>
  <c r="GU71" i="1"/>
  <c r="GU59" i="1"/>
  <c r="GU111" i="1"/>
  <c r="GU64" i="1"/>
  <c r="GU62" i="1"/>
  <c r="GU39" i="1"/>
  <c r="GU43" i="1"/>
  <c r="HH43" i="1"/>
  <c r="HG43" i="1"/>
  <c r="GU47" i="1"/>
  <c r="HG47" i="1"/>
  <c r="HH47" i="1"/>
  <c r="GU38" i="1"/>
  <c r="GU33" i="1"/>
  <c r="GU24" i="1"/>
  <c r="HH24" i="1"/>
  <c r="HG24" i="1"/>
  <c r="GU22" i="1"/>
  <c r="GU34" i="1"/>
  <c r="HH57" i="1"/>
  <c r="HG57" i="1"/>
  <c r="GU68" i="1"/>
  <c r="HH68" i="1"/>
  <c r="HG68" i="1"/>
  <c r="HH94" i="1"/>
  <c r="HG94" i="1"/>
  <c r="GU75" i="1"/>
  <c r="HG46" i="1"/>
  <c r="HH46" i="1"/>
  <c r="GU72" i="1"/>
  <c r="GU56" i="1"/>
  <c r="GU27" i="1"/>
  <c r="GU20" i="1"/>
  <c r="GU18" i="1"/>
  <c r="GU6" i="1"/>
  <c r="HG6" i="1"/>
  <c r="HH6" i="1"/>
  <c r="GU112" i="1"/>
  <c r="GU131" i="1"/>
  <c r="HG93" i="1"/>
  <c r="HH93" i="1"/>
  <c r="HH88" i="1"/>
  <c r="HG88" i="1"/>
  <c r="GU48" i="1"/>
  <c r="HG48" i="1"/>
  <c r="HH48" i="1"/>
  <c r="GU31" i="1"/>
  <c r="GU11" i="1"/>
  <c r="GU14" i="1"/>
  <c r="GU19" i="1"/>
  <c r="GU4" i="1"/>
  <c r="HH4" i="1"/>
  <c r="HG4" i="1"/>
  <c r="GU9" i="1"/>
  <c r="GU16" i="1"/>
  <c r="HG16" i="1"/>
  <c r="HH16" i="1"/>
  <c r="HH95" i="1"/>
  <c r="HG95" i="1"/>
  <c r="GU76" i="1"/>
  <c r="HH52" i="1"/>
  <c r="HG52" i="1"/>
  <c r="HH49" i="1"/>
  <c r="HG49" i="1"/>
  <c r="HG91" i="1"/>
  <c r="HH91" i="1"/>
  <c r="HG87" i="1"/>
  <c r="HH87" i="1"/>
  <c r="GU73" i="1"/>
  <c r="GU40" i="1"/>
  <c r="GU51" i="1"/>
  <c r="HH51" i="1"/>
  <c r="HG51" i="1"/>
  <c r="GU42" i="1"/>
  <c r="GU35" i="1"/>
  <c r="GU26" i="1"/>
  <c r="GU85" i="1"/>
  <c r="S132" i="1"/>
  <c r="GU132" i="1"/>
  <c r="X120" i="1"/>
  <c r="W120" i="1"/>
  <c r="S120" i="1"/>
  <c r="W119" i="1"/>
  <c r="X119" i="1"/>
  <c r="S119" i="1"/>
  <c r="S111" i="1"/>
  <c r="AT132" i="1"/>
  <c r="AS132" i="1"/>
  <c r="AV132" i="1"/>
  <c r="AR132" i="1"/>
  <c r="AU132" i="1"/>
  <c r="AT70" i="1"/>
  <c r="AV70" i="1"/>
  <c r="AU70" i="1"/>
  <c r="AS70" i="1"/>
  <c r="AV71" i="1"/>
  <c r="AU71" i="1"/>
  <c r="AT71" i="1"/>
  <c r="AS71" i="1"/>
  <c r="AV131" i="1"/>
  <c r="AU131" i="1"/>
  <c r="AT131" i="1"/>
  <c r="AS131" i="1"/>
  <c r="AR131" i="1"/>
  <c r="AT24" i="1"/>
  <c r="AS24" i="1"/>
  <c r="V70" i="1"/>
  <c r="V75" i="1"/>
  <c r="V74" i="1"/>
  <c r="V131" i="1"/>
  <c r="V71" i="1"/>
  <c r="U76" i="1"/>
  <c r="U70" i="1"/>
  <c r="U74" i="1"/>
  <c r="U131" i="1"/>
  <c r="U71" i="1"/>
  <c r="S47" i="1" l="1"/>
  <c r="C131" i="26"/>
  <c r="C126" i="26"/>
  <c r="C130" i="26"/>
  <c r="C123" i="26"/>
  <c r="C129" i="26"/>
  <c r="C122" i="26"/>
  <c r="C127" i="26"/>
  <c r="C128" i="26"/>
  <c r="C124" i="26"/>
  <c r="C125" i="26"/>
  <c r="C69" i="26"/>
  <c r="ES62" i="1" l="1"/>
  <c r="FW62" i="1"/>
  <c r="EQ4" i="1"/>
  <c r="ES4" i="1" s="1"/>
  <c r="EQ5" i="1"/>
  <c r="ES5" i="1" s="1"/>
  <c r="EQ28" i="1"/>
  <c r="ES28" i="1" s="1"/>
  <c r="EZ95" i="1"/>
  <c r="EZ94" i="1"/>
  <c r="EZ93" i="1"/>
  <c r="EQ8" i="1"/>
  <c r="ES8" i="1" s="1"/>
  <c r="EQ16" i="1"/>
  <c r="ES16" i="1" s="1"/>
  <c r="EZ91" i="1"/>
  <c r="EZ87" i="1"/>
  <c r="EQ34" i="1"/>
  <c r="ES34" i="1" s="1"/>
  <c r="EZ75" i="1"/>
  <c r="EZ132" i="1"/>
  <c r="EQ9" i="1"/>
  <c r="ES9" i="1" s="1"/>
  <c r="EQ69" i="1"/>
  <c r="EQ53" i="1"/>
  <c r="ES56" i="1"/>
  <c r="EQ55" i="1"/>
  <c r="ES55" i="1" s="1"/>
  <c r="EQ50" i="1"/>
  <c r="EZ50" i="1" s="1"/>
  <c r="FC50" i="1" s="1"/>
  <c r="EQ54" i="1"/>
  <c r="EQ10" i="1"/>
  <c r="ES10" i="1" s="1"/>
  <c r="EQ58" i="1"/>
  <c r="EQ61" i="1"/>
  <c r="EQ42" i="1"/>
  <c r="EQ43" i="1"/>
  <c r="EQ51" i="1"/>
  <c r="EQ41" i="1"/>
  <c r="EQ39" i="1"/>
  <c r="ES39" i="1" s="1"/>
  <c r="EQ48" i="1"/>
  <c r="EQ47" i="1"/>
  <c r="EQ40" i="1"/>
  <c r="EQ36" i="1"/>
  <c r="ES36" i="1" s="1"/>
  <c r="EQ37" i="1"/>
  <c r="ES37" i="1" s="1"/>
  <c r="EQ38" i="1"/>
  <c r="ES38" i="1" s="1"/>
  <c r="EQ33" i="1"/>
  <c r="ES33" i="1" s="1"/>
  <c r="EQ35" i="1"/>
  <c r="ES35" i="1" s="1"/>
  <c r="EQ27" i="1"/>
  <c r="ES27" i="1" s="1"/>
  <c r="EQ25" i="1"/>
  <c r="ES25" i="1" s="1"/>
  <c r="EQ32" i="1"/>
  <c r="ES32" i="1" s="1"/>
  <c r="EQ24" i="1"/>
  <c r="EQ26" i="1"/>
  <c r="ES26" i="1" s="1"/>
  <c r="EQ23" i="1"/>
  <c r="ES23" i="1" s="1"/>
  <c r="EQ20" i="1"/>
  <c r="ES20" i="1" s="1"/>
  <c r="EQ30" i="1"/>
  <c r="ES30" i="1" s="1"/>
  <c r="EQ29" i="1"/>
  <c r="ES29" i="1" s="1"/>
  <c r="EQ31" i="1"/>
  <c r="ES31" i="1" s="1"/>
  <c r="EQ15" i="1"/>
  <c r="ES15" i="1" s="1"/>
  <c r="EQ11" i="1"/>
  <c r="ES11" i="1" s="1"/>
  <c r="EQ22" i="1"/>
  <c r="ES22" i="1" s="1"/>
  <c r="EQ12" i="1"/>
  <c r="ES12" i="1" s="1"/>
  <c r="EQ17" i="1"/>
  <c r="ES17" i="1" s="1"/>
  <c r="EQ14" i="1"/>
  <c r="ES14" i="1" s="1"/>
  <c r="EQ21" i="1"/>
  <c r="ES21" i="1" s="1"/>
  <c r="EQ18" i="1"/>
  <c r="ES18" i="1" s="1"/>
  <c r="EQ13" i="1"/>
  <c r="ES13" i="1" s="1"/>
  <c r="EQ19" i="1"/>
  <c r="ES19" i="1" s="1"/>
  <c r="EQ7" i="1"/>
  <c r="ES7" i="1" s="1"/>
  <c r="EQ6" i="1"/>
  <c r="ES6" i="1" s="1"/>
  <c r="EQ3" i="1"/>
  <c r="ES3" i="1" s="1"/>
  <c r="ER69" i="1" l="1"/>
  <c r="EZ69" i="1"/>
  <c r="EZ54" i="1"/>
  <c r="FC54" i="1" s="1"/>
  <c r="EZ53" i="1"/>
  <c r="FC53" i="1" s="1"/>
  <c r="ES53" i="1"/>
  <c r="DR85" i="1"/>
  <c r="EZ85" i="1"/>
  <c r="ES61" i="1"/>
  <c r="EZ61" i="1"/>
  <c r="FC61" i="1" s="1"/>
  <c r="FW85" i="1"/>
  <c r="ES40" i="1"/>
  <c r="EZ40" i="1"/>
  <c r="FC40" i="1" s="1"/>
  <c r="ES41" i="1"/>
  <c r="EZ41" i="1"/>
  <c r="FC41" i="1" s="1"/>
  <c r="ES42" i="1"/>
  <c r="EZ42" i="1"/>
  <c r="FC42" i="1" s="1"/>
  <c r="ES47" i="1"/>
  <c r="EZ47" i="1"/>
  <c r="FC47" i="1" s="1"/>
  <c r="ES48" i="1"/>
  <c r="EZ48" i="1"/>
  <c r="FC48" i="1" s="1"/>
  <c r="ES43" i="1"/>
  <c r="EZ43" i="1"/>
  <c r="ES24" i="1"/>
  <c r="EZ73" i="1"/>
  <c r="EZ77" i="1"/>
  <c r="FC71" i="1"/>
  <c r="EZ66" i="1"/>
  <c r="EZ88" i="1"/>
  <c r="EZ134" i="1"/>
  <c r="EZ74" i="1"/>
  <c r="EZ68" i="1"/>
  <c r="FA68" i="1" s="1"/>
  <c r="EZ89" i="1"/>
  <c r="EZ51" i="1"/>
  <c r="FC51" i="1" s="1"/>
  <c r="EZ58" i="1"/>
  <c r="FC58" i="1" s="1"/>
  <c r="EZ55" i="1"/>
  <c r="FC55" i="1" s="1"/>
  <c r="ET70" i="1"/>
  <c r="HU70" i="1" s="1"/>
  <c r="HV70" i="1" s="1"/>
  <c r="EZ39" i="1"/>
  <c r="EZ19" i="1"/>
  <c r="FC19" i="1" s="1"/>
  <c r="EZ30" i="1"/>
  <c r="FC30" i="1" s="1"/>
  <c r="EZ3" i="1"/>
  <c r="EZ17" i="1"/>
  <c r="FC17" i="1" s="1"/>
  <c r="EZ15" i="1"/>
  <c r="FC15" i="1" s="1"/>
  <c r="EZ20" i="1"/>
  <c r="FC20" i="1" s="1"/>
  <c r="EZ32" i="1"/>
  <c r="FC32" i="1" s="1"/>
  <c r="B73" i="26" s="1" a="1"/>
  <c r="B73" i="26" s="1"/>
  <c r="EZ33" i="1"/>
  <c r="FC33" i="1" s="1"/>
  <c r="EZ14" i="1"/>
  <c r="FC14" i="1" s="1"/>
  <c r="EZ24" i="1"/>
  <c r="FC24" i="1" s="1"/>
  <c r="EZ10" i="1"/>
  <c r="EZ5" i="1"/>
  <c r="EZ13" i="1"/>
  <c r="FC13" i="1" s="1"/>
  <c r="EZ6" i="1"/>
  <c r="EZ18" i="1"/>
  <c r="FC18" i="1" s="1"/>
  <c r="EZ12" i="1"/>
  <c r="FC12" i="1" s="1"/>
  <c r="EZ31" i="1"/>
  <c r="FC31" i="1" s="1"/>
  <c r="EZ23" i="1"/>
  <c r="FC23" i="1" s="1"/>
  <c r="EZ25" i="1"/>
  <c r="FC25" i="1" s="1"/>
  <c r="EZ38" i="1"/>
  <c r="FC38" i="1" s="1"/>
  <c r="EZ9" i="1"/>
  <c r="EZ16" i="1"/>
  <c r="FC16" i="1" s="1"/>
  <c r="EZ4" i="1"/>
  <c r="EZ11" i="1"/>
  <c r="FC11" i="1" s="1"/>
  <c r="EZ35" i="1"/>
  <c r="FC35" i="1" s="1"/>
  <c r="EZ36" i="1"/>
  <c r="FC36" i="1" s="1"/>
  <c r="EZ34" i="1"/>
  <c r="FC34" i="1" s="1"/>
  <c r="EZ7" i="1"/>
  <c r="EZ21" i="1"/>
  <c r="FC21" i="1" s="1"/>
  <c r="EZ22" i="1"/>
  <c r="FC22" i="1" s="1"/>
  <c r="EZ29" i="1"/>
  <c r="FC29" i="1" s="1"/>
  <c r="EZ26" i="1"/>
  <c r="EZ27" i="1"/>
  <c r="FC27" i="1" s="1"/>
  <c r="EZ37" i="1"/>
  <c r="FC37" i="1" s="1"/>
  <c r="EZ8" i="1"/>
  <c r="EZ28" i="1"/>
  <c r="FC28" i="1" s="1"/>
  <c r="ET73" i="1"/>
  <c r="ET75" i="1"/>
  <c r="ET74" i="1"/>
  <c r="ER77" i="1"/>
  <c r="C74" i="26"/>
  <c r="C70" i="26"/>
  <c r="C71" i="26"/>
  <c r="C72" i="26"/>
  <c r="N170" i="26"/>
  <c r="N171" i="26" s="1"/>
  <c r="B71" i="26" l="1" a="1"/>
  <c r="B71" i="26" s="1"/>
  <c r="ET77" i="1"/>
  <c r="FA77" i="1"/>
  <c r="ET69" i="1"/>
  <c r="FA69" i="1"/>
  <c r="BV69" i="1" s="1"/>
  <c r="BW69" i="1" s="1"/>
  <c r="BX69" i="1" s="1"/>
  <c r="FC73" i="1"/>
  <c r="BV85" i="1"/>
  <c r="BW85" i="1" s="1"/>
  <c r="BX85" i="1" s="1"/>
  <c r="BU85" i="1"/>
  <c r="FA66" i="1"/>
  <c r="FC66" i="1" s="1"/>
  <c r="ES69" i="1"/>
  <c r="BV74" i="1"/>
  <c r="BW74" i="1" s="1"/>
  <c r="BX74" i="1" s="1"/>
  <c r="ES74" i="1"/>
  <c r="ES73" i="1"/>
  <c r="ES70" i="1"/>
  <c r="BV70" i="1"/>
  <c r="BW70" i="1" s="1"/>
  <c r="BX70" i="1" s="1"/>
  <c r="DR75" i="1"/>
  <c r="BV75" i="1"/>
  <c r="BW75" i="1" s="1"/>
  <c r="BX75" i="1" s="1"/>
  <c r="ES75" i="1"/>
  <c r="ES77" i="1"/>
  <c r="BV71" i="1"/>
  <c r="BW71" i="1" s="1"/>
  <c r="BX71" i="1" s="1"/>
  <c r="ES71" i="1"/>
  <c r="EX86" i="1"/>
  <c r="BV86" i="1" s="1"/>
  <c r="BW86" i="1" s="1"/>
  <c r="BX86" i="1" s="1"/>
  <c r="BV76" i="1"/>
  <c r="BW76" i="1" s="1"/>
  <c r="BX76" i="1" s="1"/>
  <c r="ES76" i="1"/>
  <c r="ES63" i="1"/>
  <c r="EX134" i="1"/>
  <c r="ES134" i="1"/>
  <c r="FC85" i="1"/>
  <c r="FC132" i="1"/>
  <c r="FC26" i="1"/>
  <c r="FE26" i="1" s="1"/>
  <c r="FC7" i="1"/>
  <c r="FE7" i="1" s="1"/>
  <c r="FC6" i="1"/>
  <c r="FE6" i="1" s="1"/>
  <c r="FC5" i="1"/>
  <c r="FE5" i="1" s="1"/>
  <c r="FC39" i="1"/>
  <c r="FC8" i="1"/>
  <c r="FE8" i="1" s="1"/>
  <c r="FC4" i="1"/>
  <c r="FE4" i="1" s="1"/>
  <c r="FC10" i="1"/>
  <c r="FE10" i="1" s="1"/>
  <c r="FC3" i="1"/>
  <c r="FC9" i="1"/>
  <c r="B69" i="26" s="1" a="1"/>
  <c r="B69" i="26" s="1"/>
  <c r="FE48" i="1"/>
  <c r="FE47" i="1"/>
  <c r="FE41" i="1"/>
  <c r="FE51" i="1"/>
  <c r="FE59" i="1"/>
  <c r="FE42" i="1"/>
  <c r="FC43" i="1"/>
  <c r="B74" i="26" s="1" a="1"/>
  <c r="B74" i="26" s="1"/>
  <c r="FE61" i="1"/>
  <c r="FE55" i="1"/>
  <c r="FE56" i="1"/>
  <c r="DR77" i="1"/>
  <c r="DR36" i="1"/>
  <c r="B70" i="26" l="1" a="1"/>
  <c r="B70" i="26" s="1"/>
  <c r="FE85" i="1"/>
  <c r="B78" i="26" a="1"/>
  <c r="B78" i="26" s="1"/>
  <c r="FE39" i="1"/>
  <c r="B72" i="26" a="1"/>
  <c r="B72" i="26" s="1"/>
  <c r="FC69" i="1"/>
  <c r="FE69" i="1" s="1"/>
  <c r="BU69" i="1"/>
  <c r="BU76" i="1"/>
  <c r="BU75" i="1"/>
  <c r="BU86" i="1"/>
  <c r="FC70" i="1"/>
  <c r="BU70" i="1"/>
  <c r="BU71" i="1"/>
  <c r="BU74" i="1"/>
  <c r="FC76" i="1"/>
  <c r="FE76" i="1" s="1"/>
  <c r="FC75" i="1"/>
  <c r="FE75" i="1" s="1"/>
  <c r="FA134" i="1"/>
  <c r="BV134" i="1" s="1"/>
  <c r="BW134" i="1" s="1"/>
  <c r="BX134" i="1" s="1"/>
  <c r="FE64" i="1"/>
  <c r="FE71" i="1"/>
  <c r="BV73" i="1"/>
  <c r="BW73" i="1" s="1"/>
  <c r="BX73" i="1" s="1"/>
  <c r="BV77" i="1"/>
  <c r="BW77" i="1" s="1"/>
  <c r="BX77" i="1" s="1"/>
  <c r="FC74" i="1"/>
  <c r="FE74" i="1" s="1"/>
  <c r="FE9" i="1"/>
  <c r="FC86" i="1"/>
  <c r="FE86" i="1" s="1"/>
  <c r="FE132" i="1"/>
  <c r="FE3" i="1"/>
  <c r="FE43" i="1"/>
  <c r="FC77" i="1" l="1"/>
  <c r="FE77" i="1" s="1"/>
  <c r="BU77" i="1"/>
  <c r="FC134" i="1"/>
  <c r="FE134" i="1" s="1"/>
  <c r="BU134" i="1"/>
  <c r="FE73" i="1"/>
  <c r="BU73" i="1"/>
  <c r="FE63" i="1"/>
  <c r="FE70" i="1"/>
  <c r="B75" i="26" l="1" a="1"/>
  <c r="B75" i="26" s="1"/>
  <c r="CT13" i="1"/>
  <c r="EL60" i="1"/>
  <c r="DJ68" i="1"/>
  <c r="DK68" i="1" s="1"/>
  <c r="DJ67" i="1"/>
  <c r="DK67" i="1" s="1"/>
  <c r="DJ66" i="1"/>
  <c r="DK66" i="1" s="1"/>
  <c r="DJ65" i="1"/>
  <c r="DK65" i="1" s="1"/>
  <c r="DE68" i="1"/>
  <c r="DF68" i="1" s="1"/>
  <c r="DE67" i="1"/>
  <c r="DF67" i="1" s="1"/>
  <c r="DE66" i="1"/>
  <c r="DF66" i="1" s="1"/>
  <c r="DE65" i="1"/>
  <c r="DF65" i="1" s="1"/>
  <c r="DB68" i="1"/>
  <c r="DC68" i="1" s="1"/>
  <c r="DB67" i="1"/>
  <c r="DC67" i="1" s="1"/>
  <c r="DB66" i="1"/>
  <c r="DC66" i="1" s="1"/>
  <c r="DB65" i="1"/>
  <c r="DC65" i="1" s="1"/>
  <c r="CY68" i="1"/>
  <c r="CZ68" i="1" s="1"/>
  <c r="CY67" i="1"/>
  <c r="CZ67" i="1" s="1"/>
  <c r="CY66" i="1"/>
  <c r="CZ66" i="1" s="1"/>
  <c r="CY65" i="1"/>
  <c r="CZ65" i="1" s="1"/>
  <c r="CV68" i="1"/>
  <c r="CW68" i="1" s="1"/>
  <c r="CV67" i="1"/>
  <c r="CW67" i="1" s="1"/>
  <c r="CV66" i="1"/>
  <c r="CW66" i="1" s="1"/>
  <c r="CV65" i="1"/>
  <c r="CW65" i="1" s="1"/>
  <c r="EL62" i="1"/>
  <c r="EL59" i="1"/>
  <c r="EL52" i="1"/>
  <c r="EL49" i="1"/>
  <c r="EL46" i="1"/>
  <c r="EL45" i="1"/>
  <c r="EL57" i="1"/>
  <c r="DW86" i="1"/>
  <c r="EU86" i="1" s="1"/>
  <c r="DW52" i="1"/>
  <c r="EU52" i="1" s="1"/>
  <c r="DJ86" i="1"/>
  <c r="DK86" i="1" s="1"/>
  <c r="DJ52" i="1"/>
  <c r="DJ49" i="1"/>
  <c r="DJ46" i="1"/>
  <c r="DJ45" i="1"/>
  <c r="DJ44" i="1"/>
  <c r="DJ57" i="1"/>
  <c r="DE86" i="1"/>
  <c r="DF86" i="1" s="1"/>
  <c r="DE49" i="1"/>
  <c r="DF49" i="1" s="1"/>
  <c r="DE46" i="1"/>
  <c r="DF46" i="1" s="1"/>
  <c r="DE44" i="1"/>
  <c r="DF44" i="1" s="1"/>
  <c r="DE57" i="1"/>
  <c r="DF57" i="1" s="1"/>
  <c r="DB49" i="1"/>
  <c r="DC49" i="1" s="1"/>
  <c r="DB46" i="1"/>
  <c r="DC46" i="1" s="1"/>
  <c r="DB44" i="1"/>
  <c r="DC44" i="1" s="1"/>
  <c r="DB57" i="1"/>
  <c r="DC57" i="1" s="1"/>
  <c r="CT46" i="1"/>
  <c r="CT64" i="1"/>
  <c r="CT45" i="1"/>
  <c r="CT44" i="1"/>
  <c r="DW69" i="1"/>
  <c r="EU69" i="1" s="1"/>
  <c r="DW73" i="1"/>
  <c r="EU73" i="1" s="1"/>
  <c r="DW134" i="1"/>
  <c r="EU134" i="1" s="1"/>
  <c r="DW77" i="1"/>
  <c r="EU77" i="1" s="1"/>
  <c r="EC40" i="1"/>
  <c r="EM61" i="1" l="1"/>
  <c r="EM51" i="1"/>
  <c r="EM43" i="1"/>
  <c r="EL47" i="1"/>
  <c r="EM47" i="1" s="1"/>
  <c r="EJ61" i="1"/>
  <c r="EJ51" i="1"/>
  <c r="EJ43" i="1"/>
  <c r="EJ47" i="1"/>
  <c r="EG61" i="1"/>
  <c r="EG51" i="1"/>
  <c r="EG43" i="1"/>
  <c r="EG47" i="1"/>
  <c r="ED61" i="1"/>
  <c r="ED51" i="1"/>
  <c r="ED43" i="1"/>
  <c r="ED41" i="1"/>
  <c r="ED50" i="1"/>
  <c r="ED55" i="1"/>
  <c r="ED47" i="1"/>
  <c r="EA51" i="1"/>
  <c r="EA50" i="1"/>
  <c r="EA12" i="1"/>
  <c r="DZ10" i="1"/>
  <c r="EA10" i="1" s="1"/>
  <c r="EA22" i="1"/>
  <c r="EA26" i="1"/>
  <c r="EA58" i="1"/>
  <c r="EA17" i="1"/>
  <c r="DZ21" i="1"/>
  <c r="EA21" i="1" s="1"/>
  <c r="DZ55" i="1"/>
  <c r="EA55" i="1" s="1"/>
  <c r="EA47" i="1"/>
  <c r="DX47" i="1"/>
  <c r="DX51" i="1"/>
  <c r="DX50" i="1"/>
  <c r="DX55" i="1"/>
  <c r="DU50" i="1"/>
  <c r="DU55" i="1"/>
  <c r="DU47" i="1"/>
  <c r="EM37" i="1"/>
  <c r="EM36" i="1"/>
  <c r="EM39" i="1"/>
  <c r="EM3" i="1"/>
  <c r="EM32" i="1"/>
  <c r="EM5" i="1"/>
  <c r="EM4" i="1"/>
  <c r="EM6" i="1"/>
  <c r="EM86" i="1"/>
  <c r="EM60" i="1"/>
  <c r="EM59" i="1"/>
  <c r="EM62" i="1"/>
  <c r="EM28" i="1"/>
  <c r="EM27" i="1"/>
  <c r="EM29" i="1"/>
  <c r="EM11" i="1"/>
  <c r="EM69" i="1"/>
  <c r="EM8" i="1"/>
  <c r="EM7" i="1"/>
  <c r="EM16" i="1"/>
  <c r="EM15" i="1"/>
  <c r="EM68" i="1"/>
  <c r="EM25" i="1"/>
  <c r="EM131" i="1"/>
  <c r="EM73" i="1"/>
  <c r="EM21" i="1"/>
  <c r="EM70" i="1"/>
  <c r="EM17" i="1"/>
  <c r="EM58" i="1"/>
  <c r="EM26" i="1"/>
  <c r="EM54" i="1"/>
  <c r="EM63" i="1"/>
  <c r="EM22" i="1"/>
  <c r="EM10" i="1"/>
  <c r="EM12" i="1"/>
  <c r="EM67" i="1"/>
  <c r="EM53" i="1"/>
  <c r="EM9" i="1"/>
  <c r="EM20" i="1"/>
  <c r="EM35" i="1"/>
  <c r="EM31" i="1"/>
  <c r="EM76" i="1"/>
  <c r="EM50" i="1"/>
  <c r="EM52" i="1"/>
  <c r="EM134" i="1"/>
  <c r="EM14" i="1"/>
  <c r="EM42" i="1"/>
  <c r="EM30" i="1"/>
  <c r="EM40" i="1"/>
  <c r="EM19" i="1"/>
  <c r="EM2" i="1"/>
  <c r="EM72" i="1"/>
  <c r="EM71" i="1"/>
  <c r="EM23" i="1"/>
  <c r="EM49" i="1"/>
  <c r="EM55" i="1"/>
  <c r="EM46" i="1"/>
  <c r="EM132" i="1"/>
  <c r="EM66" i="1"/>
  <c r="EM64" i="1"/>
  <c r="EM45" i="1"/>
  <c r="EM77" i="1"/>
  <c r="EM18" i="1"/>
  <c r="EM44" i="1"/>
  <c r="EM65" i="1"/>
  <c r="EM34" i="1"/>
  <c r="EM33" i="1"/>
  <c r="EM13" i="1"/>
  <c r="EM48" i="1"/>
  <c r="EM57" i="1"/>
  <c r="EJ37" i="1"/>
  <c r="EJ36" i="1"/>
  <c r="EJ39" i="1"/>
  <c r="EJ3" i="1"/>
  <c r="EJ32" i="1"/>
  <c r="EJ5" i="1"/>
  <c r="EJ4" i="1"/>
  <c r="EJ6" i="1"/>
  <c r="EJ28" i="1"/>
  <c r="EJ27" i="1"/>
  <c r="EJ29" i="1"/>
  <c r="EJ11" i="1"/>
  <c r="EJ8" i="1"/>
  <c r="EJ7" i="1"/>
  <c r="EJ16" i="1"/>
  <c r="EJ15" i="1"/>
  <c r="EJ25" i="1"/>
  <c r="EJ21" i="1"/>
  <c r="EJ17" i="1"/>
  <c r="EJ58" i="1"/>
  <c r="EJ26" i="1"/>
  <c r="EJ22" i="1"/>
  <c r="EJ10" i="1"/>
  <c r="EJ12" i="1"/>
  <c r="EJ53" i="1"/>
  <c r="EJ9" i="1"/>
  <c r="EJ20" i="1"/>
  <c r="EJ35" i="1"/>
  <c r="EJ31" i="1"/>
  <c r="EJ50" i="1"/>
  <c r="EJ14" i="1"/>
  <c r="EJ42" i="1"/>
  <c r="EJ30" i="1"/>
  <c r="EJ40" i="1"/>
  <c r="EJ19" i="1"/>
  <c r="EJ2" i="1"/>
  <c r="EJ23" i="1"/>
  <c r="EJ55" i="1"/>
  <c r="EJ18" i="1"/>
  <c r="EJ34" i="1"/>
  <c r="EJ33" i="1"/>
  <c r="EJ13" i="1"/>
  <c r="EJ48" i="1"/>
  <c r="EG37" i="1"/>
  <c r="EG36" i="1"/>
  <c r="EG39" i="1"/>
  <c r="EG3" i="1"/>
  <c r="EG32" i="1"/>
  <c r="EG5" i="1"/>
  <c r="EG4" i="1"/>
  <c r="EG6" i="1"/>
  <c r="EG28" i="1"/>
  <c r="EG27" i="1"/>
  <c r="EG29" i="1"/>
  <c r="EG11" i="1"/>
  <c r="EG8" i="1"/>
  <c r="EG7" i="1"/>
  <c r="EG16" i="1"/>
  <c r="EG15" i="1"/>
  <c r="EG25" i="1"/>
  <c r="EG21" i="1"/>
  <c r="EG17" i="1"/>
  <c r="EG58" i="1"/>
  <c r="EG26" i="1"/>
  <c r="EG54" i="1"/>
  <c r="EG22" i="1"/>
  <c r="EG10" i="1"/>
  <c r="EG12" i="1"/>
  <c r="EG53" i="1"/>
  <c r="EG9" i="1"/>
  <c r="EG20" i="1"/>
  <c r="EG35" i="1"/>
  <c r="EG31" i="1"/>
  <c r="EG50" i="1"/>
  <c r="EG14" i="1"/>
  <c r="EG42" i="1"/>
  <c r="EG30" i="1"/>
  <c r="EG40" i="1"/>
  <c r="EG19" i="1"/>
  <c r="EG2" i="1"/>
  <c r="EG23" i="1"/>
  <c r="EG55" i="1"/>
  <c r="EG18" i="1"/>
  <c r="EG34" i="1"/>
  <c r="EG33" i="1"/>
  <c r="EG13" i="1"/>
  <c r="EG48" i="1"/>
  <c r="ED37" i="1"/>
  <c r="ED36" i="1"/>
  <c r="ED39" i="1"/>
  <c r="ED3" i="1"/>
  <c r="ED32" i="1"/>
  <c r="ED5" i="1"/>
  <c r="ED4" i="1"/>
  <c r="ED6" i="1"/>
  <c r="ED28" i="1"/>
  <c r="ED27" i="1"/>
  <c r="ED29" i="1"/>
  <c r="ED11" i="1"/>
  <c r="ED8" i="1"/>
  <c r="ED7" i="1"/>
  <c r="ED16" i="1"/>
  <c r="ED15" i="1"/>
  <c r="ED25" i="1"/>
  <c r="ED21" i="1"/>
  <c r="ED17" i="1"/>
  <c r="ED58" i="1"/>
  <c r="ED26" i="1"/>
  <c r="ED54" i="1"/>
  <c r="ED22" i="1"/>
  <c r="ED10" i="1"/>
  <c r="ED12" i="1"/>
  <c r="ED53" i="1"/>
  <c r="ED9" i="1"/>
  <c r="ED20" i="1"/>
  <c r="ED35" i="1"/>
  <c r="ED31" i="1"/>
  <c r="ED14" i="1"/>
  <c r="ED42" i="1"/>
  <c r="ED30" i="1"/>
  <c r="ED40" i="1"/>
  <c r="ED19" i="1"/>
  <c r="ED2" i="1"/>
  <c r="ED23" i="1"/>
  <c r="ED18" i="1"/>
  <c r="ED34" i="1"/>
  <c r="ED33" i="1"/>
  <c r="ED13" i="1"/>
  <c r="ED48" i="1"/>
  <c r="EA37" i="1"/>
  <c r="EA36" i="1"/>
  <c r="EA39" i="1"/>
  <c r="EA3" i="1"/>
  <c r="EA61" i="1"/>
  <c r="EA32" i="1"/>
  <c r="EA5" i="1"/>
  <c r="EA4" i="1"/>
  <c r="EA6" i="1"/>
  <c r="EA28" i="1"/>
  <c r="EA27" i="1"/>
  <c r="EA29" i="1"/>
  <c r="EA11" i="1"/>
  <c r="EA8" i="1"/>
  <c r="EA7" i="1"/>
  <c r="EA16" i="1"/>
  <c r="EA15" i="1"/>
  <c r="EA43" i="1"/>
  <c r="EA41" i="1"/>
  <c r="EA53" i="1"/>
  <c r="EA9" i="1"/>
  <c r="EA20" i="1"/>
  <c r="EA35" i="1"/>
  <c r="EA31" i="1"/>
  <c r="EA14" i="1"/>
  <c r="EA42" i="1"/>
  <c r="EA30" i="1"/>
  <c r="EA40" i="1"/>
  <c r="EA19" i="1"/>
  <c r="EA2" i="1"/>
  <c r="EA23" i="1"/>
  <c r="EA18" i="1"/>
  <c r="EA34" i="1"/>
  <c r="EA33" i="1"/>
  <c r="EA13" i="1"/>
  <c r="EA48" i="1"/>
  <c r="EM38" i="1"/>
  <c r="EJ38" i="1"/>
  <c r="EG38" i="1"/>
  <c r="ED38" i="1"/>
  <c r="EA38" i="1"/>
  <c r="DX48" i="1"/>
  <c r="DX13" i="1"/>
  <c r="DX33" i="1"/>
  <c r="DX34" i="1"/>
  <c r="DX18" i="1"/>
  <c r="DX77" i="1"/>
  <c r="DX56" i="1"/>
  <c r="DX23" i="1"/>
  <c r="DX2" i="1"/>
  <c r="DX19" i="1"/>
  <c r="DX40" i="1"/>
  <c r="DX30" i="1"/>
  <c r="DX42" i="1"/>
  <c r="DX14" i="1"/>
  <c r="DX134" i="1"/>
  <c r="DX52" i="1"/>
  <c r="DX31" i="1"/>
  <c r="DX35" i="1"/>
  <c r="DX20" i="1"/>
  <c r="DX9" i="1"/>
  <c r="DX53" i="1"/>
  <c r="DX41" i="1"/>
  <c r="DX12" i="1"/>
  <c r="DX10" i="1"/>
  <c r="DX22" i="1"/>
  <c r="DX54" i="1"/>
  <c r="DX26" i="1"/>
  <c r="DX58" i="1"/>
  <c r="DX17" i="1"/>
  <c r="DX21" i="1"/>
  <c r="DX73" i="1"/>
  <c r="DX25" i="1"/>
  <c r="DX43" i="1"/>
  <c r="DX15" i="1"/>
  <c r="DX16" i="1"/>
  <c r="DX7" i="1"/>
  <c r="DX8" i="1"/>
  <c r="DX69" i="1"/>
  <c r="DX11" i="1"/>
  <c r="DX29" i="1"/>
  <c r="DX27" i="1"/>
  <c r="DX28" i="1"/>
  <c r="DX62" i="1"/>
  <c r="DX59" i="1"/>
  <c r="DX86" i="1"/>
  <c r="DX6" i="1"/>
  <c r="DX4" i="1"/>
  <c r="DX5" i="1"/>
  <c r="DX32" i="1"/>
  <c r="DX61" i="1"/>
  <c r="DX3" i="1"/>
  <c r="DX39" i="1"/>
  <c r="DX36" i="1"/>
  <c r="DX37" i="1"/>
  <c r="DX38" i="1"/>
  <c r="DK57" i="1"/>
  <c r="DK13" i="1"/>
  <c r="DK33" i="1"/>
  <c r="DK34" i="1"/>
  <c r="DK44" i="1"/>
  <c r="DK18" i="1"/>
  <c r="DK45" i="1"/>
  <c r="DK64" i="1"/>
  <c r="DK46" i="1"/>
  <c r="DK49" i="1"/>
  <c r="DK23" i="1"/>
  <c r="DK2" i="1"/>
  <c r="DK19" i="1"/>
  <c r="DK40" i="1"/>
  <c r="DK30" i="1"/>
  <c r="DK14" i="1"/>
  <c r="DK52" i="1"/>
  <c r="DK31" i="1"/>
  <c r="DK35" i="1"/>
  <c r="DK20" i="1"/>
  <c r="DK9" i="1"/>
  <c r="DK53" i="1"/>
  <c r="DK12" i="1"/>
  <c r="DK10" i="1"/>
  <c r="DK22" i="1"/>
  <c r="DK26" i="1"/>
  <c r="DK17" i="1"/>
  <c r="DK21" i="1"/>
  <c r="DK25" i="1"/>
  <c r="DK15" i="1"/>
  <c r="DK16" i="1"/>
  <c r="DK7" i="1"/>
  <c r="DK8" i="1"/>
  <c r="DK11" i="1"/>
  <c r="DK29" i="1"/>
  <c r="DK27" i="1"/>
  <c r="DK28" i="1"/>
  <c r="DK62" i="1"/>
  <c r="DK6" i="1"/>
  <c r="DK4" i="1"/>
  <c r="DK5" i="1"/>
  <c r="DK32" i="1"/>
  <c r="DK3" i="1"/>
  <c r="DK39" i="1"/>
  <c r="DK37" i="1"/>
  <c r="DF13" i="1"/>
  <c r="DF33" i="1"/>
  <c r="DF34" i="1"/>
  <c r="DF18" i="1"/>
  <c r="DF23" i="1"/>
  <c r="DF2" i="1"/>
  <c r="DF19" i="1"/>
  <c r="DF30" i="1"/>
  <c r="DF14" i="1"/>
  <c r="DF31" i="1"/>
  <c r="DF20" i="1"/>
  <c r="DF9" i="1"/>
  <c r="DF12" i="1"/>
  <c r="DF10" i="1"/>
  <c r="DF22" i="1"/>
  <c r="DF26" i="1"/>
  <c r="DF17" i="1"/>
  <c r="DF21" i="1"/>
  <c r="DF25" i="1"/>
  <c r="DF15" i="1"/>
  <c r="DF16" i="1"/>
  <c r="DF7" i="1"/>
  <c r="DF8" i="1"/>
  <c r="DF11" i="1"/>
  <c r="DF29" i="1"/>
  <c r="DF27" i="1"/>
  <c r="DF28" i="1"/>
  <c r="DF6" i="1"/>
  <c r="DF4" i="1"/>
  <c r="DF5" i="1"/>
  <c r="DF32" i="1"/>
  <c r="DF3" i="1"/>
  <c r="DC13" i="1"/>
  <c r="DC33" i="1"/>
  <c r="DC34" i="1"/>
  <c r="DC18" i="1"/>
  <c r="DC23" i="1"/>
  <c r="DC2" i="1"/>
  <c r="DC19" i="1"/>
  <c r="DC30" i="1"/>
  <c r="DC14" i="1"/>
  <c r="DC31" i="1"/>
  <c r="DC35" i="1"/>
  <c r="DC20" i="1"/>
  <c r="DC9" i="1"/>
  <c r="DC12" i="1"/>
  <c r="DC10" i="1"/>
  <c r="DC22" i="1"/>
  <c r="DC26" i="1"/>
  <c r="DC17" i="1"/>
  <c r="DC21" i="1"/>
  <c r="DC25" i="1"/>
  <c r="DC15" i="1"/>
  <c r="DC16" i="1"/>
  <c r="DC7" i="1"/>
  <c r="DC8" i="1"/>
  <c r="DC11" i="1"/>
  <c r="DC29" i="1"/>
  <c r="DC27" i="1"/>
  <c r="DC28" i="1"/>
  <c r="DC6" i="1"/>
  <c r="DC4" i="1"/>
  <c r="DC5" i="1"/>
  <c r="DC32" i="1"/>
  <c r="DC3" i="1"/>
  <c r="CZ13" i="1"/>
  <c r="CZ18" i="1"/>
  <c r="CZ23" i="1"/>
  <c r="CZ2" i="1"/>
  <c r="CZ19" i="1"/>
  <c r="CZ14" i="1"/>
  <c r="CZ20" i="1"/>
  <c r="CZ9" i="1"/>
  <c r="CZ12" i="1"/>
  <c r="CZ10" i="1"/>
  <c r="CZ22" i="1"/>
  <c r="CZ26" i="1"/>
  <c r="CZ17" i="1"/>
  <c r="CZ21" i="1"/>
  <c r="CZ25" i="1"/>
  <c r="CZ15" i="1"/>
  <c r="CZ16" i="1"/>
  <c r="CZ7" i="1"/>
  <c r="CZ8" i="1"/>
  <c r="CZ11" i="1"/>
  <c r="CZ27" i="1"/>
  <c r="CZ6" i="1"/>
  <c r="CZ4" i="1"/>
  <c r="CZ5" i="1"/>
  <c r="CZ3" i="1"/>
  <c r="CW13" i="1"/>
  <c r="CW33" i="1"/>
  <c r="CW34" i="1"/>
  <c r="CW18" i="1"/>
  <c r="CW23" i="1"/>
  <c r="CW2" i="1"/>
  <c r="CW19" i="1"/>
  <c r="CW30" i="1"/>
  <c r="CW14" i="1"/>
  <c r="CW31" i="1"/>
  <c r="CW35" i="1"/>
  <c r="CW20" i="1"/>
  <c r="CW9" i="1"/>
  <c r="CW12" i="1"/>
  <c r="CW10" i="1"/>
  <c r="CW22" i="1"/>
  <c r="CW26" i="1"/>
  <c r="CW17" i="1"/>
  <c r="CW21" i="1"/>
  <c r="CW25" i="1"/>
  <c r="CW15" i="1"/>
  <c r="CW16" i="1"/>
  <c r="CW7" i="1"/>
  <c r="CW8" i="1"/>
  <c r="CW11" i="1"/>
  <c r="CW29" i="1"/>
  <c r="CW27" i="1"/>
  <c r="CW28" i="1"/>
  <c r="CW86" i="1"/>
  <c r="CW6" i="1"/>
  <c r="CW4" i="1"/>
  <c r="CW5" i="1"/>
  <c r="CW32" i="1"/>
  <c r="CW3" i="1"/>
  <c r="CT49" i="1"/>
  <c r="CT2" i="1"/>
  <c r="CT14" i="1"/>
  <c r="CT52" i="1"/>
  <c r="CT9" i="1"/>
  <c r="CT12" i="1"/>
  <c r="CT10" i="1"/>
  <c r="CT15" i="1"/>
  <c r="CT7" i="1"/>
  <c r="CT8" i="1"/>
  <c r="CT11" i="1"/>
  <c r="CT6" i="1"/>
  <c r="CT4" i="1"/>
  <c r="CT5" i="1"/>
  <c r="CT3" i="1"/>
  <c r="DU48" i="1"/>
  <c r="DU13" i="1"/>
  <c r="DU33" i="1"/>
  <c r="DU34" i="1"/>
  <c r="DU18" i="1"/>
  <c r="DU77" i="1"/>
  <c r="DU56" i="1"/>
  <c r="DU23" i="1"/>
  <c r="DU2" i="1"/>
  <c r="DU19" i="1"/>
  <c r="DU40" i="1"/>
  <c r="DU30" i="1"/>
  <c r="DU42" i="1"/>
  <c r="DU14" i="1"/>
  <c r="DU134" i="1"/>
  <c r="DU52" i="1"/>
  <c r="DU31" i="1"/>
  <c r="DU35" i="1"/>
  <c r="DU20" i="1"/>
  <c r="DU9" i="1"/>
  <c r="DU53" i="1"/>
  <c r="DU41" i="1"/>
  <c r="DU12" i="1"/>
  <c r="DU10" i="1"/>
  <c r="DU22" i="1"/>
  <c r="DU54" i="1"/>
  <c r="DU26" i="1"/>
  <c r="DU58" i="1"/>
  <c r="DU17" i="1"/>
  <c r="DU21" i="1"/>
  <c r="DU73" i="1"/>
  <c r="DU25" i="1"/>
  <c r="DU43" i="1"/>
  <c r="DU15" i="1"/>
  <c r="DU16" i="1"/>
  <c r="DU7" i="1"/>
  <c r="DU8" i="1"/>
  <c r="DU69" i="1"/>
  <c r="DU51" i="1"/>
  <c r="DU11" i="1"/>
  <c r="DU29" i="1"/>
  <c r="DU27" i="1"/>
  <c r="DU28" i="1"/>
  <c r="DU62" i="1"/>
  <c r="DU59" i="1"/>
  <c r="DU86" i="1"/>
  <c r="DU6" i="1"/>
  <c r="DU4" i="1"/>
  <c r="DU5" i="1"/>
  <c r="DU32" i="1"/>
  <c r="DU61" i="1"/>
  <c r="DU3" i="1"/>
  <c r="DU39" i="1"/>
  <c r="DU36" i="1"/>
  <c r="DU37" i="1"/>
  <c r="DU38" i="1"/>
  <c r="EJ41" i="1" l="1"/>
  <c r="EM41" i="1"/>
  <c r="EA25" i="1"/>
  <c r="EG41" i="1"/>
  <c r="AT26" i="1" l="1"/>
  <c r="GR68" i="1" l="1"/>
  <c r="DR62" i="1" l="1"/>
  <c r="DO71" i="1"/>
  <c r="DO67" i="1"/>
  <c r="DO66" i="1"/>
  <c r="DO65" i="1"/>
  <c r="DO74" i="1"/>
  <c r="DO68" i="1"/>
  <c r="DO64" i="1"/>
  <c r="DO76" i="1"/>
  <c r="DO72" i="1"/>
  <c r="DO73" i="1"/>
  <c r="DO69" i="1"/>
  <c r="DO60" i="1"/>
  <c r="DO63" i="1"/>
  <c r="DO53" i="1"/>
  <c r="DO54" i="1"/>
  <c r="DO77" i="1"/>
  <c r="DO45" i="1"/>
  <c r="DO49" i="1"/>
  <c r="DO52" i="1"/>
  <c r="DO57" i="1"/>
  <c r="DO44" i="1"/>
  <c r="DO46" i="1"/>
  <c r="DO50" i="1"/>
  <c r="DO62" i="1"/>
  <c r="DO56" i="1"/>
  <c r="DO55" i="1"/>
  <c r="DO59" i="1"/>
  <c r="DO51" i="1"/>
  <c r="DO58" i="1"/>
  <c r="DO41" i="1"/>
  <c r="DO48" i="1"/>
  <c r="DO47" i="1"/>
  <c r="DO40" i="1"/>
  <c r="DO43" i="1"/>
  <c r="DO42" i="1"/>
  <c r="DO61" i="1"/>
  <c r="DO39" i="1"/>
  <c r="DO38" i="1"/>
  <c r="DO37" i="1"/>
  <c r="DO36" i="1"/>
  <c r="DO35" i="1"/>
  <c r="DO33" i="1"/>
  <c r="DO34" i="1"/>
  <c r="DO32" i="1"/>
  <c r="DO31" i="1"/>
  <c r="DO30" i="1"/>
  <c r="DO29" i="1"/>
  <c r="DO27" i="1"/>
  <c r="DO28" i="1"/>
  <c r="DO25" i="1"/>
  <c r="DO26" i="1"/>
  <c r="DO24" i="1"/>
  <c r="DO23" i="1"/>
  <c r="DO22" i="1"/>
  <c r="DO21" i="1"/>
  <c r="DO20" i="1"/>
  <c r="DO19" i="1"/>
  <c r="DO18" i="1"/>
  <c r="DO17" i="1"/>
  <c r="DO15" i="1"/>
  <c r="DO16" i="1"/>
  <c r="DO14" i="1"/>
  <c r="DO12" i="1"/>
  <c r="DO11" i="1"/>
  <c r="DO10" i="1"/>
  <c r="DO9" i="1"/>
  <c r="DO7" i="1"/>
  <c r="DO8" i="1"/>
  <c r="DO6" i="1"/>
  <c r="DO4" i="1"/>
  <c r="DO5" i="1"/>
  <c r="DO3" i="1"/>
  <c r="DO2" i="1"/>
  <c r="C59" i="26" l="1"/>
  <c r="C55" i="26"/>
  <c r="C51" i="26"/>
  <c r="B57" i="26"/>
  <c r="B53" i="26"/>
  <c r="C56" i="26"/>
  <c r="B54" i="26"/>
  <c r="C58" i="26"/>
  <c r="C54" i="26"/>
  <c r="C50" i="26"/>
  <c r="B56" i="26"/>
  <c r="B52" i="26"/>
  <c r="B58" i="26"/>
  <c r="C57" i="26"/>
  <c r="C53" i="26"/>
  <c r="B59" i="26"/>
  <c r="B55" i="26"/>
  <c r="B51" i="26"/>
  <c r="C52" i="26"/>
  <c r="B50" i="26"/>
  <c r="W76" i="1" l="1"/>
  <c r="AI135" i="1"/>
  <c r="AG135" i="1"/>
  <c r="X70" i="1" l="1"/>
  <c r="W70" i="1"/>
  <c r="W74" i="1"/>
  <c r="X74" i="1"/>
  <c r="X71" i="1"/>
  <c r="W71" i="1"/>
  <c r="W131" i="1"/>
  <c r="X131" i="1"/>
  <c r="W75" i="1"/>
  <c r="X75" i="1"/>
  <c r="AU26" i="1"/>
  <c r="AR26" i="1"/>
  <c r="AV26" i="1"/>
  <c r="AJ135" i="1"/>
  <c r="HN66" i="1"/>
  <c r="GV89" i="1"/>
  <c r="GU89" i="1"/>
  <c r="GV91" i="1"/>
  <c r="GU91" i="1"/>
  <c r="GV88" i="1"/>
  <c r="GU88" i="1"/>
  <c r="GV95" i="1"/>
  <c r="GU95" i="1"/>
  <c r="GV93" i="1"/>
  <c r="GU93" i="1"/>
  <c r="GV94" i="1"/>
  <c r="GU94" i="1"/>
  <c r="GU87" i="1"/>
  <c r="GO60" i="1"/>
  <c r="GV131" i="1"/>
  <c r="HC67" i="1"/>
  <c r="GV75" i="1"/>
  <c r="GV74" i="1"/>
  <c r="GV71" i="1"/>
  <c r="GV132" i="1"/>
  <c r="HN93" i="1"/>
  <c r="GN75" i="1" l="1"/>
  <c r="HN75" i="1" s="1"/>
  <c r="GM75" i="1"/>
  <c r="GN93" i="1"/>
  <c r="GQ93" i="1" s="1"/>
  <c r="GM93" i="1"/>
  <c r="GN88" i="1"/>
  <c r="GM88" i="1"/>
  <c r="GN89" i="1"/>
  <c r="GM89" i="1"/>
  <c r="GN71" i="1"/>
  <c r="HN71" i="1" s="1"/>
  <c r="GM71" i="1"/>
  <c r="GN132" i="1"/>
  <c r="HC132" i="1" s="1"/>
  <c r="GM132" i="1"/>
  <c r="GN131" i="1"/>
  <c r="HC131" i="1" s="1"/>
  <c r="GM131" i="1"/>
  <c r="GN94" i="1"/>
  <c r="GM94" i="1"/>
  <c r="GN95" i="1"/>
  <c r="GQ95" i="1" s="1"/>
  <c r="GM95" i="1"/>
  <c r="GN91" i="1"/>
  <c r="GQ91" i="1" s="1"/>
  <c r="GM91" i="1"/>
  <c r="GN74" i="1"/>
  <c r="HN74" i="1" s="1"/>
  <c r="GM74" i="1"/>
  <c r="GQ71" i="1"/>
  <c r="HT71" i="1"/>
  <c r="HU71" i="1" s="1"/>
  <c r="HV71" i="1" s="1"/>
  <c r="HS71" i="1"/>
  <c r="GY131" i="1"/>
  <c r="GY94" i="1"/>
  <c r="GY90" i="1"/>
  <c r="GY95" i="1"/>
  <c r="GY132" i="1"/>
  <c r="GY74" i="1"/>
  <c r="GY93" i="1"/>
  <c r="GY89" i="1"/>
  <c r="GY120" i="1"/>
  <c r="GY91" i="1"/>
  <c r="GY119" i="1"/>
  <c r="GY75" i="1"/>
  <c r="GY88" i="1"/>
  <c r="GY111" i="1"/>
  <c r="GY71" i="1"/>
  <c r="GY112" i="1"/>
  <c r="GQ94" i="1"/>
  <c r="FL60" i="1"/>
  <c r="IA71" i="1"/>
  <c r="IA67" i="1"/>
  <c r="IA65" i="1"/>
  <c r="HN68" i="1"/>
  <c r="IA68" i="1"/>
  <c r="IA94" i="1"/>
  <c r="HN94" i="1"/>
  <c r="IA95" i="1"/>
  <c r="HN95" i="1"/>
  <c r="HC65" i="1"/>
  <c r="IA66" i="1"/>
  <c r="IA91" i="1"/>
  <c r="HN91" i="1"/>
  <c r="IA87" i="1"/>
  <c r="IA93" i="1"/>
  <c r="IA88" i="1"/>
  <c r="IA89" i="1"/>
  <c r="HN65" i="1"/>
  <c r="HN67" i="1"/>
  <c r="HN87" i="1"/>
  <c r="HN88" i="1"/>
  <c r="HN89" i="1"/>
  <c r="HT74" i="1" l="1"/>
  <c r="HU74" i="1" s="1"/>
  <c r="HV74" i="1" s="1"/>
  <c r="HS74" i="1"/>
  <c r="GQ74" i="1"/>
  <c r="HT90" i="1"/>
  <c r="HU90" i="1" s="1"/>
  <c r="HV90" i="1" s="1"/>
  <c r="HS90" i="1"/>
  <c r="GQ112" i="1"/>
  <c r="HT112" i="1"/>
  <c r="HU112" i="1" s="1"/>
  <c r="HS112" i="1"/>
  <c r="GQ111" i="1"/>
  <c r="HT111" i="1"/>
  <c r="HU111" i="1" s="1"/>
  <c r="HS111" i="1"/>
  <c r="GQ119" i="1"/>
  <c r="HT119" i="1"/>
  <c r="HU119" i="1" s="1"/>
  <c r="HS119" i="1"/>
  <c r="HS131" i="1"/>
  <c r="HT131" i="1"/>
  <c r="HU131" i="1" s="1"/>
  <c r="HT132" i="1"/>
  <c r="HU132" i="1" s="1"/>
  <c r="HS132" i="1"/>
  <c r="GQ75" i="1"/>
  <c r="HS75" i="1"/>
  <c r="HS120" i="1"/>
  <c r="HT120" i="1"/>
  <c r="HU120" i="1" s="1"/>
  <c r="GO132" i="1"/>
  <c r="GQ132" i="1"/>
  <c r="GR89" i="1"/>
  <c r="GQ89" i="1"/>
  <c r="GO120" i="1"/>
  <c r="GQ120" i="1"/>
  <c r="GR88" i="1"/>
  <c r="GQ88" i="1"/>
  <c r="GR131" i="1"/>
  <c r="GQ131" i="1"/>
  <c r="GO75" i="1"/>
  <c r="HC89" i="1"/>
  <c r="FL94" i="1"/>
  <c r="HC93" i="1"/>
  <c r="FL93" i="1"/>
  <c r="HC74" i="1"/>
  <c r="FL74" i="1"/>
  <c r="HC71" i="1"/>
  <c r="FL71" i="1"/>
  <c r="FL132" i="1"/>
  <c r="FL119" i="1"/>
  <c r="FL89" i="1"/>
  <c r="FL112" i="1"/>
  <c r="HC75" i="1"/>
  <c r="FL75" i="1"/>
  <c r="FL120" i="1"/>
  <c r="GO90" i="1"/>
  <c r="FL90" i="1"/>
  <c r="FL111" i="1"/>
  <c r="FL91" i="1"/>
  <c r="FL95" i="1"/>
  <c r="FL88" i="1"/>
  <c r="FL131" i="1"/>
  <c r="GR74" i="1"/>
  <c r="GO74" i="1"/>
  <c r="GR91" i="1"/>
  <c r="GO111" i="1"/>
  <c r="HC91" i="1"/>
  <c r="GO112" i="1"/>
  <c r="GR75" i="1"/>
  <c r="HC112" i="1"/>
  <c r="HN112" i="1"/>
  <c r="HC88" i="1"/>
  <c r="HC111" i="1"/>
  <c r="HN111" i="1"/>
  <c r="HC119" i="1"/>
  <c r="GO119" i="1"/>
  <c r="HC120" i="1"/>
  <c r="HN120" i="1"/>
  <c r="HC90" i="1"/>
  <c r="HC94" i="1"/>
  <c r="HC95" i="1"/>
  <c r="GR71" i="1"/>
  <c r="GR93" i="1"/>
  <c r="GR132" i="1"/>
  <c r="GO131" i="1"/>
  <c r="GO71" i="1"/>
  <c r="HC68" i="1"/>
  <c r="HC66" i="1"/>
  <c r="GR95" i="1"/>
  <c r="GR94" i="1"/>
  <c r="HN132" i="1"/>
  <c r="HN131" i="1"/>
  <c r="L27" i="26" l="1"/>
  <c r="DR2" i="1" l="1"/>
  <c r="FW71" i="1" l="1"/>
  <c r="FW72" i="1"/>
  <c r="ES59" i="1" l="1"/>
  <c r="ES60" i="1"/>
  <c r="FW64" i="1"/>
  <c r="FW74" i="1"/>
  <c r="FW77" i="1"/>
  <c r="FW86" i="1"/>
  <c r="FW76" i="1"/>
  <c r="FW134" i="1"/>
  <c r="FW73" i="1"/>
  <c r="FW59" i="1"/>
  <c r="FW131" i="1"/>
  <c r="FW132" i="1"/>
  <c r="FW75" i="1"/>
  <c r="FW69" i="1"/>
  <c r="FW63" i="1"/>
  <c r="FW60" i="1"/>
  <c r="DR69" i="1"/>
  <c r="DR60" i="1"/>
  <c r="FA112" i="1"/>
  <c r="DR53" i="1"/>
  <c r="DR132" i="1"/>
  <c r="DR59" i="1"/>
  <c r="DR74" i="1"/>
  <c r="DR134" i="1"/>
  <c r="DR63" i="1"/>
  <c r="DR86" i="1"/>
  <c r="DR64" i="1"/>
  <c r="DR73" i="1"/>
  <c r="DR76" i="1"/>
  <c r="FC72" i="1"/>
  <c r="DR131" i="1"/>
  <c r="DR71" i="1"/>
  <c r="BV112" i="1" l="1"/>
  <c r="BW112" i="1" s="1"/>
  <c r="BX112" i="1" s="1"/>
  <c r="BV60" i="1"/>
  <c r="BW60" i="1" s="1"/>
  <c r="BX60" i="1" s="1"/>
  <c r="BU60" i="1"/>
  <c r="BU112" i="1"/>
  <c r="FC60" i="1"/>
  <c r="FC112" i="1"/>
  <c r="FE53" i="1"/>
  <c r="FE72" i="1"/>
  <c r="FE60" i="1" l="1"/>
  <c r="FE112" i="1"/>
  <c r="C76" i="26"/>
  <c r="FE62" i="1" l="1"/>
  <c r="GU119" i="1" l="1"/>
  <c r="GU120" i="1" l="1"/>
  <c r="FW70" i="1" l="1"/>
  <c r="DR70" i="1"/>
  <c r="S71" i="1" l="1"/>
  <c r="AY6" i="1" l="1"/>
  <c r="S131" i="1" l="1"/>
  <c r="X132" i="1"/>
  <c r="W132" i="1"/>
  <c r="GV134" i="1" l="1"/>
  <c r="GM134" i="1" s="1"/>
  <c r="GY134" i="1" l="1"/>
  <c r="GV50" i="1"/>
  <c r="GN50" i="1" l="1"/>
  <c r="HN50" i="1" s="1"/>
  <c r="GM50" i="1"/>
  <c r="GY50" i="1"/>
  <c r="FL50" i="1" l="1"/>
  <c r="HS50" i="1"/>
  <c r="HT50" i="1"/>
  <c r="HU50" i="1" s="1"/>
  <c r="HV50" i="1" s="1"/>
  <c r="GQ50" i="1"/>
  <c r="GR50" i="1"/>
  <c r="GO50" i="1"/>
  <c r="HC50" i="1"/>
  <c r="GU52" i="1" l="1"/>
  <c r="GU49" i="1"/>
  <c r="GU46" i="1"/>
  <c r="GU45" i="1"/>
  <c r="GU44" i="1"/>
  <c r="GV53" i="1" l="1"/>
  <c r="GY53" i="1" l="1"/>
  <c r="DR37" i="1"/>
  <c r="DR35" i="1" l="1"/>
  <c r="L186" i="1" l="1"/>
  <c r="L185" i="1"/>
  <c r="L184" i="1"/>
  <c r="L183" i="1"/>
  <c r="L182" i="1"/>
  <c r="L181" i="1"/>
  <c r="L180" i="1"/>
  <c r="J186" i="1"/>
  <c r="J185" i="1"/>
  <c r="J184" i="1"/>
  <c r="J183" i="1"/>
  <c r="J182" i="1"/>
  <c r="J181" i="1"/>
  <c r="H186" i="1"/>
  <c r="H185" i="1"/>
  <c r="H184" i="1"/>
  <c r="H183" i="1"/>
  <c r="H182" i="1"/>
  <c r="H181" i="1"/>
  <c r="F186" i="1"/>
  <c r="F185" i="1"/>
  <c r="F184" i="1"/>
  <c r="F183" i="1"/>
  <c r="F182" i="1"/>
  <c r="F181" i="1"/>
  <c r="F180" i="1"/>
  <c r="D186" i="1"/>
  <c r="D185" i="1"/>
  <c r="D184" i="1"/>
  <c r="D183" i="1"/>
  <c r="D182" i="1"/>
  <c r="D181" i="1"/>
  <c r="D180" i="1"/>
  <c r="Q181" i="1" l="1"/>
  <c r="Q182" i="1"/>
  <c r="Q185" i="1"/>
  <c r="Q183" i="1"/>
  <c r="Q186" i="1"/>
  <c r="Q180" i="1"/>
  <c r="Q184" i="1"/>
  <c r="J187" i="1"/>
  <c r="K184" i="1" s="1"/>
  <c r="L187" i="1"/>
  <c r="M185" i="1" s="1"/>
  <c r="N187" i="1"/>
  <c r="O183" i="1" s="1"/>
  <c r="H187" i="1"/>
  <c r="I181" i="1" s="1"/>
  <c r="F187" i="1"/>
  <c r="G185" i="1" s="1"/>
  <c r="D187" i="1"/>
  <c r="E181" i="1" s="1"/>
  <c r="Q187" i="1" l="1"/>
  <c r="K183" i="1"/>
  <c r="K181" i="1"/>
  <c r="K182" i="1"/>
  <c r="K180" i="1"/>
  <c r="K186" i="1"/>
  <c r="K185" i="1"/>
  <c r="M182" i="1"/>
  <c r="I180" i="1"/>
  <c r="O186" i="1"/>
  <c r="M181" i="1"/>
  <c r="I186" i="1"/>
  <c r="O181" i="1"/>
  <c r="O185" i="1"/>
  <c r="O180" i="1"/>
  <c r="O184" i="1"/>
  <c r="I183" i="1"/>
  <c r="M183" i="1"/>
  <c r="M186" i="1"/>
  <c r="O182" i="1"/>
  <c r="M180" i="1"/>
  <c r="M184" i="1"/>
  <c r="I184" i="1"/>
  <c r="I185" i="1"/>
  <c r="I182" i="1"/>
  <c r="G183" i="1"/>
  <c r="G180" i="1"/>
  <c r="G182" i="1"/>
  <c r="G186" i="1"/>
  <c r="G184" i="1"/>
  <c r="G181" i="1"/>
  <c r="E184" i="1"/>
  <c r="E186" i="1"/>
  <c r="E182" i="1"/>
  <c r="E180" i="1"/>
  <c r="E183" i="1"/>
  <c r="E185" i="1"/>
  <c r="K187" i="1" l="1"/>
  <c r="I187" i="1"/>
  <c r="M187" i="1"/>
  <c r="O187" i="1"/>
  <c r="G187" i="1"/>
  <c r="E187" i="1"/>
  <c r="K161" i="1" l="1"/>
  <c r="K160" i="1"/>
  <c r="K159" i="1"/>
  <c r="K158" i="1"/>
  <c r="K157" i="1"/>
  <c r="K156" i="1"/>
  <c r="K155" i="1"/>
  <c r="K154" i="1"/>
  <c r="J154" i="1"/>
  <c r="H154" i="1"/>
  <c r="H155" i="1"/>
  <c r="H156" i="1"/>
  <c r="H158" i="1"/>
  <c r="H159" i="1"/>
  <c r="H160" i="1"/>
  <c r="H161" i="1"/>
  <c r="D161" i="1"/>
  <c r="F161" i="1"/>
  <c r="I161" i="1"/>
  <c r="J161" i="1"/>
  <c r="P161" i="1"/>
  <c r="K162" i="1" l="1"/>
  <c r="GV39" i="1"/>
  <c r="GN39" i="1" l="1"/>
  <c r="GM39" i="1"/>
  <c r="GY39" i="1"/>
  <c r="K164" i="1"/>
  <c r="R186" i="1"/>
  <c r="HN39" i="1"/>
  <c r="HT39" i="1" l="1"/>
  <c r="HU39" i="1" s="1"/>
  <c r="HS39" i="1"/>
  <c r="FL39" i="1"/>
  <c r="GQ39" i="1"/>
  <c r="GO39" i="1"/>
  <c r="HC39" i="1"/>
  <c r="GR39" i="1"/>
  <c r="DR47" i="1"/>
  <c r="DR39" i="1" l="1"/>
  <c r="BS39" i="1" l="1"/>
  <c r="BV39" i="1" s="1"/>
  <c r="BW39" i="1" s="1"/>
  <c r="BX39" i="1" s="1"/>
  <c r="V39" i="1"/>
  <c r="T39" i="1"/>
  <c r="U39" i="1"/>
  <c r="BU39" i="1" l="1"/>
  <c r="W39" i="1"/>
  <c r="S39" i="1"/>
  <c r="X39" i="1"/>
  <c r="C75" i="26" l="1"/>
  <c r="ES51" i="1" l="1"/>
  <c r="FW51" i="1"/>
  <c r="DR51" i="1"/>
  <c r="S70" i="1" l="1"/>
  <c r="V60" i="1"/>
  <c r="U60" i="1"/>
  <c r="T60" i="1"/>
  <c r="V59" i="1"/>
  <c r="U59" i="1"/>
  <c r="T59" i="1"/>
  <c r="V72" i="1"/>
  <c r="U72" i="1"/>
  <c r="T72" i="1"/>
  <c r="V64" i="1"/>
  <c r="U64" i="1"/>
  <c r="T64" i="1"/>
  <c r="V112" i="1"/>
  <c r="U112" i="1"/>
  <c r="V76" i="1"/>
  <c r="V63" i="1" l="1"/>
  <c r="V86" i="1"/>
  <c r="U63" i="1"/>
  <c r="U86" i="1"/>
  <c r="T63" i="1"/>
  <c r="T86" i="1"/>
  <c r="DR30" i="1" l="1"/>
  <c r="DR61" i="1" l="1"/>
  <c r="DR48" i="1"/>
  <c r="GV58" i="1"/>
  <c r="GV72" i="1"/>
  <c r="GV62" i="1"/>
  <c r="GV76" i="1"/>
  <c r="GM76" i="1" s="1"/>
  <c r="GV64" i="1"/>
  <c r="GM64" i="1" s="1"/>
  <c r="GV86" i="1"/>
  <c r="IA50" i="1"/>
  <c r="B135" i="26"/>
  <c r="C135" i="26"/>
  <c r="D135" i="26"/>
  <c r="E135" i="26"/>
  <c r="F135" i="26"/>
  <c r="G135" i="26"/>
  <c r="H135" i="26"/>
  <c r="I135" i="26"/>
  <c r="J135" i="26"/>
  <c r="K135" i="26"/>
  <c r="A136" i="26"/>
  <c r="A137" i="26"/>
  <c r="A138" i="26"/>
  <c r="FW26" i="1"/>
  <c r="EX26" i="1"/>
  <c r="GU57" i="1"/>
  <c r="BV40" i="1"/>
  <c r="BW9" i="1"/>
  <c r="BX9" i="1" s="1"/>
  <c r="BW10" i="1"/>
  <c r="BX10" i="1" s="1"/>
  <c r="BW6" i="1"/>
  <c r="BX6" i="1" s="1"/>
  <c r="BW4" i="1"/>
  <c r="BX4" i="1" s="1"/>
  <c r="BW5" i="1"/>
  <c r="BX5" i="1" s="1"/>
  <c r="BW2" i="1"/>
  <c r="BX2" i="1" s="1"/>
  <c r="BS12" i="1"/>
  <c r="BV12" i="1" s="1"/>
  <c r="BS14" i="1"/>
  <c r="BV14" i="1" s="1"/>
  <c r="BS20" i="1"/>
  <c r="BV20" i="1" s="1"/>
  <c r="BS31" i="1"/>
  <c r="BV31" i="1" s="1"/>
  <c r="BS22" i="1"/>
  <c r="BV22" i="1" s="1"/>
  <c r="BS17" i="1"/>
  <c r="BV17" i="1" s="1"/>
  <c r="BS21" i="1"/>
  <c r="BV21" i="1" s="1"/>
  <c r="BS15" i="1"/>
  <c r="BV15" i="1" s="1"/>
  <c r="BS16" i="1"/>
  <c r="BV16" i="1" s="1"/>
  <c r="BS30" i="1"/>
  <c r="BV30" i="1" s="1"/>
  <c r="BS18" i="1"/>
  <c r="BV18" i="1" s="1"/>
  <c r="BS23" i="1"/>
  <c r="BV23" i="1" s="1"/>
  <c r="BS24" i="1"/>
  <c r="BV24" i="1" s="1"/>
  <c r="BS35" i="1"/>
  <c r="BV35" i="1" s="1"/>
  <c r="BS25" i="1"/>
  <c r="BV25" i="1" s="1"/>
  <c r="BS26" i="1"/>
  <c r="BV26" i="1" s="1"/>
  <c r="BW26" i="1" s="1"/>
  <c r="BX26" i="1" s="1"/>
  <c r="BS37" i="1"/>
  <c r="BV37" i="1" s="1"/>
  <c r="BS38" i="1"/>
  <c r="BV38" i="1" s="1"/>
  <c r="BS29" i="1"/>
  <c r="BV29" i="1" s="1"/>
  <c r="BS27" i="1"/>
  <c r="BV27" i="1" s="1"/>
  <c r="BS28" i="1"/>
  <c r="BV28" i="1" s="1"/>
  <c r="BS58" i="1"/>
  <c r="BV58" i="1" s="1"/>
  <c r="BS32" i="1"/>
  <c r="BV32" i="1" s="1"/>
  <c r="BS36" i="1"/>
  <c r="BV36" i="1" s="1"/>
  <c r="BS33" i="1"/>
  <c r="BV33" i="1" s="1"/>
  <c r="BS34" i="1"/>
  <c r="BV34" i="1" s="1"/>
  <c r="BS47" i="1"/>
  <c r="BV47" i="1" s="1"/>
  <c r="BW47" i="1" s="1"/>
  <c r="BX47" i="1" s="1"/>
  <c r="BS48" i="1"/>
  <c r="BV48" i="1" s="1"/>
  <c r="BW48" i="1" s="1"/>
  <c r="BX48" i="1" s="1"/>
  <c r="BS41" i="1"/>
  <c r="BV41" i="1" s="1"/>
  <c r="BW41" i="1" s="1"/>
  <c r="BX41" i="1" s="1"/>
  <c r="BS43" i="1"/>
  <c r="BV43" i="1" s="1"/>
  <c r="BW43" i="1" s="1"/>
  <c r="BX43" i="1" s="1"/>
  <c r="BS51" i="1"/>
  <c r="BV51" i="1" s="1"/>
  <c r="BW51" i="1" s="1"/>
  <c r="BX51" i="1" s="1"/>
  <c r="BS61" i="1"/>
  <c r="BV61" i="1" s="1"/>
  <c r="BW61" i="1" s="1"/>
  <c r="BX61" i="1" s="1"/>
  <c r="BS54" i="1"/>
  <c r="BV54" i="1" s="1"/>
  <c r="BW54" i="1" s="1"/>
  <c r="J160" i="1"/>
  <c r="I160" i="1"/>
  <c r="F160" i="1"/>
  <c r="D160" i="1"/>
  <c r="J159" i="1"/>
  <c r="I159" i="1"/>
  <c r="F159" i="1"/>
  <c r="D159" i="1"/>
  <c r="J158" i="1"/>
  <c r="F158" i="1"/>
  <c r="D158" i="1"/>
  <c r="J157" i="1"/>
  <c r="J155" i="1"/>
  <c r="J156" i="1"/>
  <c r="I157" i="1"/>
  <c r="H157" i="1"/>
  <c r="F157" i="1"/>
  <c r="D157" i="1"/>
  <c r="I156" i="1"/>
  <c r="I154" i="1"/>
  <c r="I155" i="1"/>
  <c r="F156" i="1"/>
  <c r="D156" i="1"/>
  <c r="F155" i="1"/>
  <c r="D155" i="1"/>
  <c r="F154" i="1"/>
  <c r="P167" i="1"/>
  <c r="G242" i="1"/>
  <c r="F242" i="1"/>
  <c r="E242" i="1"/>
  <c r="D242" i="1"/>
  <c r="C242" i="1"/>
  <c r="P165" i="1"/>
  <c r="G241" i="1"/>
  <c r="F241" i="1"/>
  <c r="E241" i="1"/>
  <c r="D241" i="1"/>
  <c r="C241" i="1"/>
  <c r="P164" i="1"/>
  <c r="G240" i="1"/>
  <c r="F240" i="1"/>
  <c r="E240" i="1"/>
  <c r="D240" i="1"/>
  <c r="C240" i="1"/>
  <c r="P163" i="1"/>
  <c r="G239" i="1"/>
  <c r="F239" i="1"/>
  <c r="F237" i="1"/>
  <c r="F238" i="1"/>
  <c r="E239" i="1"/>
  <c r="D239" i="1"/>
  <c r="C239" i="1"/>
  <c r="P162" i="1"/>
  <c r="G238" i="1"/>
  <c r="E238" i="1"/>
  <c r="D238" i="1"/>
  <c r="D237" i="1"/>
  <c r="C238" i="1"/>
  <c r="G237" i="1"/>
  <c r="E237" i="1"/>
  <c r="C237" i="1"/>
  <c r="C233" i="1"/>
  <c r="C232" i="1"/>
  <c r="C231" i="1"/>
  <c r="C230" i="1"/>
  <c r="C229" i="1"/>
  <c r="C228" i="1"/>
  <c r="HG149" i="1"/>
  <c r="C227" i="1"/>
  <c r="HF148" i="1"/>
  <c r="HD148" i="1"/>
  <c r="C226" i="1"/>
  <c r="HG147" i="1"/>
  <c r="C225" i="1"/>
  <c r="HG146" i="1"/>
  <c r="HH145" i="1" s="1"/>
  <c r="C224" i="1"/>
  <c r="HF145" i="1"/>
  <c r="HD145" i="1"/>
  <c r="HG144" i="1"/>
  <c r="HG143" i="1"/>
  <c r="HF142" i="1"/>
  <c r="HD142" i="1"/>
  <c r="GX135" i="1"/>
  <c r="AV64" i="1"/>
  <c r="AU64" i="1"/>
  <c r="AT64" i="1"/>
  <c r="AS64" i="1"/>
  <c r="AR64" i="1"/>
  <c r="S62" i="1"/>
  <c r="V62" i="1"/>
  <c r="U62" i="1"/>
  <c r="T62" i="1"/>
  <c r="GV63" i="1"/>
  <c r="S63" i="1"/>
  <c r="GV73" i="1"/>
  <c r="AY73" i="1"/>
  <c r="V73" i="1"/>
  <c r="U73" i="1"/>
  <c r="HA134" i="1"/>
  <c r="V134" i="1"/>
  <c r="U134" i="1"/>
  <c r="T134" i="1"/>
  <c r="GV56" i="1"/>
  <c r="T56" i="1"/>
  <c r="S56" i="1"/>
  <c r="V56" i="1"/>
  <c r="GP69" i="1"/>
  <c r="GV69" i="1"/>
  <c r="GM69" i="1" s="1"/>
  <c r="T69" i="1"/>
  <c r="GV54" i="1"/>
  <c r="ER54" i="1"/>
  <c r="ET54" i="1" s="1"/>
  <c r="V54" i="1"/>
  <c r="U54" i="1"/>
  <c r="T54" i="1"/>
  <c r="GP53" i="1"/>
  <c r="V53" i="1"/>
  <c r="U53" i="1"/>
  <c r="T53" i="1"/>
  <c r="GP77" i="1"/>
  <c r="GV77" i="1"/>
  <c r="GM77" i="1" s="1"/>
  <c r="AS77" i="1"/>
  <c r="V77" i="1"/>
  <c r="U77" i="1"/>
  <c r="T77" i="1"/>
  <c r="GV61" i="1"/>
  <c r="AY61" i="1"/>
  <c r="AH61" i="1"/>
  <c r="V61" i="1"/>
  <c r="U61" i="1"/>
  <c r="GV51" i="1"/>
  <c r="AT51" i="1"/>
  <c r="V51" i="1"/>
  <c r="U51" i="1"/>
  <c r="T51" i="1"/>
  <c r="GV43" i="1"/>
  <c r="AU43" i="1"/>
  <c r="V43" i="1"/>
  <c r="U43" i="1"/>
  <c r="T43" i="1"/>
  <c r="AY41" i="1"/>
  <c r="T41" i="1"/>
  <c r="U41" i="1"/>
  <c r="V50" i="1"/>
  <c r="U50" i="1"/>
  <c r="T50" i="1"/>
  <c r="GV55" i="1"/>
  <c r="FW55" i="1"/>
  <c r="X55" i="1"/>
  <c r="T55" i="1"/>
  <c r="S55" i="1"/>
  <c r="GV48" i="1"/>
  <c r="V48" i="1"/>
  <c r="U48" i="1"/>
  <c r="T48" i="1"/>
  <c r="GV47" i="1"/>
  <c r="AU47" i="1"/>
  <c r="AT47" i="1"/>
  <c r="X47" i="1"/>
  <c r="W47" i="1"/>
  <c r="V47" i="1"/>
  <c r="U47" i="1"/>
  <c r="T47" i="1"/>
  <c r="GV34" i="1"/>
  <c r="FD34" i="1"/>
  <c r="FE34" i="1" s="1"/>
  <c r="AY34" i="1"/>
  <c r="AV34" i="1"/>
  <c r="AU34" i="1"/>
  <c r="AT34" i="1"/>
  <c r="AS34" i="1"/>
  <c r="GV33" i="1"/>
  <c r="FD33" i="1"/>
  <c r="FE33" i="1" s="1"/>
  <c r="AY33" i="1"/>
  <c r="AV33" i="1"/>
  <c r="AU33" i="1"/>
  <c r="AN33" i="1"/>
  <c r="W33" i="1"/>
  <c r="U33" i="1"/>
  <c r="T33" i="1"/>
  <c r="S33" i="1"/>
  <c r="GP36" i="1"/>
  <c r="GV36" i="1"/>
  <c r="FD36" i="1"/>
  <c r="FE36" i="1" s="1"/>
  <c r="AY36" i="1"/>
  <c r="V36" i="1"/>
  <c r="U36" i="1"/>
  <c r="T36" i="1"/>
  <c r="GP32" i="1"/>
  <c r="GV32" i="1"/>
  <c r="FW32" i="1"/>
  <c r="FD32" i="1"/>
  <c r="FE32" i="1" s="1"/>
  <c r="W32" i="1"/>
  <c r="V32" i="1"/>
  <c r="U32" i="1"/>
  <c r="FD58" i="1"/>
  <c r="FE58" i="1" s="1"/>
  <c r="V58" i="1"/>
  <c r="S58" i="1"/>
  <c r="GV42" i="1"/>
  <c r="AY42" i="1"/>
  <c r="AN42" i="1"/>
  <c r="Y42" i="1"/>
  <c r="V42" i="1"/>
  <c r="U42" i="1"/>
  <c r="T42" i="1"/>
  <c r="GV40" i="1"/>
  <c r="FD40" i="1"/>
  <c r="FE40" i="1" s="1"/>
  <c r="AY40" i="1"/>
  <c r="V40" i="1"/>
  <c r="U40" i="1"/>
  <c r="GV28" i="1"/>
  <c r="FD28" i="1"/>
  <c r="FE28" i="1" s="1"/>
  <c r="DR28" i="1"/>
  <c r="BP28" i="1"/>
  <c r="AY28" i="1"/>
  <c r="GV27" i="1"/>
  <c r="FD27" i="1"/>
  <c r="FE27" i="1" s="1"/>
  <c r="DR27" i="1"/>
  <c r="BP27" i="1"/>
  <c r="AY27" i="1"/>
  <c r="U27" i="1"/>
  <c r="T27" i="1"/>
  <c r="GV29" i="1"/>
  <c r="FD29" i="1"/>
  <c r="FE29" i="1" s="1"/>
  <c r="DR29" i="1"/>
  <c r="BP29" i="1"/>
  <c r="AY29" i="1"/>
  <c r="V29" i="1"/>
  <c r="U29" i="1"/>
  <c r="T29" i="1"/>
  <c r="GV38" i="1"/>
  <c r="FD38" i="1"/>
  <c r="FE38" i="1" s="1"/>
  <c r="AY38" i="1"/>
  <c r="V38" i="1"/>
  <c r="U38" i="1"/>
  <c r="T38" i="1"/>
  <c r="HA37" i="1"/>
  <c r="GV37" i="1"/>
  <c r="GM37" i="1" s="1"/>
  <c r="FD37" i="1"/>
  <c r="FE37" i="1" s="1"/>
  <c r="AY37" i="1"/>
  <c r="V37" i="1"/>
  <c r="U37" i="1"/>
  <c r="T37" i="1"/>
  <c r="GV26" i="1"/>
  <c r="DR26" i="1"/>
  <c r="BP26" i="1"/>
  <c r="AY26" i="1"/>
  <c r="V26" i="1"/>
  <c r="U26" i="1"/>
  <c r="GV25" i="1"/>
  <c r="FD25" i="1"/>
  <c r="FE25" i="1" s="1"/>
  <c r="DR25" i="1"/>
  <c r="BP25" i="1"/>
  <c r="AY25" i="1"/>
  <c r="HK25" i="1"/>
  <c r="V25" i="1"/>
  <c r="U25" i="1"/>
  <c r="T25" i="1"/>
  <c r="GV35" i="1"/>
  <c r="FD35" i="1"/>
  <c r="FE35" i="1" s="1"/>
  <c r="BP35" i="1"/>
  <c r="V35" i="1"/>
  <c r="S35" i="1"/>
  <c r="GV24" i="1"/>
  <c r="FD24" i="1"/>
  <c r="FE24" i="1" s="1"/>
  <c r="DR24" i="1"/>
  <c r="BP24" i="1"/>
  <c r="AY24" i="1"/>
  <c r="V24" i="1"/>
  <c r="U24" i="1"/>
  <c r="GV23" i="1"/>
  <c r="FD23" i="1"/>
  <c r="FE23" i="1" s="1"/>
  <c r="DR23" i="1"/>
  <c r="BP23" i="1"/>
  <c r="AY23" i="1"/>
  <c r="V23" i="1"/>
  <c r="U23" i="1"/>
  <c r="T23" i="1"/>
  <c r="GV18" i="1"/>
  <c r="FD18" i="1"/>
  <c r="FE18" i="1" s="1"/>
  <c r="DR18" i="1"/>
  <c r="AY18" i="1"/>
  <c r="V18" i="1"/>
  <c r="U18" i="1"/>
  <c r="T18" i="1"/>
  <c r="GV30" i="1"/>
  <c r="FD30" i="1"/>
  <c r="FE30" i="1" s="1"/>
  <c r="AY30" i="1"/>
  <c r="V30" i="1"/>
  <c r="U30" i="1"/>
  <c r="T30" i="1"/>
  <c r="GV11" i="1"/>
  <c r="FW11" i="1"/>
  <c r="FD11" i="1"/>
  <c r="DR11" i="1"/>
  <c r="AY11" i="1"/>
  <c r="V11" i="1"/>
  <c r="U11" i="1"/>
  <c r="GV16" i="1"/>
  <c r="FW16" i="1"/>
  <c r="FD16" i="1"/>
  <c r="FE16" i="1" s="1"/>
  <c r="DR16" i="1"/>
  <c r="GV15" i="1"/>
  <c r="FW15" i="1"/>
  <c r="FD15" i="1"/>
  <c r="FE15" i="1" s="1"/>
  <c r="DR15" i="1"/>
  <c r="AY15" i="1"/>
  <c r="U15" i="1"/>
  <c r="GV21" i="1"/>
  <c r="FD21" i="1"/>
  <c r="FE21" i="1" s="1"/>
  <c r="DR21" i="1"/>
  <c r="AY21" i="1"/>
  <c r="AV21" i="1"/>
  <c r="V21" i="1"/>
  <c r="U21" i="1"/>
  <c r="T21" i="1"/>
  <c r="GV17" i="1"/>
  <c r="FD17" i="1"/>
  <c r="FE17" i="1" s="1"/>
  <c r="DR17" i="1"/>
  <c r="AX17" i="1"/>
  <c r="W17" i="1"/>
  <c r="V17" i="1"/>
  <c r="U17" i="1"/>
  <c r="T17" i="1"/>
  <c r="GV22" i="1"/>
  <c r="FD22" i="1"/>
  <c r="FE22" i="1" s="1"/>
  <c r="DR22" i="1"/>
  <c r="AY22" i="1"/>
  <c r="AN22" i="1"/>
  <c r="V22" i="1"/>
  <c r="U22" i="1"/>
  <c r="T22" i="1"/>
  <c r="GV31" i="1"/>
  <c r="FW31" i="1"/>
  <c r="FD31" i="1"/>
  <c r="FE31" i="1" s="1"/>
  <c r="DR31" i="1"/>
  <c r="BP31" i="1"/>
  <c r="V31" i="1"/>
  <c r="GV20" i="1"/>
  <c r="FD20" i="1"/>
  <c r="FE20" i="1" s="1"/>
  <c r="DR20" i="1"/>
  <c r="AY20" i="1"/>
  <c r="AS20" i="1"/>
  <c r="V20" i="1"/>
  <c r="U20" i="1"/>
  <c r="T20" i="1"/>
  <c r="GV14" i="1"/>
  <c r="FW14" i="1"/>
  <c r="FD14" i="1"/>
  <c r="FE14" i="1" s="1"/>
  <c r="DR14" i="1"/>
  <c r="AY14" i="1"/>
  <c r="V14" i="1"/>
  <c r="U14" i="1"/>
  <c r="T14" i="1"/>
  <c r="GV19" i="1"/>
  <c r="FW19" i="1"/>
  <c r="FD19" i="1"/>
  <c r="DR19" i="1"/>
  <c r="AY19" i="1"/>
  <c r="X19" i="1"/>
  <c r="V19" i="1"/>
  <c r="U19" i="1"/>
  <c r="T19" i="1"/>
  <c r="GV12" i="1"/>
  <c r="FW12" i="1"/>
  <c r="FD12" i="1"/>
  <c r="FE12" i="1" s="1"/>
  <c r="DR12" i="1"/>
  <c r="AY12" i="1"/>
  <c r="AW12" i="1"/>
  <c r="V12" i="1"/>
  <c r="U12" i="1"/>
  <c r="T12" i="1"/>
  <c r="GV13" i="1"/>
  <c r="FD13" i="1"/>
  <c r="DR13" i="1"/>
  <c r="AY13" i="1"/>
  <c r="AN13" i="1"/>
  <c r="V13" i="1"/>
  <c r="U13" i="1"/>
  <c r="T13" i="1"/>
  <c r="GV3" i="1"/>
  <c r="FW3" i="1"/>
  <c r="DR3" i="1"/>
  <c r="AY3" i="1"/>
  <c r="V3" i="1"/>
  <c r="U3" i="1"/>
  <c r="GV5" i="1"/>
  <c r="FW5" i="1"/>
  <c r="DR5" i="1"/>
  <c r="AY5" i="1"/>
  <c r="AN5" i="1"/>
  <c r="GV4" i="1"/>
  <c r="FW4" i="1"/>
  <c r="DR4" i="1"/>
  <c r="AY4" i="1"/>
  <c r="U4" i="1"/>
  <c r="T4" i="1"/>
  <c r="GV6" i="1"/>
  <c r="FW6" i="1"/>
  <c r="DR6" i="1"/>
  <c r="V6" i="1"/>
  <c r="U6" i="1"/>
  <c r="HK8" i="1"/>
  <c r="GV8" i="1"/>
  <c r="FW8" i="1"/>
  <c r="DR8" i="1"/>
  <c r="AY8" i="1"/>
  <c r="AW8" i="1"/>
  <c r="V8" i="1"/>
  <c r="U8" i="1"/>
  <c r="T8" i="1"/>
  <c r="HK7" i="1"/>
  <c r="GV7" i="1"/>
  <c r="FW7" i="1"/>
  <c r="DR7" i="1"/>
  <c r="GV10" i="1"/>
  <c r="FW10" i="1"/>
  <c r="DR10" i="1"/>
  <c r="V10" i="1"/>
  <c r="GV9" i="1"/>
  <c r="FW9" i="1"/>
  <c r="DR9" i="1"/>
  <c r="AY9" i="1"/>
  <c r="V9" i="1"/>
  <c r="U9" i="1"/>
  <c r="T9" i="1"/>
  <c r="GV2" i="1"/>
  <c r="FW2" i="1"/>
  <c r="AY2" i="1"/>
  <c r="V2" i="1"/>
  <c r="U2" i="1"/>
  <c r="T2" i="1"/>
  <c r="DR34" i="1"/>
  <c r="V4" i="1"/>
  <c r="DR33" i="1"/>
  <c r="DR38" i="1"/>
  <c r="FW56" i="1"/>
  <c r="GN13" i="1" l="1"/>
  <c r="GM13" i="1"/>
  <c r="GN31" i="1"/>
  <c r="GM31" i="1"/>
  <c r="GN10" i="1"/>
  <c r="GM10" i="1"/>
  <c r="GN26" i="1"/>
  <c r="GM26" i="1"/>
  <c r="GN27" i="1"/>
  <c r="GM27" i="1"/>
  <c r="GN51" i="1"/>
  <c r="HN51" i="1" s="1"/>
  <c r="GM51" i="1"/>
  <c r="GN2" i="1"/>
  <c r="GM2" i="1"/>
  <c r="GN20" i="1"/>
  <c r="GM20" i="1"/>
  <c r="GN18" i="1"/>
  <c r="HS18" i="1" s="1"/>
  <c r="GM18" i="1"/>
  <c r="GN38" i="1"/>
  <c r="HT38" i="1" s="1"/>
  <c r="HU38" i="1" s="1"/>
  <c r="GM38" i="1"/>
  <c r="GN28" i="1"/>
  <c r="GM28" i="1"/>
  <c r="GN6" i="1"/>
  <c r="GM6" i="1"/>
  <c r="GN30" i="1"/>
  <c r="HS30" i="1" s="1"/>
  <c r="GM30" i="1"/>
  <c r="GN25" i="1"/>
  <c r="GM25" i="1"/>
  <c r="GN40" i="1"/>
  <c r="GM40" i="1"/>
  <c r="GM32" i="1"/>
  <c r="GN32" i="1"/>
  <c r="GN86" i="1"/>
  <c r="GM86" i="1"/>
  <c r="GN72" i="1"/>
  <c r="HN72" i="1" s="1"/>
  <c r="GM72" i="1"/>
  <c r="GN58" i="1"/>
  <c r="HS58" i="1" s="1"/>
  <c r="GM58" i="1"/>
  <c r="GN7" i="1"/>
  <c r="GM7" i="1"/>
  <c r="GN22" i="1"/>
  <c r="HT22" i="1" s="1"/>
  <c r="HU22" i="1" s="1"/>
  <c r="GM22" i="1"/>
  <c r="GN47" i="1"/>
  <c r="HT47" i="1" s="1"/>
  <c r="HU47" i="1" s="1"/>
  <c r="HV47" i="1" s="1"/>
  <c r="GM47" i="1"/>
  <c r="GN48" i="1"/>
  <c r="HN48" i="1" s="1"/>
  <c r="GM48" i="1"/>
  <c r="GN43" i="1"/>
  <c r="GM43" i="1"/>
  <c r="GN8" i="1"/>
  <c r="GM8" i="1"/>
  <c r="GN3" i="1"/>
  <c r="GM3" i="1"/>
  <c r="GN17" i="1"/>
  <c r="GQ17" i="1" s="1"/>
  <c r="GM17" i="1"/>
  <c r="GN21" i="1"/>
  <c r="GM21" i="1"/>
  <c r="GN34" i="1"/>
  <c r="GM34" i="1"/>
  <c r="GN56" i="1"/>
  <c r="HN56" i="1" s="1"/>
  <c r="GM56" i="1"/>
  <c r="GN73" i="1"/>
  <c r="HN73" i="1" s="1"/>
  <c r="GM73" i="1"/>
  <c r="GN9" i="1"/>
  <c r="GM9" i="1"/>
  <c r="GN4" i="1"/>
  <c r="GM4" i="1"/>
  <c r="GN12" i="1"/>
  <c r="GM12" i="1"/>
  <c r="GN11" i="1"/>
  <c r="GM11" i="1"/>
  <c r="GN24" i="1"/>
  <c r="GM24" i="1"/>
  <c r="GN33" i="1"/>
  <c r="GM33" i="1"/>
  <c r="GN55" i="1"/>
  <c r="HN55" i="1" s="1"/>
  <c r="GM55" i="1"/>
  <c r="GN54" i="1"/>
  <c r="HN54" i="1" s="1"/>
  <c r="GM54" i="1"/>
  <c r="GN5" i="1"/>
  <c r="GM5" i="1"/>
  <c r="GN19" i="1"/>
  <c r="GM19" i="1"/>
  <c r="GN14" i="1"/>
  <c r="GM14" i="1"/>
  <c r="GN15" i="1"/>
  <c r="GM15" i="1"/>
  <c r="GN16" i="1"/>
  <c r="GM16" i="1"/>
  <c r="GN23" i="1"/>
  <c r="GM23" i="1"/>
  <c r="GN35" i="1"/>
  <c r="GM35" i="1"/>
  <c r="GN29" i="1"/>
  <c r="GM29" i="1"/>
  <c r="GN61" i="1"/>
  <c r="HN61" i="1" s="1"/>
  <c r="GM61" i="1"/>
  <c r="GN63" i="1"/>
  <c r="HS63" i="1" s="1"/>
  <c r="GM63" i="1"/>
  <c r="GN62" i="1"/>
  <c r="HN62" i="1" s="1"/>
  <c r="GM62" i="1"/>
  <c r="GN36" i="1"/>
  <c r="GM36" i="1"/>
  <c r="GN37" i="1"/>
  <c r="GN77" i="1"/>
  <c r="HN77" i="1" s="1"/>
  <c r="GN69" i="1"/>
  <c r="HN69" i="1" s="1"/>
  <c r="GN64" i="1"/>
  <c r="HY53" i="1"/>
  <c r="GP134" i="1"/>
  <c r="GN134" i="1"/>
  <c r="HC134" i="1" s="1"/>
  <c r="GN76" i="1"/>
  <c r="HM37" i="1"/>
  <c r="GP37" i="1"/>
  <c r="GQ18" i="1"/>
  <c r="HY32" i="1"/>
  <c r="HX32" i="1"/>
  <c r="GQ38" i="1"/>
  <c r="HS38" i="1"/>
  <c r="HT51" i="1"/>
  <c r="HU51" i="1" s="1"/>
  <c r="HV51" i="1" s="1"/>
  <c r="HF138" i="1"/>
  <c r="HM32" i="1"/>
  <c r="HA138" i="1"/>
  <c r="GV138" i="1"/>
  <c r="FE19" i="1"/>
  <c r="BW19" i="1"/>
  <c r="BX19" i="1" s="1"/>
  <c r="AE61" i="1"/>
  <c r="AH138" i="1"/>
  <c r="BW36" i="1"/>
  <c r="BX36" i="1" s="1"/>
  <c r="BW27" i="1"/>
  <c r="BX27" i="1" s="1"/>
  <c r="BW23" i="1"/>
  <c r="BX23" i="1" s="1"/>
  <c r="BW15" i="1"/>
  <c r="BX15" i="1" s="1"/>
  <c r="BW31" i="1"/>
  <c r="BX31" i="1" s="1"/>
  <c r="FE11" i="1"/>
  <c r="BW11" i="1"/>
  <c r="BX11" i="1" s="1"/>
  <c r="BW32" i="1"/>
  <c r="BX32" i="1" s="1"/>
  <c r="BW29" i="1"/>
  <c r="BX29" i="1" s="1"/>
  <c r="BW25" i="1"/>
  <c r="BX25" i="1" s="1"/>
  <c r="BW18" i="1"/>
  <c r="BX18" i="1" s="1"/>
  <c r="BW21" i="1"/>
  <c r="BX21" i="1" s="1"/>
  <c r="BW20" i="1"/>
  <c r="BX20" i="1" s="1"/>
  <c r="FE13" i="1"/>
  <c r="BW13" i="1"/>
  <c r="BX13" i="1" s="1"/>
  <c r="BW34" i="1"/>
  <c r="BX34" i="1" s="1"/>
  <c r="BW58" i="1"/>
  <c r="BX58" i="1" s="1"/>
  <c r="BW38" i="1"/>
  <c r="BX38" i="1" s="1"/>
  <c r="BW35" i="1"/>
  <c r="BX35" i="1" s="1"/>
  <c r="BW30" i="1"/>
  <c r="BX30" i="1" s="1"/>
  <c r="BW17" i="1"/>
  <c r="BX17" i="1" s="1"/>
  <c r="BW14" i="1"/>
  <c r="BX14" i="1" s="1"/>
  <c r="BW40" i="1"/>
  <c r="BX40" i="1" s="1"/>
  <c r="BW33" i="1"/>
  <c r="BX33" i="1" s="1"/>
  <c r="BW28" i="1"/>
  <c r="BX28" i="1" s="1"/>
  <c r="BW37" i="1"/>
  <c r="BX37" i="1" s="1"/>
  <c r="BW24" i="1"/>
  <c r="BX24" i="1" s="1"/>
  <c r="BW16" i="1"/>
  <c r="BX16" i="1" s="1"/>
  <c r="BW22" i="1"/>
  <c r="BW12" i="1"/>
  <c r="BX12" i="1" s="1"/>
  <c r="BX54" i="1"/>
  <c r="BU54" i="1"/>
  <c r="BU43" i="1"/>
  <c r="BU58" i="1"/>
  <c r="BU35" i="1"/>
  <c r="BU30" i="1"/>
  <c r="BU17" i="1"/>
  <c r="BU14" i="1"/>
  <c r="BU41" i="1"/>
  <c r="BU33" i="1"/>
  <c r="BU28" i="1"/>
  <c r="BU37" i="1"/>
  <c r="BU16" i="1"/>
  <c r="BU22" i="1"/>
  <c r="BU61" i="1"/>
  <c r="BU48" i="1"/>
  <c r="BU36" i="1"/>
  <c r="BU27" i="1"/>
  <c r="BU26" i="1"/>
  <c r="BU15" i="1"/>
  <c r="BU31" i="1"/>
  <c r="BU51" i="1"/>
  <c r="BU47" i="1"/>
  <c r="BU32" i="1"/>
  <c r="BU29" i="1"/>
  <c r="BU21" i="1"/>
  <c r="BU20" i="1"/>
  <c r="BU40" i="1"/>
  <c r="HK17" i="1"/>
  <c r="ES67" i="1"/>
  <c r="HK12" i="1"/>
  <c r="HK22" i="1"/>
  <c r="ES49" i="1"/>
  <c r="FC68" i="1"/>
  <c r="B77" i="26" s="1" a="1"/>
  <c r="B77" i="26" s="1"/>
  <c r="ES68" i="1"/>
  <c r="ES54" i="1"/>
  <c r="ES52" i="1"/>
  <c r="ES65" i="1"/>
  <c r="ES66" i="1"/>
  <c r="FE66" i="1"/>
  <c r="HG36" i="1"/>
  <c r="HH36" i="1"/>
  <c r="HM36" i="1"/>
  <c r="HH77" i="1"/>
  <c r="HG77" i="1"/>
  <c r="HM77" i="1"/>
  <c r="HH134" i="1"/>
  <c r="HG134" i="1"/>
  <c r="HM134" i="1"/>
  <c r="IA62" i="1"/>
  <c r="GY86" i="1"/>
  <c r="GY72" i="1"/>
  <c r="GY22" i="1"/>
  <c r="GY35" i="1"/>
  <c r="GY40" i="1"/>
  <c r="GY47" i="1"/>
  <c r="GY4" i="1"/>
  <c r="GY13" i="1"/>
  <c r="GY29" i="1"/>
  <c r="GY33" i="1"/>
  <c r="HH53" i="1"/>
  <c r="HG53" i="1"/>
  <c r="HM53" i="1"/>
  <c r="GY54" i="1"/>
  <c r="GY69" i="1"/>
  <c r="GY63" i="1"/>
  <c r="GY64" i="1"/>
  <c r="GY6" i="1"/>
  <c r="GY19" i="1"/>
  <c r="GY25" i="1"/>
  <c r="GY55" i="1"/>
  <c r="GY26" i="1"/>
  <c r="GY9" i="1"/>
  <c r="GY7" i="1"/>
  <c r="GY3" i="1"/>
  <c r="GY14" i="1"/>
  <c r="GY31" i="1"/>
  <c r="GY21" i="1"/>
  <c r="GY30" i="1"/>
  <c r="GY23" i="1"/>
  <c r="GY37" i="1"/>
  <c r="GY38" i="1"/>
  <c r="GY27" i="1"/>
  <c r="GY32" i="1"/>
  <c r="GY43" i="1"/>
  <c r="HH69" i="1"/>
  <c r="HG69" i="1"/>
  <c r="HM69" i="1"/>
  <c r="GY56" i="1"/>
  <c r="GY73" i="1"/>
  <c r="GY76" i="1"/>
  <c r="GY8" i="1"/>
  <c r="GY12" i="1"/>
  <c r="GY11" i="1"/>
  <c r="GY48" i="1"/>
  <c r="GY10" i="1"/>
  <c r="GY5" i="1"/>
  <c r="GY20" i="1"/>
  <c r="GY15" i="1"/>
  <c r="GY28" i="1"/>
  <c r="GY17" i="1"/>
  <c r="GY16" i="1"/>
  <c r="GY18" i="1"/>
  <c r="GY24" i="1"/>
  <c r="GY42" i="1"/>
  <c r="GY36" i="1"/>
  <c r="GY34" i="1"/>
  <c r="GY41" i="1"/>
  <c r="GY51" i="1"/>
  <c r="GY77" i="1"/>
  <c r="GY62" i="1"/>
  <c r="IA76" i="1"/>
  <c r="IA22" i="1"/>
  <c r="GO41" i="1"/>
  <c r="FL62" i="1"/>
  <c r="J160" i="26"/>
  <c r="J163" i="26" s="1"/>
  <c r="D162" i="1"/>
  <c r="R180" i="1" s="1"/>
  <c r="HC44" i="1"/>
  <c r="HC57" i="1"/>
  <c r="ES50" i="1"/>
  <c r="ES58" i="1"/>
  <c r="FW49" i="1"/>
  <c r="HF135" i="1"/>
  <c r="AY17" i="1"/>
  <c r="AX138" i="1"/>
  <c r="AE58" i="1"/>
  <c r="BP138" i="1"/>
  <c r="FW58" i="1"/>
  <c r="FW50" i="1"/>
  <c r="BS42" i="1"/>
  <c r="BV42" i="1" s="1"/>
  <c r="BW42" i="1" s="1"/>
  <c r="BX42" i="1" s="1"/>
  <c r="HH37" i="1"/>
  <c r="HG37" i="1"/>
  <c r="HG32" i="1"/>
  <c r="GY2" i="1"/>
  <c r="FW40" i="1"/>
  <c r="FW66" i="1"/>
  <c r="FW93" i="1"/>
  <c r="FW57" i="1"/>
  <c r="FW45" i="1"/>
  <c r="FW67" i="1"/>
  <c r="FW94" i="1"/>
  <c r="FW54" i="1"/>
  <c r="FW68" i="1"/>
  <c r="FW95" i="1"/>
  <c r="FW44" i="1"/>
  <c r="FW46" i="1"/>
  <c r="FW52" i="1"/>
  <c r="FW65" i="1"/>
  <c r="FW91" i="1"/>
  <c r="DR32" i="1"/>
  <c r="DR66" i="1"/>
  <c r="FA111" i="1"/>
  <c r="BV111" i="1" s="1"/>
  <c r="BW111" i="1" s="1"/>
  <c r="BX111" i="1" s="1"/>
  <c r="FA93" i="1"/>
  <c r="FA89" i="1"/>
  <c r="FA87" i="1"/>
  <c r="FA91" i="1"/>
  <c r="AH135" i="1"/>
  <c r="AT134" i="1"/>
  <c r="W134" i="1"/>
  <c r="V27" i="1"/>
  <c r="IA45" i="1"/>
  <c r="D138" i="26"/>
  <c r="K136" i="26"/>
  <c r="E136" i="26"/>
  <c r="D137" i="26"/>
  <c r="B136" i="26"/>
  <c r="B160" i="26"/>
  <c r="K137" i="26"/>
  <c r="J138" i="26"/>
  <c r="E137" i="26"/>
  <c r="G160" i="26"/>
  <c r="G163" i="26" s="1"/>
  <c r="G136" i="26"/>
  <c r="C138" i="26"/>
  <c r="K138" i="26"/>
  <c r="B138" i="26"/>
  <c r="H136" i="26"/>
  <c r="H160" i="26"/>
  <c r="H163" i="26" s="1"/>
  <c r="H137" i="26"/>
  <c r="G137" i="26"/>
  <c r="F160" i="26"/>
  <c r="F163" i="26" s="1"/>
  <c r="E160" i="26"/>
  <c r="E163" i="26" s="1"/>
  <c r="C136" i="26"/>
  <c r="D136" i="26"/>
  <c r="J137" i="26"/>
  <c r="J136" i="26"/>
  <c r="I138" i="26"/>
  <c r="G138" i="26"/>
  <c r="F138" i="26"/>
  <c r="F137" i="26"/>
  <c r="I160" i="26"/>
  <c r="I163" i="26" s="1"/>
  <c r="D160" i="26"/>
  <c r="D163" i="26" s="1"/>
  <c r="B137" i="26"/>
  <c r="H138" i="26"/>
  <c r="I136" i="26"/>
  <c r="F136" i="26"/>
  <c r="I137" i="26"/>
  <c r="C137" i="26"/>
  <c r="C160" i="26"/>
  <c r="C163" i="26" s="1"/>
  <c r="E138" i="26"/>
  <c r="IA46" i="1"/>
  <c r="DR40" i="1"/>
  <c r="DR55" i="1"/>
  <c r="FA88" i="1"/>
  <c r="AY32" i="1"/>
  <c r="HG145" i="1"/>
  <c r="S40" i="1"/>
  <c r="W112" i="1"/>
  <c r="S112" i="1"/>
  <c r="AN16" i="1"/>
  <c r="AN28" i="1"/>
  <c r="S76" i="1"/>
  <c r="X76" i="1"/>
  <c r="S60" i="1"/>
  <c r="X60" i="1"/>
  <c r="W60" i="1"/>
  <c r="W64" i="1"/>
  <c r="S64" i="1"/>
  <c r="X64" i="1"/>
  <c r="W72" i="1"/>
  <c r="S72" i="1"/>
  <c r="X72" i="1"/>
  <c r="X59" i="1"/>
  <c r="S59" i="1"/>
  <c r="W59" i="1"/>
  <c r="S74" i="1"/>
  <c r="S75" i="1"/>
  <c r="W63" i="1"/>
  <c r="X63" i="1"/>
  <c r="S86" i="1"/>
  <c r="W86" i="1"/>
  <c r="X86" i="1"/>
  <c r="DR52" i="1"/>
  <c r="IA57" i="1"/>
  <c r="U31" i="1"/>
  <c r="T31" i="1"/>
  <c r="AY31" i="1"/>
  <c r="T58" i="1"/>
  <c r="FA95" i="1"/>
  <c r="DR65" i="1"/>
  <c r="HN57" i="1"/>
  <c r="T35" i="1"/>
  <c r="HG148" i="1"/>
  <c r="U35" i="1"/>
  <c r="U58" i="1"/>
  <c r="T10" i="1"/>
  <c r="AY35" i="1"/>
  <c r="HG142" i="1"/>
  <c r="U10" i="1"/>
  <c r="AY10" i="1"/>
  <c r="T32" i="1"/>
  <c r="DR57" i="1"/>
  <c r="HN46" i="1"/>
  <c r="BU23" i="1"/>
  <c r="DR58" i="1"/>
  <c r="HN45" i="1"/>
  <c r="S24" i="1"/>
  <c r="DR44" i="1"/>
  <c r="IA49" i="1"/>
  <c r="X43" i="1"/>
  <c r="AU134" i="1"/>
  <c r="AT50" i="1"/>
  <c r="W51" i="1"/>
  <c r="S77" i="1"/>
  <c r="DR45" i="1"/>
  <c r="AU53" i="1"/>
  <c r="W31" i="1"/>
  <c r="BU25" i="1"/>
  <c r="S3" i="1"/>
  <c r="S20" i="1"/>
  <c r="HK134" i="1"/>
  <c r="AR77" i="1"/>
  <c r="AT20" i="1"/>
  <c r="DR54" i="1"/>
  <c r="S50" i="1"/>
  <c r="HN52" i="1"/>
  <c r="AT77" i="1"/>
  <c r="AU51" i="1"/>
  <c r="X51" i="1"/>
  <c r="AU77" i="1"/>
  <c r="W20" i="1"/>
  <c r="W24" i="1"/>
  <c r="X31" i="1"/>
  <c r="S30" i="1"/>
  <c r="S51" i="1"/>
  <c r="AN27" i="1"/>
  <c r="W22" i="1"/>
  <c r="AT12" i="1"/>
  <c r="AN32" i="1"/>
  <c r="AS134" i="1"/>
  <c r="W50" i="1"/>
  <c r="X50" i="1"/>
  <c r="X32" i="1"/>
  <c r="HN44" i="1"/>
  <c r="T24" i="1"/>
  <c r="X36" i="1"/>
  <c r="AN36" i="1"/>
  <c r="X30" i="1"/>
  <c r="AN20" i="1"/>
  <c r="BU34" i="1"/>
  <c r="X22" i="1"/>
  <c r="AN31" i="1"/>
  <c r="X25" i="1"/>
  <c r="AV20" i="1"/>
  <c r="X14" i="1"/>
  <c r="S38" i="1"/>
  <c r="AS51" i="1"/>
  <c r="AU50" i="1"/>
  <c r="W36" i="1"/>
  <c r="IA54" i="1"/>
  <c r="X77" i="1"/>
  <c r="AS50" i="1"/>
  <c r="S27" i="1"/>
  <c r="AR14" i="1"/>
  <c r="AN12" i="1"/>
  <c r="X24" i="1"/>
  <c r="AR20" i="1"/>
  <c r="AS48" i="1"/>
  <c r="W77" i="1"/>
  <c r="AN38" i="1"/>
  <c r="S36" i="1"/>
  <c r="AU31" i="1"/>
  <c r="W12" i="1"/>
  <c r="AS12" i="1"/>
  <c r="W43" i="1"/>
  <c r="AV43" i="1"/>
  <c r="AU13" i="1"/>
  <c r="S43" i="1"/>
  <c r="S37" i="1"/>
  <c r="AN21" i="1"/>
  <c r="W40" i="1"/>
  <c r="AT43" i="1"/>
  <c r="AN43" i="1"/>
  <c r="IA44" i="1"/>
  <c r="IA52" i="1"/>
  <c r="T40" i="1"/>
  <c r="AV37" i="1"/>
  <c r="AU37" i="1"/>
  <c r="AN10" i="1"/>
  <c r="DR46" i="1"/>
  <c r="AT37" i="1"/>
  <c r="AR13" i="1"/>
  <c r="AV40" i="1"/>
  <c r="HN86" i="1"/>
  <c r="BU18" i="1"/>
  <c r="X41" i="1"/>
  <c r="AV73" i="1"/>
  <c r="AS73" i="1"/>
  <c r="AU73" i="1"/>
  <c r="W73" i="1"/>
  <c r="X73" i="1"/>
  <c r="AR73" i="1"/>
  <c r="AT73" i="1"/>
  <c r="T26" i="1"/>
  <c r="S26" i="1"/>
  <c r="AR42" i="1"/>
  <c r="AT42" i="1"/>
  <c r="HK36" i="1"/>
  <c r="AN34" i="1"/>
  <c r="W56" i="1"/>
  <c r="U56" i="1"/>
  <c r="T73" i="1"/>
  <c r="S73" i="1"/>
  <c r="AN18" i="1"/>
  <c r="V69" i="1"/>
  <c r="U69" i="1"/>
  <c r="X56" i="1"/>
  <c r="AR56" i="1"/>
  <c r="AT56" i="1"/>
  <c r="AT18" i="1"/>
  <c r="AS72" i="1"/>
  <c r="W29" i="1"/>
  <c r="W42" i="1"/>
  <c r="AS56" i="1"/>
  <c r="X12" i="1"/>
  <c r="S12" i="1"/>
  <c r="X20" i="1"/>
  <c r="AN19" i="1"/>
  <c r="F243" i="1"/>
  <c r="S22" i="1"/>
  <c r="S32" i="1"/>
  <c r="F162" i="1"/>
  <c r="R182" i="1" s="1"/>
  <c r="AN41" i="1"/>
  <c r="X35" i="1"/>
  <c r="AR37" i="1"/>
  <c r="DR41" i="1"/>
  <c r="AT31" i="1"/>
  <c r="W30" i="1"/>
  <c r="S41" i="1"/>
  <c r="AT40" i="1"/>
  <c r="X38" i="1"/>
  <c r="X37" i="1"/>
  <c r="AV13" i="1"/>
  <c r="AN23" i="1"/>
  <c r="S14" i="1"/>
  <c r="W13" i="1"/>
  <c r="AN24" i="1"/>
  <c r="AV31" i="1"/>
  <c r="AS13" i="1"/>
  <c r="HK10" i="1"/>
  <c r="S9" i="1"/>
  <c r="S54" i="1"/>
  <c r="AT54" i="1"/>
  <c r="AS69" i="1"/>
  <c r="GS135" i="1"/>
  <c r="X62" i="1"/>
  <c r="W62" i="1"/>
  <c r="X69" i="1"/>
  <c r="W69" i="1"/>
  <c r="HK9" i="1"/>
  <c r="AN4" i="1"/>
  <c r="W3" i="1"/>
  <c r="AN17" i="1"/>
  <c r="S17" i="1"/>
  <c r="AR18" i="1"/>
  <c r="X18" i="1"/>
  <c r="W18" i="1"/>
  <c r="HK18" i="1"/>
  <c r="AU18" i="1"/>
  <c r="AN26" i="1"/>
  <c r="AN29" i="1"/>
  <c r="X29" i="1"/>
  <c r="S29" i="1"/>
  <c r="AU42" i="1"/>
  <c r="AS42" i="1"/>
  <c r="AV42" i="1"/>
  <c r="X42" i="1"/>
  <c r="S42" i="1"/>
  <c r="HH32" i="1"/>
  <c r="HK33" i="1"/>
  <c r="HK34" i="1"/>
  <c r="W55" i="1"/>
  <c r="V55" i="1"/>
  <c r="V41" i="1"/>
  <c r="W41" i="1"/>
  <c r="HN134" i="1"/>
  <c r="IA134" i="1"/>
  <c r="GV135" i="1"/>
  <c r="X54" i="1"/>
  <c r="AS18" i="1"/>
  <c r="W9" i="1"/>
  <c r="X8" i="1"/>
  <c r="S8" i="1"/>
  <c r="S18" i="1"/>
  <c r="AN6" i="1"/>
  <c r="X13" i="1"/>
  <c r="AU14" i="1"/>
  <c r="AT13" i="1"/>
  <c r="AN30" i="1"/>
  <c r="W2" i="1"/>
  <c r="X2" i="1"/>
  <c r="S2" i="1"/>
  <c r="IA77" i="1"/>
  <c r="GU2" i="1"/>
  <c r="DR50" i="1"/>
  <c r="AU12" i="1"/>
  <c r="AV12" i="1"/>
  <c r="S19" i="1"/>
  <c r="W19" i="1"/>
  <c r="AU20" i="1"/>
  <c r="AS37" i="1"/>
  <c r="DR49" i="1"/>
  <c r="HK13" i="1"/>
  <c r="S13" i="1"/>
  <c r="IA73" i="1"/>
  <c r="X48" i="1"/>
  <c r="DR67" i="1"/>
  <c r="AV14" i="1"/>
  <c r="AS14" i="1"/>
  <c r="AT14" i="1"/>
  <c r="W14" i="1"/>
  <c r="AN14" i="1"/>
  <c r="S31" i="1"/>
  <c r="X21" i="1"/>
  <c r="W21" i="1"/>
  <c r="AT21" i="1"/>
  <c r="AN11" i="1"/>
  <c r="X11" i="1"/>
  <c r="W11" i="1"/>
  <c r="W23" i="1"/>
  <c r="S23" i="1"/>
  <c r="AN35" i="1"/>
  <c r="W35" i="1"/>
  <c r="AU21" i="1"/>
  <c r="AN8" i="1"/>
  <c r="W25" i="1"/>
  <c r="T61" i="1"/>
  <c r="AV38" i="1"/>
  <c r="X40" i="1"/>
  <c r="AU38" i="1"/>
  <c r="W8" i="1"/>
  <c r="AN25" i="1"/>
  <c r="AU40" i="1"/>
  <c r="W38" i="1"/>
  <c r="DR68" i="1"/>
  <c r="DR56" i="1"/>
  <c r="W4" i="1"/>
  <c r="AN3" i="1"/>
  <c r="X3" i="1"/>
  <c r="AN7" i="1"/>
  <c r="AN9" i="1"/>
  <c r="X9" i="1"/>
  <c r="X134" i="1"/>
  <c r="AV134" i="1"/>
  <c r="S134" i="1"/>
  <c r="T3" i="1"/>
  <c r="X26" i="1"/>
  <c r="W26" i="1"/>
  <c r="AU54" i="1"/>
  <c r="AR54" i="1"/>
  <c r="W54" i="1"/>
  <c r="AS54" i="1"/>
  <c r="S69" i="1"/>
  <c r="AU69" i="1"/>
  <c r="AT69" i="1"/>
  <c r="W37" i="1"/>
  <c r="U55" i="1"/>
  <c r="S25" i="1"/>
  <c r="W27" i="1"/>
  <c r="X27" i="1"/>
  <c r="T11" i="1"/>
  <c r="S11" i="1"/>
  <c r="AV55" i="1"/>
  <c r="AU55" i="1"/>
  <c r="AR53" i="1"/>
  <c r="S53" i="1"/>
  <c r="AS53" i="1"/>
  <c r="AT53" i="1"/>
  <c r="W53" i="1"/>
  <c r="X53" i="1"/>
  <c r="AD168" i="1"/>
  <c r="E243" i="1"/>
  <c r="T6" i="1"/>
  <c r="S6" i="1"/>
  <c r="AU6" i="1"/>
  <c r="X6" i="1"/>
  <c r="W6" i="1"/>
  <c r="AT6" i="1"/>
  <c r="T15" i="1"/>
  <c r="AN15" i="1"/>
  <c r="BU38" i="1"/>
  <c r="HK2" i="1"/>
  <c r="AV18" i="1"/>
  <c r="X23" i="1"/>
  <c r="AN37" i="1"/>
  <c r="W48" i="1"/>
  <c r="S21" i="1"/>
  <c r="IA69" i="1"/>
  <c r="I162" i="1"/>
  <c r="G162" i="1"/>
  <c r="R181" i="1" s="1"/>
  <c r="HN49" i="1"/>
  <c r="S10" i="1"/>
  <c r="X17" i="1"/>
  <c r="HA135" i="1"/>
  <c r="W10" i="1"/>
  <c r="X10" i="1"/>
  <c r="DR43" i="1"/>
  <c r="G243" i="1"/>
  <c r="C234" i="1"/>
  <c r="AE168" i="1"/>
  <c r="D243" i="1"/>
  <c r="H162" i="1"/>
  <c r="BU24" i="1"/>
  <c r="P168" i="1"/>
  <c r="J162" i="1"/>
  <c r="C243" i="1"/>
  <c r="FA94" i="1"/>
  <c r="HS47" i="1" l="1"/>
  <c r="GQ72" i="1"/>
  <c r="HT62" i="1"/>
  <c r="HU62" i="1" s="1"/>
  <c r="HV62" i="1" s="1"/>
  <c r="HS72" i="1"/>
  <c r="HT72" i="1"/>
  <c r="HU72" i="1" s="1"/>
  <c r="HV72" i="1" s="1"/>
  <c r="HT73" i="1"/>
  <c r="HU73" i="1" s="1"/>
  <c r="HV73" i="1" s="1"/>
  <c r="HT17" i="1"/>
  <c r="HU17" i="1" s="1"/>
  <c r="HN63" i="1"/>
  <c r="HC30" i="1"/>
  <c r="GO58" i="1"/>
  <c r="FL22" i="1"/>
  <c r="HS73" i="1"/>
  <c r="HS17" i="1"/>
  <c r="FL17" i="1"/>
  <c r="HT58" i="1"/>
  <c r="HU58" i="1" s="1"/>
  <c r="HV58" i="1" s="1"/>
  <c r="GQ73" i="1"/>
  <c r="HT30" i="1"/>
  <c r="HU30" i="1" s="1"/>
  <c r="HS22" i="1"/>
  <c r="HT18" i="1"/>
  <c r="HU18" i="1" s="1"/>
  <c r="HS54" i="1"/>
  <c r="GQ30" i="1"/>
  <c r="GQ22" i="1"/>
  <c r="HT63" i="1"/>
  <c r="HU63" i="1" s="1"/>
  <c r="HV63" i="1" s="1"/>
  <c r="HS56" i="1"/>
  <c r="HS77" i="1"/>
  <c r="GQ63" i="1"/>
  <c r="HS62" i="1"/>
  <c r="GQ51" i="1"/>
  <c r="GQ58" i="1"/>
  <c r="HT56" i="1"/>
  <c r="HU56" i="1" s="1"/>
  <c r="HV56" i="1" s="1"/>
  <c r="GQ62" i="1"/>
  <c r="HS51" i="1"/>
  <c r="GQ54" i="1"/>
  <c r="HT54" i="1"/>
  <c r="HU54" i="1" s="1"/>
  <c r="HV54" i="1" s="1"/>
  <c r="GQ56" i="1"/>
  <c r="K160" i="26"/>
  <c r="K163" i="26" s="1"/>
  <c r="H12" i="26"/>
  <c r="B9" i="26"/>
  <c r="B11" i="26"/>
  <c r="B5" i="26"/>
  <c r="B7" i="26"/>
  <c r="B6" i="26"/>
  <c r="B10" i="26"/>
  <c r="B8" i="26"/>
  <c r="AM61" i="1"/>
  <c r="HK61" i="1"/>
  <c r="HV76" i="1"/>
  <c r="HN76" i="1"/>
  <c r="HT64" i="1"/>
  <c r="HU64" i="1" s="1"/>
  <c r="HV64" i="1" s="1"/>
  <c r="HN64" i="1"/>
  <c r="HC64" i="1"/>
  <c r="HS64" i="1"/>
  <c r="GQ64" i="1"/>
  <c r="HX53" i="1"/>
  <c r="HS76" i="1"/>
  <c r="GQ76" i="1"/>
  <c r="HT76" i="1"/>
  <c r="HY37" i="1"/>
  <c r="HX37" i="1"/>
  <c r="AM58" i="1"/>
  <c r="H21" i="26"/>
  <c r="HS28" i="1"/>
  <c r="HT28" i="1"/>
  <c r="HU28" i="1" s="1"/>
  <c r="HS14" i="1"/>
  <c r="HT14" i="1"/>
  <c r="HU14" i="1" s="1"/>
  <c r="HS16" i="1"/>
  <c r="HT16" i="1"/>
  <c r="HU16" i="1" s="1"/>
  <c r="HS12" i="1"/>
  <c r="HT12" i="1"/>
  <c r="HU12" i="1" s="1"/>
  <c r="HS27" i="1"/>
  <c r="HT27" i="1"/>
  <c r="HU27" i="1" s="1"/>
  <c r="HS23" i="1"/>
  <c r="HT23" i="1"/>
  <c r="HU23" i="1" s="1"/>
  <c r="HS31" i="1"/>
  <c r="HT31" i="1"/>
  <c r="HU31" i="1" s="1"/>
  <c r="HS19" i="1"/>
  <c r="HT19" i="1"/>
  <c r="HU19" i="1" s="1"/>
  <c r="GQ9" i="1"/>
  <c r="HS9" i="1"/>
  <c r="HT9" i="1"/>
  <c r="HU9" i="1" s="1"/>
  <c r="GQ13" i="1"/>
  <c r="HS13" i="1"/>
  <c r="HT13" i="1"/>
  <c r="HU13" i="1" s="1"/>
  <c r="HS2" i="1"/>
  <c r="HT2" i="1"/>
  <c r="HS34" i="1"/>
  <c r="HT34" i="1"/>
  <c r="HU34" i="1" s="1"/>
  <c r="HS20" i="1"/>
  <c r="HT20" i="1"/>
  <c r="HU20" i="1" s="1"/>
  <c r="GQ6" i="1"/>
  <c r="HS6" i="1"/>
  <c r="HT6" i="1"/>
  <c r="HU6" i="1" s="1"/>
  <c r="GQ3" i="1"/>
  <c r="HS3" i="1"/>
  <c r="HT3" i="1"/>
  <c r="HU3" i="1" s="1"/>
  <c r="HS24" i="1"/>
  <c r="HT24" i="1"/>
  <c r="HU24" i="1" s="1"/>
  <c r="HS11" i="1"/>
  <c r="HT11" i="1"/>
  <c r="HU11" i="1" s="1"/>
  <c r="HS37" i="1"/>
  <c r="HT37" i="1"/>
  <c r="HU37" i="1" s="1"/>
  <c r="HS25" i="1"/>
  <c r="HT25" i="1"/>
  <c r="HU25" i="1" s="1"/>
  <c r="GQ35" i="1"/>
  <c r="HS35" i="1"/>
  <c r="HT35" i="1"/>
  <c r="HU35" i="1" s="1"/>
  <c r="GQ32" i="1"/>
  <c r="HS32" i="1"/>
  <c r="HT32" i="1"/>
  <c r="HU32" i="1" s="1"/>
  <c r="HS7" i="1"/>
  <c r="HT7" i="1"/>
  <c r="HU7" i="1" s="1"/>
  <c r="GQ10" i="1"/>
  <c r="HS10" i="1"/>
  <c r="HT10" i="1"/>
  <c r="HU10" i="1" s="1"/>
  <c r="HS21" i="1"/>
  <c r="HT21" i="1"/>
  <c r="HU21" i="1" s="1"/>
  <c r="HS26" i="1"/>
  <c r="HT26" i="1"/>
  <c r="HU26" i="1" s="1"/>
  <c r="HS36" i="1"/>
  <c r="HT36" i="1"/>
  <c r="HU36" i="1" s="1"/>
  <c r="HV36" i="1" s="1"/>
  <c r="GQ33" i="1"/>
  <c r="HS33" i="1"/>
  <c r="HT33" i="1"/>
  <c r="HU33" i="1" s="1"/>
  <c r="GQ5" i="1"/>
  <c r="HS5" i="1"/>
  <c r="HT5" i="1"/>
  <c r="HU5" i="1" s="1"/>
  <c r="HT8" i="1"/>
  <c r="HU8" i="1" s="1"/>
  <c r="HS8" i="1"/>
  <c r="HS29" i="1"/>
  <c r="HT29" i="1"/>
  <c r="HU29" i="1" s="1"/>
  <c r="HS15" i="1"/>
  <c r="HT15" i="1"/>
  <c r="HU15" i="1" s="1"/>
  <c r="GQ4" i="1"/>
  <c r="HS4" i="1"/>
  <c r="HT4" i="1"/>
  <c r="HU4" i="1" s="1"/>
  <c r="HT86" i="1"/>
  <c r="HU86" i="1" s="1"/>
  <c r="HS86" i="1"/>
  <c r="GQ77" i="1"/>
  <c r="HT77" i="1"/>
  <c r="HU77" i="1" s="1"/>
  <c r="HV77" i="1" s="1"/>
  <c r="GQ134" i="1"/>
  <c r="HT134" i="1"/>
  <c r="HU134" i="1" s="1"/>
  <c r="HS134" i="1"/>
  <c r="GQ69" i="1"/>
  <c r="HS69" i="1"/>
  <c r="HT69" i="1"/>
  <c r="HU69" i="1" s="1"/>
  <c r="HV69" i="1" s="1"/>
  <c r="GQ48" i="1"/>
  <c r="HT48" i="1"/>
  <c r="HU48" i="1" s="1"/>
  <c r="HV48" i="1" s="1"/>
  <c r="HS48" i="1"/>
  <c r="HT61" i="1"/>
  <c r="HU61" i="1" s="1"/>
  <c r="HV61" i="1" s="1"/>
  <c r="HS61" i="1"/>
  <c r="GQ36" i="1"/>
  <c r="GQ55" i="1"/>
  <c r="HT55" i="1"/>
  <c r="HU55" i="1" s="1"/>
  <c r="HV55" i="1" s="1"/>
  <c r="HS55" i="1"/>
  <c r="HT40" i="1"/>
  <c r="HU40" i="1" s="1"/>
  <c r="HV40" i="1" s="1"/>
  <c r="HS40" i="1"/>
  <c r="HT43" i="1"/>
  <c r="HU43" i="1" s="1"/>
  <c r="HV43" i="1" s="1"/>
  <c r="HS43" i="1"/>
  <c r="S4" i="1"/>
  <c r="X4" i="1"/>
  <c r="FL55" i="1"/>
  <c r="HC34" i="1"/>
  <c r="GQ34" i="1"/>
  <c r="FL20" i="1"/>
  <c r="GQ20" i="1"/>
  <c r="HC24" i="1"/>
  <c r="GQ24" i="1"/>
  <c r="HC11" i="1"/>
  <c r="GQ11" i="1"/>
  <c r="FL37" i="1"/>
  <c r="GQ37" i="1"/>
  <c r="GO25" i="1"/>
  <c r="GQ25" i="1"/>
  <c r="GO47" i="1"/>
  <c r="GQ47" i="1"/>
  <c r="FL61" i="1"/>
  <c r="GQ61" i="1"/>
  <c r="FL8" i="1"/>
  <c r="GQ8" i="1"/>
  <c r="GO29" i="1"/>
  <c r="GQ29" i="1"/>
  <c r="GO86" i="1"/>
  <c r="GQ86" i="1"/>
  <c r="FL15" i="1"/>
  <c r="GQ15" i="1"/>
  <c r="FL7" i="1"/>
  <c r="GQ7" i="1"/>
  <c r="GQ28" i="1"/>
  <c r="GO43" i="1"/>
  <c r="GQ43" i="1"/>
  <c r="FL14" i="1"/>
  <c r="GQ14" i="1"/>
  <c r="FL40" i="1"/>
  <c r="GQ40" i="1"/>
  <c r="FL2" i="1"/>
  <c r="GQ2" i="1"/>
  <c r="FL21" i="1"/>
  <c r="GQ21" i="1"/>
  <c r="FL16" i="1"/>
  <c r="GQ16" i="1"/>
  <c r="FL12" i="1"/>
  <c r="GQ12" i="1"/>
  <c r="HC27" i="1"/>
  <c r="GQ27" i="1"/>
  <c r="GR23" i="1"/>
  <c r="GQ23" i="1"/>
  <c r="GQ31" i="1"/>
  <c r="GO26" i="1"/>
  <c r="GQ26" i="1"/>
  <c r="GR19" i="1"/>
  <c r="GQ19" i="1"/>
  <c r="BF61" i="1"/>
  <c r="I43" i="26"/>
  <c r="K44" i="26"/>
  <c r="J45" i="26"/>
  <c r="J44" i="26"/>
  <c r="I44" i="26"/>
  <c r="I45" i="26"/>
  <c r="K45" i="26"/>
  <c r="K43" i="26"/>
  <c r="J43" i="26"/>
  <c r="BX22" i="1"/>
  <c r="BW142" i="1"/>
  <c r="AF61" i="1"/>
  <c r="F20" i="26"/>
  <c r="B20" i="26"/>
  <c r="F17" i="26"/>
  <c r="F16" i="26"/>
  <c r="B18" i="26"/>
  <c r="B17" i="26"/>
  <c r="F18" i="26"/>
  <c r="F19" i="26"/>
  <c r="B19" i="26"/>
  <c r="AN61" i="1"/>
  <c r="W61" i="1"/>
  <c r="HH61" i="1"/>
  <c r="HG61" i="1"/>
  <c r="Z61" i="1"/>
  <c r="GY61" i="1"/>
  <c r="GU61" i="1"/>
  <c r="AF58" i="1"/>
  <c r="BU111" i="1"/>
  <c r="BU12" i="1"/>
  <c r="BU42" i="1"/>
  <c r="L160" i="26"/>
  <c r="L163" i="26" s="1"/>
  <c r="B163" i="26"/>
  <c r="I34" i="26"/>
  <c r="H34" i="26"/>
  <c r="AE138" i="1"/>
  <c r="K32" i="26"/>
  <c r="K34" i="26"/>
  <c r="K25" i="26"/>
  <c r="K26" i="26"/>
  <c r="K29" i="26"/>
  <c r="K31" i="26"/>
  <c r="K30" i="26"/>
  <c r="K27" i="26"/>
  <c r="K33" i="26"/>
  <c r="K28" i="26"/>
  <c r="GO31" i="1"/>
  <c r="HC28" i="1"/>
  <c r="GO23" i="1"/>
  <c r="GO35" i="1"/>
  <c r="GO27" i="1"/>
  <c r="GO40" i="1"/>
  <c r="GO76" i="1"/>
  <c r="GO37" i="1"/>
  <c r="GO61" i="1"/>
  <c r="GO24" i="1"/>
  <c r="GR76" i="1"/>
  <c r="GR12" i="1"/>
  <c r="FC94" i="1"/>
  <c r="FE94" i="1" s="1"/>
  <c r="FC88" i="1"/>
  <c r="FE88" i="1" s="1"/>
  <c r="FC89" i="1"/>
  <c r="FE89" i="1" s="1"/>
  <c r="FC91" i="1"/>
  <c r="FE91" i="1" s="1"/>
  <c r="FC93" i="1"/>
  <c r="FE93" i="1" s="1"/>
  <c r="FC95" i="1"/>
  <c r="FE95" i="1" s="1"/>
  <c r="FC87" i="1"/>
  <c r="FC111" i="1"/>
  <c r="FE111" i="1" s="1"/>
  <c r="GR35" i="1"/>
  <c r="HN27" i="1"/>
  <c r="GO30" i="1"/>
  <c r="GR30" i="1"/>
  <c r="FL30" i="1"/>
  <c r="GR14" i="1"/>
  <c r="GR64" i="1"/>
  <c r="GR40" i="1"/>
  <c r="HN11" i="1"/>
  <c r="FL31" i="1"/>
  <c r="GR31" i="1"/>
  <c r="FL35" i="1"/>
  <c r="HC73" i="1"/>
  <c r="FL73" i="1"/>
  <c r="HC18" i="1"/>
  <c r="FL18" i="1"/>
  <c r="HC38" i="1"/>
  <c r="FL38" i="1"/>
  <c r="FL3" i="1"/>
  <c r="FL43" i="1"/>
  <c r="FL47" i="1"/>
  <c r="HC9" i="1"/>
  <c r="FL9" i="1"/>
  <c r="HC13" i="1"/>
  <c r="FL13" i="1"/>
  <c r="HC10" i="1"/>
  <c r="FL10" i="1"/>
  <c r="FL56" i="1"/>
  <c r="HC41" i="1"/>
  <c r="FL41" i="1"/>
  <c r="HC86" i="1"/>
  <c r="FL86" i="1"/>
  <c r="HN28" i="1"/>
  <c r="HC23" i="1"/>
  <c r="FL23" i="1"/>
  <c r="HC19" i="1"/>
  <c r="FL19" i="1"/>
  <c r="HC58" i="1"/>
  <c r="FL58" i="1"/>
  <c r="FL4" i="1"/>
  <c r="GO48" i="1"/>
  <c r="FL48" i="1"/>
  <c r="GO36" i="1"/>
  <c r="FL36" i="1"/>
  <c r="FL54" i="1"/>
  <c r="FL134" i="1"/>
  <c r="FL32" i="1"/>
  <c r="HN24" i="1"/>
  <c r="FL24" i="1"/>
  <c r="FL11" i="1"/>
  <c r="HC25" i="1"/>
  <c r="FL25" i="1"/>
  <c r="HC77" i="1"/>
  <c r="FL77" i="1"/>
  <c r="GO69" i="1"/>
  <c r="FL69" i="1"/>
  <c r="FL5" i="1"/>
  <c r="FL6" i="1"/>
  <c r="HC51" i="1"/>
  <c r="FL51" i="1"/>
  <c r="HC63" i="1"/>
  <c r="HC72" i="1"/>
  <c r="HC62" i="1"/>
  <c r="GR72" i="1"/>
  <c r="GR55" i="1"/>
  <c r="HC76" i="1"/>
  <c r="GO62" i="1"/>
  <c r="FE57" i="1"/>
  <c r="GO38" i="1"/>
  <c r="GO72" i="1"/>
  <c r="GO51" i="1"/>
  <c r="GO63" i="1"/>
  <c r="GR63" i="1"/>
  <c r="GO54" i="1"/>
  <c r="HC54" i="1"/>
  <c r="GO33" i="1"/>
  <c r="HC33" i="1"/>
  <c r="HC21" i="1"/>
  <c r="HN21" i="1"/>
  <c r="HC15" i="1"/>
  <c r="HN15" i="1"/>
  <c r="HC69" i="1"/>
  <c r="HC31" i="1"/>
  <c r="HN31" i="1"/>
  <c r="HC26" i="1"/>
  <c r="HN26" i="1"/>
  <c r="HC40" i="1"/>
  <c r="HN40" i="1"/>
  <c r="HG58" i="1"/>
  <c r="HH58" i="1"/>
  <c r="HC20" i="1"/>
  <c r="HN20" i="1"/>
  <c r="HC17" i="1"/>
  <c r="HN17" i="1"/>
  <c r="HC12" i="1"/>
  <c r="HN12" i="1"/>
  <c r="HC22" i="1"/>
  <c r="HN22" i="1"/>
  <c r="HC36" i="1"/>
  <c r="GO55" i="1"/>
  <c r="HC55" i="1"/>
  <c r="GO56" i="1"/>
  <c r="HC56" i="1"/>
  <c r="HC14" i="1"/>
  <c r="HN14" i="1"/>
  <c r="GY58" i="1"/>
  <c r="HC35" i="1"/>
  <c r="HN35" i="1"/>
  <c r="HC7" i="1"/>
  <c r="HN7" i="1"/>
  <c r="HC16" i="1"/>
  <c r="HN16" i="1"/>
  <c r="HC8" i="1"/>
  <c r="HN8" i="1"/>
  <c r="HC29" i="1"/>
  <c r="HN29" i="1"/>
  <c r="IA40" i="1"/>
  <c r="IA17" i="1"/>
  <c r="IA7" i="1"/>
  <c r="IA12" i="1"/>
  <c r="IA8" i="1"/>
  <c r="GR62" i="1"/>
  <c r="GR86" i="1"/>
  <c r="GR41" i="1"/>
  <c r="GR20" i="1"/>
  <c r="GR38" i="1"/>
  <c r="Z58" i="1"/>
  <c r="B16" i="26"/>
  <c r="B15" i="26"/>
  <c r="F15" i="26"/>
  <c r="FW138" i="1"/>
  <c r="GO2" i="1"/>
  <c r="GO32" i="1"/>
  <c r="GO9" i="1"/>
  <c r="GO13" i="1"/>
  <c r="HC6" i="1"/>
  <c r="GO6" i="1"/>
  <c r="GO14" i="1"/>
  <c r="HC5" i="1"/>
  <c r="GO5" i="1"/>
  <c r="FL64" i="1"/>
  <c r="GO64" i="1"/>
  <c r="GO21" i="1"/>
  <c r="GO19" i="1"/>
  <c r="GO18" i="1"/>
  <c r="GO22" i="1"/>
  <c r="GO28" i="1"/>
  <c r="GO20" i="1"/>
  <c r="GO77" i="1"/>
  <c r="GO7" i="1"/>
  <c r="GO73" i="1"/>
  <c r="GO8" i="1"/>
  <c r="HC3" i="1"/>
  <c r="GO3" i="1"/>
  <c r="GO11" i="1"/>
  <c r="GO12" i="1"/>
  <c r="GO16" i="1"/>
  <c r="GO10" i="1"/>
  <c r="HC4" i="1"/>
  <c r="GO4" i="1"/>
  <c r="GO15" i="1"/>
  <c r="GO134" i="1"/>
  <c r="GO34" i="1"/>
  <c r="GO17" i="1"/>
  <c r="G248" i="26"/>
  <c r="B249" i="26"/>
  <c r="B247" i="26"/>
  <c r="B248" i="26"/>
  <c r="FL76" i="1"/>
  <c r="FL33" i="1"/>
  <c r="HC48" i="1"/>
  <c r="FL63" i="1"/>
  <c r="FL29" i="1"/>
  <c r="HC61" i="1"/>
  <c r="FL72" i="1"/>
  <c r="HC43" i="1"/>
  <c r="HC47" i="1"/>
  <c r="HN37" i="1"/>
  <c r="FL26" i="1"/>
  <c r="HC32" i="1"/>
  <c r="AY138" i="1"/>
  <c r="ES138" i="1"/>
  <c r="FE54" i="1"/>
  <c r="FE45" i="1"/>
  <c r="B116" i="26"/>
  <c r="D21" i="26"/>
  <c r="D226" i="1"/>
  <c r="D230" i="1"/>
  <c r="B14" i="26"/>
  <c r="B123" i="26"/>
  <c r="B12" i="26"/>
  <c r="B115" i="26"/>
  <c r="B126" i="26"/>
  <c r="D224" i="1"/>
  <c r="D225" i="1"/>
  <c r="HG156" i="1"/>
  <c r="AN58" i="1"/>
  <c r="W58" i="1"/>
  <c r="FE65" i="1"/>
  <c r="FE52" i="1"/>
  <c r="B122" i="26"/>
  <c r="B130" i="26"/>
  <c r="B114" i="26"/>
  <c r="D232" i="1"/>
  <c r="D233" i="1"/>
  <c r="D231" i="1"/>
  <c r="B13" i="26"/>
  <c r="X58" i="1"/>
  <c r="GU58" i="1"/>
  <c r="B127" i="26"/>
  <c r="B125" i="26"/>
  <c r="B131" i="26"/>
  <c r="G249" i="26"/>
  <c r="D227" i="1"/>
  <c r="D229" i="1"/>
  <c r="FE49" i="1"/>
  <c r="HJ58" i="1"/>
  <c r="I31" i="26"/>
  <c r="FE68" i="1"/>
  <c r="FE67" i="1"/>
  <c r="FE46" i="1"/>
  <c r="B128" i="26"/>
  <c r="B129" i="26"/>
  <c r="B124" i="26"/>
  <c r="B117" i="26"/>
  <c r="HC37" i="1"/>
  <c r="IA4" i="1"/>
  <c r="HN10" i="1"/>
  <c r="K139" i="26"/>
  <c r="D139" i="26"/>
  <c r="F139" i="26"/>
  <c r="G139" i="26"/>
  <c r="B139" i="26"/>
  <c r="E139" i="26"/>
  <c r="I139" i="26"/>
  <c r="J139" i="26"/>
  <c r="C139" i="26"/>
  <c r="H139" i="26"/>
  <c r="HN19" i="1"/>
  <c r="HN4" i="1"/>
  <c r="IA10" i="1"/>
  <c r="GR15" i="1"/>
  <c r="GR10" i="1"/>
  <c r="GR54" i="1"/>
  <c r="GR73" i="1"/>
  <c r="GR56" i="1"/>
  <c r="IA56" i="1"/>
  <c r="GR43" i="1"/>
  <c r="GR51" i="1"/>
  <c r="GR134" i="1"/>
  <c r="GR4" i="1"/>
  <c r="GR58" i="1"/>
  <c r="GR47" i="1"/>
  <c r="GR13" i="1"/>
  <c r="GR29" i="1"/>
  <c r="GR22" i="1"/>
  <c r="HN38" i="1"/>
  <c r="GR5" i="1"/>
  <c r="GR24" i="1"/>
  <c r="GR33" i="1"/>
  <c r="GR32" i="1"/>
  <c r="GR26" i="1"/>
  <c r="GR27" i="1"/>
  <c r="IA25" i="1"/>
  <c r="GR25" i="1"/>
  <c r="GR7" i="1"/>
  <c r="GR21" i="1"/>
  <c r="GR69" i="1"/>
  <c r="GR8" i="1"/>
  <c r="GR17" i="1"/>
  <c r="GR18" i="1"/>
  <c r="GR48" i="1"/>
  <c r="GR16" i="1"/>
  <c r="GR77" i="1"/>
  <c r="GR28" i="1"/>
  <c r="GR37" i="1"/>
  <c r="GR9" i="1"/>
  <c r="GR6" i="1"/>
  <c r="GR3" i="1"/>
  <c r="GR11" i="1"/>
  <c r="GR61" i="1"/>
  <c r="HN36" i="1"/>
  <c r="GR36" i="1"/>
  <c r="GR34" i="1"/>
  <c r="V15" i="1"/>
  <c r="IA55" i="1"/>
  <c r="HN33" i="1"/>
  <c r="IA33" i="1"/>
  <c r="D228" i="1"/>
  <c r="I33" i="26"/>
  <c r="J34" i="26"/>
  <c r="J33" i="26"/>
  <c r="C73" i="26"/>
  <c r="H33" i="26"/>
  <c r="HM61" i="1"/>
  <c r="S61" i="1"/>
  <c r="H31" i="26"/>
  <c r="I32" i="26"/>
  <c r="H27" i="26"/>
  <c r="H25" i="26"/>
  <c r="I27" i="26"/>
  <c r="I29" i="26"/>
  <c r="J32" i="26"/>
  <c r="J31" i="26"/>
  <c r="J28" i="26"/>
  <c r="J30" i="26"/>
  <c r="J27" i="26"/>
  <c r="J29" i="26"/>
  <c r="J25" i="26"/>
  <c r="J26" i="26"/>
  <c r="H29" i="26"/>
  <c r="I25" i="26"/>
  <c r="V33" i="1"/>
  <c r="H32" i="26"/>
  <c r="H28" i="26"/>
  <c r="H26" i="26"/>
  <c r="H30" i="26"/>
  <c r="I26" i="26"/>
  <c r="I30" i="26"/>
  <c r="I28" i="26"/>
  <c r="X61" i="1"/>
  <c r="C162" i="1"/>
  <c r="R187" i="1" s="1"/>
  <c r="HN47" i="1"/>
  <c r="IA47" i="1"/>
  <c r="HC2" i="1"/>
  <c r="I164" i="1"/>
  <c r="J164" i="1"/>
  <c r="R185" i="1"/>
  <c r="D164" i="1"/>
  <c r="H164" i="1"/>
  <c r="R184" i="1"/>
  <c r="G164" i="1"/>
  <c r="R183" i="1"/>
  <c r="F164" i="1"/>
  <c r="IA58" i="1"/>
  <c r="IA36" i="1"/>
  <c r="HN2" i="1"/>
  <c r="IA37" i="1"/>
  <c r="HN23" i="1"/>
  <c r="GR2" i="1"/>
  <c r="IA2" i="1"/>
  <c r="HN25" i="1"/>
  <c r="HN32" i="1"/>
  <c r="IA5" i="1"/>
  <c r="HN41" i="1"/>
  <c r="IA18" i="1"/>
  <c r="HN18" i="1"/>
  <c r="IA32" i="1"/>
  <c r="HN30" i="1"/>
  <c r="IA48" i="1"/>
  <c r="HN5" i="1"/>
  <c r="HN13" i="1"/>
  <c r="IA13" i="1"/>
  <c r="IA34" i="1"/>
  <c r="HN34" i="1"/>
  <c r="IA9" i="1"/>
  <c r="HN9" i="1"/>
  <c r="IA3" i="1"/>
  <c r="HN3" i="1"/>
  <c r="HN43" i="1"/>
  <c r="IA43" i="1"/>
  <c r="IA61" i="1"/>
  <c r="IA6" i="1"/>
  <c r="HN6" i="1"/>
  <c r="B79" i="26" l="1" a="1"/>
  <c r="B79" i="26" s="1"/>
  <c r="F78" i="26" a="1"/>
  <c r="F78" i="26" s="1"/>
  <c r="C8" i="26"/>
  <c r="C15" i="26"/>
  <c r="C9" i="26"/>
  <c r="C12" i="26"/>
  <c r="C18" i="26"/>
  <c r="C11" i="26"/>
  <c r="C10" i="26"/>
  <c r="C19" i="26"/>
  <c r="C14" i="26"/>
  <c r="C7" i="26"/>
  <c r="C20" i="26"/>
  <c r="G12" i="26"/>
  <c r="C13" i="26"/>
  <c r="C17" i="26"/>
  <c r="C16" i="26"/>
  <c r="I12" i="26"/>
  <c r="I21" i="26" s="1"/>
  <c r="GP58" i="1"/>
  <c r="GP138" i="1" s="1"/>
  <c r="HK58" i="1"/>
  <c r="HU2" i="1"/>
  <c r="GU138" i="1"/>
  <c r="HG138" i="1"/>
  <c r="HH138" i="1"/>
  <c r="GY138" i="1"/>
  <c r="HM58" i="1"/>
  <c r="FE44" i="1"/>
  <c r="F79" i="26" a="1"/>
  <c r="F79" i="26" s="1"/>
  <c r="D79" i="26" a="1"/>
  <c r="D79" i="26" s="1"/>
  <c r="AF138" i="1"/>
  <c r="G20" i="26"/>
  <c r="K20" i="26" s="1"/>
  <c r="G18" i="26"/>
  <c r="K18" i="26" s="1"/>
  <c r="G13" i="26"/>
  <c r="K13" i="26" s="1"/>
  <c r="G16" i="26"/>
  <c r="K16" i="26" s="1"/>
  <c r="G14" i="26"/>
  <c r="K14" i="26" s="1"/>
  <c r="G15" i="26"/>
  <c r="K15" i="26" s="1"/>
  <c r="K12" i="26"/>
  <c r="G19" i="26"/>
  <c r="K19" i="26" s="1"/>
  <c r="G17" i="26"/>
  <c r="K17" i="26" s="1"/>
  <c r="HG135" i="1"/>
  <c r="D73" i="26" a="1"/>
  <c r="D73" i="26" s="1"/>
  <c r="D74" i="26" a="1"/>
  <c r="D74" i="26" s="1"/>
  <c r="D72" i="26" a="1"/>
  <c r="D72" i="26" s="1"/>
  <c r="D75" i="26" a="1"/>
  <c r="D75" i="26" s="1"/>
  <c r="G247" i="26"/>
  <c r="G250" i="26" s="1"/>
  <c r="G252" i="26" s="1"/>
  <c r="G255" i="26" s="1"/>
  <c r="B246" i="26"/>
  <c r="B250" i="26" s="1"/>
  <c r="E73" i="26"/>
  <c r="C164" i="1"/>
  <c r="AN138" i="1"/>
  <c r="BW138" i="1"/>
  <c r="D78" i="26" a="1"/>
  <c r="D78" i="26" s="1"/>
  <c r="D77" i="26" a="1"/>
  <c r="D77" i="26" s="1"/>
  <c r="FE87" i="1"/>
  <c r="E77" i="26" a="1"/>
  <c r="E77" i="26" s="1"/>
  <c r="FE50" i="1"/>
  <c r="F77" i="26" a="1"/>
  <c r="F77" i="26" s="1"/>
  <c r="G77" i="26" a="1"/>
  <c r="G77" i="26" s="1"/>
  <c r="B118" i="26"/>
  <c r="FC138" i="1"/>
  <c r="D234" i="1"/>
  <c r="HN58" i="1"/>
  <c r="BV138" i="1"/>
  <c r="X33" i="1"/>
  <c r="B21" i="26"/>
  <c r="W15" i="1"/>
  <c r="S15" i="1"/>
  <c r="X15" i="1"/>
  <c r="E74" i="26" a="1"/>
  <c r="E74" i="26" s="1"/>
  <c r="E70" i="26" a="1"/>
  <c r="E70" i="26" s="1"/>
  <c r="E76" i="26" a="1"/>
  <c r="E76" i="26" s="1"/>
  <c r="E69" i="26" a="1"/>
  <c r="E69" i="26" s="1"/>
  <c r="E72" i="26" a="1"/>
  <c r="E72" i="26" s="1"/>
  <c r="E75" i="26" a="1"/>
  <c r="E75" i="26" s="1"/>
  <c r="E71" i="26" a="1"/>
  <c r="E71" i="26" s="1"/>
  <c r="H44" i="26"/>
  <c r="G76" i="26" a="1"/>
  <c r="G76" i="26" s="1"/>
  <c r="G71" i="26" a="1"/>
  <c r="G71" i="26" s="1"/>
  <c r="G70" i="26" a="1"/>
  <c r="G70" i="26" s="1"/>
  <c r="G45" i="26"/>
  <c r="G44" i="26"/>
  <c r="G69" i="26" a="1"/>
  <c r="G69" i="26" s="1"/>
  <c r="G74" i="26" a="1"/>
  <c r="G74" i="26" s="1"/>
  <c r="G73" i="26" a="1"/>
  <c r="G73" i="26" s="1"/>
  <c r="H45" i="26"/>
  <c r="G75" i="26" a="1"/>
  <c r="G75" i="26" s="1"/>
  <c r="G72" i="26" a="1"/>
  <c r="G72" i="26" s="1"/>
  <c r="BU138" i="1"/>
  <c r="M190" i="26"/>
  <c r="M187" i="26"/>
  <c r="M189" i="26"/>
  <c r="M192" i="26"/>
  <c r="M193" i="26"/>
  <c r="M191" i="26"/>
  <c r="M194" i="26"/>
  <c r="M188" i="26"/>
  <c r="M186" i="26"/>
  <c r="F12" i="26"/>
  <c r="H43" i="26"/>
  <c r="G42" i="26"/>
  <c r="G43" i="26"/>
  <c r="H42" i="26"/>
  <c r="M163" i="26"/>
  <c r="F14" i="26"/>
  <c r="F13" i="26"/>
  <c r="G21" i="26" l="1"/>
  <c r="C106" i="26"/>
  <c r="B99" i="26"/>
  <c r="D108" i="26"/>
  <c r="B108" i="26"/>
  <c r="C108" i="26"/>
  <c r="C104" i="26"/>
  <c r="D99" i="26"/>
  <c r="B104" i="26"/>
  <c r="D107" i="26"/>
  <c r="D102" i="26"/>
  <c r="D104" i="26"/>
  <c r="B102" i="26"/>
  <c r="B103" i="26"/>
  <c r="B105" i="26"/>
  <c r="C105" i="26"/>
  <c r="C107" i="26"/>
  <c r="C101" i="26"/>
  <c r="D106" i="26"/>
  <c r="FE138" i="1"/>
  <c r="B106" i="26"/>
  <c r="B100" i="26"/>
  <c r="B107" i="26"/>
  <c r="C102" i="26"/>
  <c r="D105" i="26"/>
  <c r="C103" i="26"/>
  <c r="C99" i="26"/>
  <c r="B101" i="26"/>
  <c r="C100" i="26"/>
  <c r="D103" i="26"/>
  <c r="D100" i="26"/>
  <c r="D101" i="26"/>
  <c r="D76" i="26" a="1"/>
  <c r="D76" i="26" s="1"/>
  <c r="F70" i="26" a="1"/>
  <c r="F70" i="26" s="1"/>
  <c r="F69" i="26" a="1"/>
  <c r="F69" i="26" s="1"/>
  <c r="D70" i="26" a="1"/>
  <c r="D70" i="26" s="1"/>
  <c r="F74" i="26" a="1"/>
  <c r="F74" i="26" s="1"/>
  <c r="F76" i="26" a="1"/>
  <c r="F76" i="26" s="1"/>
  <c r="F71" i="26" a="1"/>
  <c r="F71" i="26" s="1"/>
  <c r="F73" i="26" a="1"/>
  <c r="F73" i="26" s="1"/>
  <c r="D69" i="26" a="1"/>
  <c r="D69" i="26" s="1"/>
  <c r="D71" i="26" a="1"/>
  <c r="D71" i="26" s="1"/>
  <c r="F75" i="26" a="1"/>
  <c r="F75" i="26" s="1"/>
  <c r="F72" i="26" a="1"/>
  <c r="F72" i="26" s="1"/>
  <c r="F21" i="26"/>
  <c r="HQ53" i="1"/>
  <c r="GM53" i="1" s="1"/>
  <c r="GN53" i="1" l="1"/>
  <c r="HN53" i="1" s="1"/>
  <c r="GQ53" i="1" l="1"/>
  <c r="FL53" i="1"/>
  <c r="HS53" i="1"/>
  <c r="HC53" i="1"/>
  <c r="HT53" i="1"/>
  <c r="GR53" i="1"/>
  <c r="HU53" i="1"/>
  <c r="IA53" i="1"/>
  <c r="GO53" i="1"/>
  <c r="HV53" i="1" l="1"/>
  <c r="HQ42" i="1"/>
  <c r="GM42" i="1" s="1"/>
  <c r="GM138" i="1" s="1"/>
  <c r="HQ138" i="1" l="1"/>
  <c r="GN42" i="1"/>
  <c r="B94" i="26"/>
  <c r="D94" i="26"/>
  <c r="C94" i="26"/>
  <c r="C85" i="26"/>
  <c r="C90" i="26"/>
  <c r="C89" i="26"/>
  <c r="C93" i="26"/>
  <c r="C92" i="26"/>
  <c r="HQ135" i="1"/>
  <c r="B87" i="26"/>
  <c r="D88" i="26"/>
  <c r="B85" i="26"/>
  <c r="D85" i="26"/>
  <c r="B88" i="26"/>
  <c r="B93" i="26"/>
  <c r="B86" i="26"/>
  <c r="C86" i="26"/>
  <c r="D87" i="26"/>
  <c r="C87" i="26"/>
  <c r="C91" i="26"/>
  <c r="D93" i="26"/>
  <c r="B92" i="26"/>
  <c r="D84" i="26"/>
  <c r="B89" i="26"/>
  <c r="D92" i="26"/>
  <c r="D90" i="26"/>
  <c r="C84" i="26"/>
  <c r="D86" i="26"/>
  <c r="C88" i="26"/>
  <c r="B84" i="26"/>
  <c r="B91" i="26"/>
  <c r="D91" i="26"/>
  <c r="D89" i="26"/>
  <c r="B90" i="26"/>
  <c r="GN138" i="1" l="1"/>
  <c r="HS138" i="1" s="1"/>
  <c r="HS42" i="1"/>
  <c r="HC42" i="1"/>
  <c r="HC138" i="1" s="1"/>
  <c r="GR42" i="1"/>
  <c r="GR138" i="1" s="1"/>
  <c r="FL42" i="1"/>
  <c r="GQ42" i="1"/>
  <c r="GQ138" i="1" s="1"/>
  <c r="HT42" i="1"/>
  <c r="IA42" i="1"/>
  <c r="GO42" i="1"/>
  <c r="GO138" i="1" s="1"/>
  <c r="FL27" i="1"/>
  <c r="D192" i="26"/>
  <c r="D186" i="26"/>
  <c r="HN42" i="1"/>
  <c r="B190" i="26"/>
  <c r="B187" i="26"/>
  <c r="B194" i="26"/>
  <c r="GN135" i="1"/>
  <c r="D187" i="26"/>
  <c r="D189" i="26"/>
  <c r="D191" i="26"/>
  <c r="D194" i="26"/>
  <c r="D193" i="26"/>
  <c r="B189" i="26"/>
  <c r="D190" i="26"/>
  <c r="B188" i="26"/>
  <c r="B192" i="26"/>
  <c r="B186" i="26"/>
  <c r="B193" i="26"/>
  <c r="HC135" i="1"/>
  <c r="B191" i="26"/>
  <c r="D188" i="26"/>
  <c r="HU42" i="1" l="1"/>
  <c r="HT138" i="1"/>
  <c r="HN135" i="1"/>
  <c r="HN138" i="1"/>
  <c r="FL138" i="1"/>
  <c r="IA139" i="1"/>
  <c r="C191" i="26"/>
  <c r="C189" i="26"/>
  <c r="E188" i="26"/>
  <c r="E189" i="26"/>
  <c r="E187" i="26"/>
  <c r="C188" i="26"/>
  <c r="C187" i="26"/>
  <c r="GN143" i="1"/>
  <c r="GN142" i="1"/>
  <c r="C190" i="26"/>
  <c r="E190" i="26"/>
  <c r="E191" i="26"/>
  <c r="HV42" i="1" l="1"/>
  <c r="HU138" i="1"/>
  <c r="HV138" i="1" s="1"/>
  <c r="GN144" i="1"/>
  <c r="HH135" i="1"/>
  <c r="GG138" i="1"/>
  <c r="GK138" i="1"/>
  <c r="GJ138" i="1"/>
  <c r="GH138" i="1"/>
  <c r="GW138" i="1"/>
  <c r="HJ138" i="1"/>
  <c r="GI138" i="1"/>
  <c r="GW135" i="1" l="1"/>
  <c r="HJ135" i="1"/>
  <c r="Q148" i="1" l="1"/>
  <c r="Q157" i="1"/>
  <c r="Q146" i="1"/>
  <c r="Q156" i="1"/>
  <c r="Q147" i="1"/>
  <c r="Q153" i="1"/>
  <c r="Q155" i="1"/>
  <c r="Q152" i="1"/>
  <c r="Q154" i="1"/>
  <c r="Q149" i="1"/>
  <c r="HD153" i="1"/>
  <c r="HH153" i="1" s="1"/>
  <c r="HD154" i="1"/>
  <c r="HG154" i="1" s="1"/>
  <c r="HK135" i="1" l="1"/>
  <c r="HK138" i="1"/>
  <c r="HG153" i="1"/>
  <c r="IA135" i="1"/>
  <c r="HL135" i="1"/>
  <c r="HM135" i="1" l="1"/>
  <c r="HM138" i="1"/>
  <c r="HW73" i="1" l="1"/>
  <c r="HW55" i="1"/>
  <c r="HW47" i="1"/>
  <c r="HW76" i="1"/>
  <c r="HY76" i="1" s="1"/>
  <c r="HW38" i="1"/>
  <c r="HX38" i="1" s="1"/>
  <c r="HW39" i="1"/>
  <c r="HW50" i="1"/>
  <c r="HW40" i="1"/>
  <c r="HW36" i="1"/>
  <c r="HW43" i="1"/>
  <c r="HW41" i="1"/>
  <c r="HW72" i="1"/>
  <c r="HW54" i="1"/>
  <c r="HW61" i="1"/>
  <c r="HW70" i="1"/>
  <c r="HW60" i="1"/>
  <c r="HW59" i="1"/>
  <c r="HW63" i="1"/>
  <c r="HW71" i="1"/>
  <c r="HY75" i="1" l="1"/>
  <c r="HX75" i="1"/>
  <c r="HX70" i="1"/>
  <c r="HY70" i="1"/>
  <c r="HY73" i="1"/>
  <c r="HX73" i="1"/>
  <c r="HX71" i="1"/>
  <c r="HY71" i="1"/>
  <c r="HY72" i="1"/>
  <c r="HX72" i="1"/>
  <c r="HX76" i="1"/>
  <c r="HX36" i="1"/>
  <c r="HY36" i="1"/>
  <c r="HY50" i="1"/>
  <c r="HX50" i="1"/>
  <c r="HY47" i="1"/>
  <c r="HX47" i="1"/>
  <c r="HY41" i="1"/>
  <c r="HX41" i="1"/>
  <c r="HY63" i="1"/>
  <c r="HX63" i="1"/>
  <c r="HY61" i="1"/>
  <c r="HX61" i="1"/>
  <c r="HY43" i="1"/>
  <c r="HX43" i="1"/>
  <c r="HY39" i="1"/>
  <c r="HX39" i="1"/>
  <c r="HY55" i="1"/>
  <c r="HX55" i="1"/>
  <c r="HY59" i="1"/>
  <c r="HX59" i="1"/>
  <c r="HY54" i="1"/>
  <c r="HX54" i="1"/>
  <c r="HY38" i="1"/>
  <c r="HY60" i="1"/>
  <c r="HX60" i="1"/>
  <c r="HY40" i="1"/>
  <c r="HX40" i="1"/>
  <c r="HW77" i="1"/>
  <c r="HW69" i="1"/>
  <c r="HY69" i="1" s="1"/>
  <c r="HW132" i="1"/>
  <c r="HW74" i="1"/>
  <c r="HW64" i="1"/>
  <c r="HW62" i="1"/>
  <c r="HW58" i="1"/>
  <c r="HW51" i="1"/>
  <c r="HW42" i="1"/>
  <c r="HX42" i="1" s="1"/>
  <c r="HX77" i="1" l="1"/>
  <c r="HY77" i="1"/>
  <c r="HX74" i="1"/>
  <c r="HY74" i="1"/>
  <c r="HW138" i="1"/>
  <c r="HY138" i="1" s="1"/>
  <c r="HY58" i="1"/>
  <c r="HX58" i="1"/>
  <c r="HY51" i="1"/>
  <c r="HX51" i="1"/>
  <c r="HY62" i="1"/>
  <c r="HX62" i="1"/>
  <c r="HX69" i="1"/>
  <c r="HY64" i="1"/>
  <c r="HX64" i="1"/>
  <c r="HY42" i="1"/>
  <c r="HX138" i="1" l="1"/>
</calcChain>
</file>

<file path=xl/comments1.xml><?xml version="1.0" encoding="utf-8"?>
<comments xmlns="http://schemas.openxmlformats.org/spreadsheetml/2006/main">
  <authors>
    <author>Nathalie BLANDINO</author>
  </authors>
  <commentList>
    <comment ref="HQ1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280712</t>
        </r>
      </text>
    </comment>
    <comment ref="GZ21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W23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hors assainissement</t>
        </r>
      </text>
    </comment>
    <comment ref="EI3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19/10/17</t>
        </r>
      </text>
    </comment>
    <comment ref="AL73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2433,5 arrêté</t>
        </r>
      </text>
    </comment>
    <comment ref="EB73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CZ7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16/12/16</t>
        </r>
      </text>
    </comment>
  </commentList>
</comments>
</file>

<file path=xl/sharedStrings.xml><?xml version="1.0" encoding="utf-8"?>
<sst xmlns="http://schemas.openxmlformats.org/spreadsheetml/2006/main" count="2368" uniqueCount="985">
  <si>
    <t>OPERATION</t>
  </si>
  <si>
    <t>COMMUNE</t>
  </si>
  <si>
    <t>CODE</t>
  </si>
  <si>
    <t>N</t>
  </si>
  <si>
    <t>Arrêté LBU</t>
  </si>
  <si>
    <t>CAO</t>
  </si>
  <si>
    <t>RO</t>
  </si>
  <si>
    <t>Notaire Terrain</t>
  </si>
  <si>
    <t>Signature Acte</t>
  </si>
  <si>
    <t>LLS</t>
  </si>
  <si>
    <t>LLTS</t>
  </si>
  <si>
    <t>FONCIER</t>
  </si>
  <si>
    <t>CONSTRUCTION</t>
  </si>
  <si>
    <t xml:space="preserve">Manapany </t>
  </si>
  <si>
    <t>St Joseph</t>
  </si>
  <si>
    <t>PRLC 0111</t>
  </si>
  <si>
    <t>FHO</t>
  </si>
  <si>
    <t>St Philippe</t>
  </si>
  <si>
    <t>PRLC 0093</t>
  </si>
  <si>
    <t>Takamaka</t>
  </si>
  <si>
    <t>St Leu</t>
  </si>
  <si>
    <t>Tampon</t>
  </si>
  <si>
    <t>PRLC 0139</t>
  </si>
  <si>
    <t>FMA</t>
  </si>
  <si>
    <t>PRLC 0147</t>
  </si>
  <si>
    <t>Etang-Salé</t>
  </si>
  <si>
    <t>Trois Bassins</t>
  </si>
  <si>
    <t>PRLC 0149</t>
  </si>
  <si>
    <t>Palissandre</t>
  </si>
  <si>
    <t>PRLC 0110</t>
  </si>
  <si>
    <t>Rue de l'Eglise</t>
  </si>
  <si>
    <t>Entre-Deux</t>
  </si>
  <si>
    <t>PRLC 0148</t>
  </si>
  <si>
    <t>St Paul</t>
  </si>
  <si>
    <t>PRLC 0140</t>
  </si>
  <si>
    <t>PRLC 0113</t>
  </si>
  <si>
    <t>PRLC 0121</t>
  </si>
  <si>
    <t>Josepha Fontaine</t>
  </si>
  <si>
    <t>PRLC 0122</t>
  </si>
  <si>
    <t>PRLC 0109</t>
  </si>
  <si>
    <t>YFR</t>
  </si>
  <si>
    <t>N opér°</t>
  </si>
  <si>
    <t>N lgt</t>
  </si>
  <si>
    <t>LBU</t>
  </si>
  <si>
    <t>Propriétaire</t>
  </si>
  <si>
    <t>EPFR</t>
  </si>
  <si>
    <t>SODEGIS</t>
  </si>
  <si>
    <t>Commune</t>
  </si>
  <si>
    <t>Pivet-Velin</t>
  </si>
  <si>
    <t>Commune / MOREL</t>
  </si>
  <si>
    <t>AUBERT</t>
  </si>
  <si>
    <t>EPFR / RUET</t>
  </si>
  <si>
    <t>BARET</t>
  </si>
  <si>
    <t>POPINEAU</t>
  </si>
  <si>
    <t>LE GOFF</t>
  </si>
  <si>
    <t>PRP /m² SF</t>
  </si>
  <si>
    <t>Prog</t>
  </si>
  <si>
    <t xml:space="preserve">Avenue Raymond Barre </t>
  </si>
  <si>
    <t>Desiré 2</t>
  </si>
  <si>
    <t xml:space="preserve">Sceau de Salomon </t>
  </si>
  <si>
    <t>Le Cap (BH 228)</t>
  </si>
  <si>
    <t xml:space="preserve">Laurency </t>
  </si>
  <si>
    <t>Petite-Ile</t>
  </si>
  <si>
    <t>PRLC 0116</t>
  </si>
  <si>
    <t>PRLC 0133</t>
  </si>
  <si>
    <t>PRLC 0114</t>
  </si>
  <si>
    <t>PRLC 0090</t>
  </si>
  <si>
    <t>PRLC 0128</t>
  </si>
  <si>
    <t>PRLC 0107</t>
  </si>
  <si>
    <t>PRLC 0117</t>
  </si>
  <si>
    <t>PRLC 0104</t>
  </si>
  <si>
    <t>PRLC 0135</t>
  </si>
  <si>
    <t>PRLC 0101</t>
  </si>
  <si>
    <t>PRLC 0138</t>
  </si>
  <si>
    <t>SGM</t>
  </si>
  <si>
    <t>Poker d'As LLS</t>
  </si>
  <si>
    <t>Poker d'As LLTS</t>
  </si>
  <si>
    <t>Étiquettes de lignes</t>
  </si>
  <si>
    <t>Total général</t>
  </si>
  <si>
    <t xml:space="preserve">PRÊT </t>
  </si>
  <si>
    <t xml:space="preserve">LBU / lgt
</t>
  </si>
  <si>
    <t xml:space="preserve">Lavoir </t>
  </si>
  <si>
    <t>St Pierre</t>
  </si>
  <si>
    <t>PRLC 0105</t>
  </si>
  <si>
    <t>PRLC 0100</t>
  </si>
  <si>
    <t>PRLC 0123</t>
  </si>
  <si>
    <t>PRLC 0094</t>
  </si>
  <si>
    <t>PRLC 0124</t>
  </si>
  <si>
    <t>NBL</t>
  </si>
  <si>
    <t xml:space="preserve">P'titCanal  LLS       </t>
  </si>
  <si>
    <t>P'titCanal         LLTS</t>
  </si>
  <si>
    <t>BASSIN</t>
  </si>
  <si>
    <t>CA SUD</t>
  </si>
  <si>
    <t>TCO</t>
  </si>
  <si>
    <t>CIVIS</t>
  </si>
  <si>
    <t>TOTAL</t>
  </si>
  <si>
    <t>Altitude</t>
  </si>
  <si>
    <t>Pente</t>
  </si>
  <si>
    <t>SF / lgt</t>
  </si>
  <si>
    <t>Pkgs couverts</t>
  </si>
  <si>
    <t>oui</t>
  </si>
  <si>
    <t>non</t>
  </si>
  <si>
    <t>FRAFU</t>
  </si>
  <si>
    <t>AIDES ETAT / lgt</t>
  </si>
  <si>
    <t>TYPE</t>
  </si>
  <si>
    <t>SF priorisée</t>
  </si>
  <si>
    <t>Dubois</t>
  </si>
  <si>
    <t>ok</t>
  </si>
  <si>
    <t>PRP / lgt</t>
  </si>
  <si>
    <t>DEFISC / lgt</t>
  </si>
  <si>
    <t>PRÊT / lgt</t>
  </si>
  <si>
    <t>SUBVENTION COLLECTIVITE FRAFU</t>
  </si>
  <si>
    <t>FONDS PROPRES FRAFU</t>
  </si>
  <si>
    <t>AIDES PUBLIQUES / lgt</t>
  </si>
  <si>
    <t>QUINOT</t>
  </si>
  <si>
    <t>FONDS PROPRES CONSTRUCTION</t>
  </si>
  <si>
    <t>FANFAN</t>
  </si>
  <si>
    <t>DUBOIS</t>
  </si>
  <si>
    <t>BARET/GILLOT</t>
  </si>
  <si>
    <t>BBL</t>
  </si>
  <si>
    <t>MAREL</t>
  </si>
  <si>
    <t>Dde édition prêt</t>
  </si>
  <si>
    <t>JULES VIENNE</t>
  </si>
  <si>
    <t>DESIRE</t>
  </si>
  <si>
    <t>PRLC 0099</t>
  </si>
  <si>
    <t>PRP FRAFU hors TVA résiduelle</t>
  </si>
  <si>
    <t>PRLC 0098</t>
  </si>
  <si>
    <t>S espaces verts collectifs</t>
  </si>
  <si>
    <t>AUTRES SUBVENTIONS</t>
  </si>
  <si>
    <t>PRLC 0160</t>
  </si>
  <si>
    <t>PRLC 0156</t>
  </si>
  <si>
    <t>St Louis</t>
  </si>
  <si>
    <t>PRLC 0153</t>
  </si>
  <si>
    <t>PRLC 0155</t>
  </si>
  <si>
    <t>PRP GLOBAL</t>
  </si>
  <si>
    <t>% LBU / PRP</t>
  </si>
  <si>
    <t>SO</t>
  </si>
  <si>
    <t>CESSION FONCIERE</t>
  </si>
  <si>
    <t>Contrat de prêt</t>
  </si>
  <si>
    <t xml:space="preserve"> </t>
  </si>
  <si>
    <t>GPA</t>
  </si>
  <si>
    <t>Tvx</t>
  </si>
  <si>
    <t>AO</t>
  </si>
  <si>
    <t>Transmission garanties à CDC</t>
  </si>
  <si>
    <t>CR + CASUD = 19/12/13
CG = 15/01/14
Commune = 15/01/14</t>
  </si>
  <si>
    <t>SRI</t>
  </si>
  <si>
    <t>NLE</t>
  </si>
  <si>
    <t>DBE</t>
  </si>
  <si>
    <t>BELLANGER</t>
  </si>
  <si>
    <t>% AIDES PUBLIQUES</t>
  </si>
  <si>
    <t xml:space="preserve">PRP TTC  </t>
  </si>
  <si>
    <t>ZONAGE</t>
  </si>
  <si>
    <t>UB</t>
  </si>
  <si>
    <t>S TERRAIN</t>
  </si>
  <si>
    <t>S ANC</t>
  </si>
  <si>
    <t>S EMPRISE</t>
  </si>
  <si>
    <t>N niveaux lgt y/c RDC</t>
  </si>
  <si>
    <t>UD</t>
  </si>
  <si>
    <t>UA</t>
  </si>
  <si>
    <t>4/5</t>
  </si>
  <si>
    <t>AU5b</t>
  </si>
  <si>
    <t>NAUD</t>
  </si>
  <si>
    <t>Aub</t>
  </si>
  <si>
    <t>PRLC 0161</t>
  </si>
  <si>
    <t>CAF</t>
  </si>
  <si>
    <t xml:space="preserve">CR + CASUD = 19/12/13
CG = 15/01/14
CM = OK - mank attest° affichage
</t>
  </si>
  <si>
    <t>ANC</t>
  </si>
  <si>
    <t xml:space="preserve">LBU </t>
  </si>
  <si>
    <t>PRIX m² SF</t>
  </si>
  <si>
    <t>UC</t>
  </si>
  <si>
    <t>UAa</t>
  </si>
  <si>
    <t>NAUC</t>
  </si>
  <si>
    <t>UCa</t>
  </si>
  <si>
    <t>U3</t>
  </si>
  <si>
    <t>NAU</t>
  </si>
  <si>
    <t>Emprise ANC</t>
  </si>
  <si>
    <t>PRIX TERRAIN AMENAGE</t>
  </si>
  <si>
    <t>PRIX TERRAIN BRUT</t>
  </si>
  <si>
    <t>PRIX m² terrain aménagé</t>
  </si>
  <si>
    <t>PRIX m² terrain brut</t>
  </si>
  <si>
    <t>T1</t>
  </si>
  <si>
    <t>T2</t>
  </si>
  <si>
    <t>T3</t>
  </si>
  <si>
    <t>T4</t>
  </si>
  <si>
    <t>T5</t>
  </si>
  <si>
    <t>M² TERRAIN / LGT</t>
  </si>
  <si>
    <t>LBU+Défisc/lgt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</si>
  <si>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</si>
  <si>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PRIX AMENAGE/ LGT</t>
  </si>
  <si>
    <t>PRLC 0166</t>
  </si>
  <si>
    <t>ESQ</t>
  </si>
  <si>
    <t>?</t>
  </si>
  <si>
    <t>DCE</t>
  </si>
  <si>
    <t>patrimoine</t>
  </si>
  <si>
    <t>PRLC 0129</t>
  </si>
  <si>
    <t>PRLC 0157</t>
  </si>
  <si>
    <t>PRLC 0173</t>
  </si>
  <si>
    <t>PRLC 0167</t>
  </si>
  <si>
    <t>PRLC 0174</t>
  </si>
  <si>
    <t>Dde dossier Ass</t>
  </si>
  <si>
    <t>Travaux</t>
  </si>
  <si>
    <t>OS</t>
  </si>
  <si>
    <t>22/10/2014
cr 24/11/14 - modif à faire</t>
  </si>
  <si>
    <t>Avirons</t>
  </si>
  <si>
    <t>28/10/2014
12/01/15</t>
  </si>
  <si>
    <t>UB4</t>
  </si>
  <si>
    <t>Lacaussade 3</t>
  </si>
  <si>
    <t xml:space="preserve">PRIX BRUT / LGT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</si>
  <si>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</si>
  <si>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Prosp</t>
  </si>
  <si>
    <t>Phase</t>
  </si>
  <si>
    <t>PRLC 0176</t>
  </si>
  <si>
    <t>Etat</t>
  </si>
  <si>
    <t>MOUTIEN</t>
  </si>
  <si>
    <t>Paille en Queue</t>
  </si>
  <si>
    <t>Verveine des Indes (Ilôt 5.1)</t>
  </si>
  <si>
    <t>FAHAM (Ilôt 5.6)</t>
  </si>
  <si>
    <t>Z'ambaville (AX 18)</t>
  </si>
  <si>
    <t>CIVIS 25/05/15
Région 12/06/15
Commune 29/06/15
CG 30/06/15</t>
  </si>
  <si>
    <t>PRLC 0178</t>
  </si>
  <si>
    <t>PRLC 0179</t>
  </si>
  <si>
    <t>OS démarrage</t>
  </si>
  <si>
    <t>Fin GPA</t>
  </si>
  <si>
    <t>RDV pré-clôture avec RO</t>
  </si>
  <si>
    <t>Transmission budget pré-clôture DAF</t>
  </si>
  <si>
    <t>RDV clôture avec RO</t>
  </si>
  <si>
    <t>Transmission budget DAF</t>
  </si>
  <si>
    <t>attente doc signé</t>
  </si>
  <si>
    <t>25/09/2014 : à détailler plus</t>
  </si>
  <si>
    <t>13/10/14 DPR</t>
  </si>
  <si>
    <t>14/10/14 DPR</t>
  </si>
  <si>
    <t>7/9/15 - correctifs à apporter</t>
  </si>
  <si>
    <t>Fleurs jaunes (Ilôt 6.1)</t>
  </si>
  <si>
    <t>Archi conseil DEAL</t>
  </si>
  <si>
    <t>CA</t>
  </si>
  <si>
    <t>Clôture DO</t>
  </si>
  <si>
    <t>DAT</t>
  </si>
  <si>
    <t>Avenant global</t>
  </si>
  <si>
    <t>PRLC 0181</t>
  </si>
  <si>
    <t>PRLC 0180</t>
  </si>
  <si>
    <t>Transmission à DAF</t>
  </si>
  <si>
    <t>Ville 18/03/15
Région 17/06/15
CG 30/06/15
CASUD 29/09/15</t>
  </si>
  <si>
    <t>17/02/2014
09/10/14</t>
  </si>
  <si>
    <t>en cours</t>
  </si>
  <si>
    <t>DGD</t>
  </si>
  <si>
    <t>à faire</t>
  </si>
  <si>
    <t>CASUD = 02/07/14
CG : OK
Région : OK
Mairie : OK</t>
  </si>
  <si>
    <t>Transmission patrimoine</t>
  </si>
  <si>
    <t>Jules Arlandas (Alamandas)</t>
  </si>
  <si>
    <t>DOE</t>
  </si>
  <si>
    <t>x</t>
  </si>
  <si>
    <t>Mairie 02/11/15</t>
  </si>
  <si>
    <t>CONTRÔLE DEAL</t>
  </si>
  <si>
    <t>PARCELLE</t>
  </si>
  <si>
    <t>BX 855</t>
  </si>
  <si>
    <t>07/06/2012
06/11/15</t>
  </si>
  <si>
    <t>PRLC 0165</t>
  </si>
  <si>
    <t>RFCT</t>
  </si>
  <si>
    <t>AVANCEMENT</t>
  </si>
  <si>
    <t>ASSISTANTE</t>
  </si>
  <si>
    <t>Attestation conformité Mairie</t>
  </si>
  <si>
    <t>Loyer mensuel</t>
  </si>
  <si>
    <t>Transmission Fiche Pgr GL</t>
  </si>
  <si>
    <t>Tamariniers LLS</t>
  </si>
  <si>
    <t>Tamariniers LLTS</t>
  </si>
  <si>
    <t>Barrage LLTS</t>
  </si>
  <si>
    <t>Barrage LLS</t>
  </si>
  <si>
    <t>Délai chantier réel</t>
  </si>
  <si>
    <t>Délai chantier initial</t>
  </si>
  <si>
    <t>Perte loyer</t>
  </si>
  <si>
    <t>dossier transmis</t>
  </si>
  <si>
    <t>Mises en chantier</t>
  </si>
  <si>
    <t>Livraisons</t>
  </si>
  <si>
    <t>Mail 16/12/15</t>
  </si>
  <si>
    <t xml:space="preserve">Les Platanes </t>
  </si>
  <si>
    <t>AS 603</t>
  </si>
  <si>
    <t>BO 206-352</t>
  </si>
  <si>
    <t>AO 433</t>
  </si>
  <si>
    <t>AH 449 à 451</t>
  </si>
  <si>
    <t xml:space="preserve">Hortensias </t>
  </si>
  <si>
    <t>TAILLE</t>
  </si>
  <si>
    <t>0-19</t>
  </si>
  <si>
    <t>20-39</t>
  </si>
  <si>
    <t>40-59</t>
  </si>
  <si>
    <t>&gt;60</t>
  </si>
  <si>
    <t>CD 61 Rue Bertaut LLTS</t>
  </si>
  <si>
    <t>16/12/15 Région
20/01/16 CG
25/01/16 Mairie
10/02/16 CASUD</t>
  </si>
  <si>
    <t>TCO 08/01/2016</t>
  </si>
  <si>
    <t>LYCEE SCHOELCHER</t>
  </si>
  <si>
    <t>RHI BC</t>
  </si>
  <si>
    <t>17/11/2015
27/01/16
15/03/16</t>
  </si>
  <si>
    <t>07/12/2015
15/03/16</t>
  </si>
  <si>
    <t>BH 228</t>
  </si>
  <si>
    <t>CX 671 / 1141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</si>
  <si>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</si>
  <si>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Archivage</t>
  </si>
  <si>
    <t>APU</t>
  </si>
  <si>
    <t>acte signé</t>
  </si>
  <si>
    <t>convention paroi clouée OK / notaire doit rédiger une constitution de servitude</t>
  </si>
  <si>
    <t>FVA</t>
  </si>
  <si>
    <t>ADE</t>
  </si>
  <si>
    <t>Jean MOREL (Amaryllis)</t>
  </si>
  <si>
    <t>Max GOBETTI (AUBEPINES)</t>
  </si>
  <si>
    <t>Lié ETHEVE (Poker As 2)</t>
  </si>
  <si>
    <t>Travaux / Expro</t>
  </si>
  <si>
    <t>Assistantes</t>
  </si>
  <si>
    <t xml:space="preserve">Travaux  </t>
  </si>
  <si>
    <t>Etude</t>
  </si>
  <si>
    <t>16/12/15 Région 
16/12/15 Commune
10/02/16 CIVIS
11/05/16 CG</t>
  </si>
  <si>
    <t>HONORAIRES</t>
  </si>
  <si>
    <t>Résiliations marchés</t>
  </si>
  <si>
    <t>CD 61 Rue Bertaut LLS</t>
  </si>
  <si>
    <t>Harry PAYET (Les Mimosas)</t>
  </si>
  <si>
    <t xml:space="preserve">Dakota </t>
  </si>
  <si>
    <t>EK 250</t>
  </si>
  <si>
    <t>Arizona</t>
  </si>
  <si>
    <t>Californie</t>
  </si>
  <si>
    <t>EK 286</t>
  </si>
  <si>
    <t>Faisa</t>
  </si>
  <si>
    <t>PRLC 0184</t>
  </si>
  <si>
    <t>PRLC 0185</t>
  </si>
  <si>
    <t>PRLC 0187</t>
  </si>
  <si>
    <t>PRLC 0186</t>
  </si>
  <si>
    <t>CAL</t>
  </si>
  <si>
    <t>ET 909 / 1256</t>
  </si>
  <si>
    <t>14/09/2016
retour 28/09 pour signature</t>
  </si>
  <si>
    <t>06/10/2016
renvoyé le 04/10/16 à CDC</t>
  </si>
  <si>
    <t>à déposer</t>
  </si>
  <si>
    <t>Coco Huet (Parc à Moutons)</t>
  </si>
  <si>
    <t>20/10/2016 y/c certif adressage + plans</t>
  </si>
  <si>
    <t>INDIGO LLS</t>
  </si>
  <si>
    <t>INDIGO LLTS</t>
  </si>
  <si>
    <t>DD783 / 1298</t>
  </si>
  <si>
    <t>PLS</t>
  </si>
  <si>
    <t>EN 1337 p</t>
  </si>
  <si>
    <t>BW 683 p</t>
  </si>
  <si>
    <t>La Possession</t>
  </si>
  <si>
    <t>CESARIA</t>
  </si>
  <si>
    <t>CI 192</t>
  </si>
  <si>
    <t>Bougainvillées</t>
  </si>
  <si>
    <t>Rehab</t>
  </si>
  <si>
    <t>JER</t>
  </si>
  <si>
    <t>BT 607</t>
  </si>
  <si>
    <t>100 marches</t>
  </si>
  <si>
    <t>BR 617</t>
  </si>
  <si>
    <t>Caramboles</t>
  </si>
  <si>
    <t>AP 1375</t>
  </si>
  <si>
    <t>Hubert Delisle</t>
  </si>
  <si>
    <t>BR 1091</t>
  </si>
  <si>
    <t>Citronnelles</t>
  </si>
  <si>
    <t>BK 1082</t>
  </si>
  <si>
    <t>Bras des Etangs</t>
  </si>
  <si>
    <t>Cilaos</t>
  </si>
  <si>
    <t>AI 1718</t>
  </si>
  <si>
    <t>La Cure</t>
  </si>
  <si>
    <t>BN 781</t>
  </si>
  <si>
    <t>Canal Lilis</t>
  </si>
  <si>
    <t>Poinsétias</t>
  </si>
  <si>
    <t>Bellevue A-B-C</t>
  </si>
  <si>
    <t>Chapelle</t>
  </si>
  <si>
    <t>Casabianca</t>
  </si>
  <si>
    <t>BN 1004</t>
  </si>
  <si>
    <t>AS 1450</t>
  </si>
  <si>
    <t>BW 2862</t>
  </si>
  <si>
    <t>Chemin Galet 1</t>
  </si>
  <si>
    <t>Chemin Galet 2</t>
  </si>
  <si>
    <t>Les Orchidées</t>
  </si>
  <si>
    <t>Le Choka Bleu</t>
  </si>
  <si>
    <t>La Cure 2</t>
  </si>
  <si>
    <t>AP 1535</t>
  </si>
  <si>
    <t>BT 920</t>
  </si>
  <si>
    <t>VAF</t>
  </si>
  <si>
    <t>RAS</t>
  </si>
  <si>
    <t>Esparon</t>
  </si>
  <si>
    <t>Poudroux</t>
  </si>
  <si>
    <t>Acte sur BW 1750 / 1752 / 1789
manque les justificatifs sur les autres parcelles</t>
  </si>
  <si>
    <t>HOAREAU</t>
  </si>
  <si>
    <t>HOARAU</t>
  </si>
  <si>
    <t>29/04/1994
27/07/93</t>
  </si>
  <si>
    <t>BN 787 / 789 n'existent plus au cadastre</t>
  </si>
  <si>
    <t>Hoarau</t>
  </si>
  <si>
    <t>bail à construction sur AP 1558 qui concerne Foyer Casabianca</t>
  </si>
  <si>
    <t>Le Goff</t>
  </si>
  <si>
    <t>Moutien</t>
  </si>
  <si>
    <t>CN 286</t>
  </si>
  <si>
    <t>HOARAU
HOARAU
ESPARON</t>
  </si>
  <si>
    <t>13/05/1992
09/08/96
22/08/94</t>
  </si>
  <si>
    <t>BY 105
BY 1045
BY 888
manque bcp de justificatifs</t>
  </si>
  <si>
    <t>BY 1385 …</t>
  </si>
  <si>
    <t>BY 1389 …</t>
  </si>
  <si>
    <t>ESPARON</t>
  </si>
  <si>
    <t>BN 813 / 812</t>
  </si>
  <si>
    <t>manque justificatif BN 812</t>
  </si>
  <si>
    <t>pas de justificatif</t>
  </si>
  <si>
    <t>LAGOURGUE</t>
  </si>
  <si>
    <t>manque les autres parcelles</t>
  </si>
  <si>
    <t>BASTI</t>
  </si>
  <si>
    <t>dépôt de pièces divisant BN 419/420/421/422/423/782/783/825
manque titre de propriété des parcelles divisées</t>
  </si>
  <si>
    <t>AS 62, 63, 64, 513 v n'existent plus au cadastre</t>
  </si>
  <si>
    <t>lots à vendre : CA EPFR début 2017
LES : mise en demeure adressée à l'acquéreur faute de quoi classement du dossier</t>
  </si>
  <si>
    <t>abandon servitude EP - si débordement on avisera</t>
  </si>
  <si>
    <t>coordonnées des propriétaires limitrophes transmis à APU
courriers faits par BJE aux riverains pour une rencontre</t>
  </si>
  <si>
    <t>BT 130 / 319 / 111 : seule la BT 111 existe encore à ce jour
manque justificatifs des autres parcelles
récupérer fiche immeuble</t>
  </si>
  <si>
    <t>manque beaucoup de justificatifs
acte sur BR 570 / 571 qui n'existent plus
récupérer fiche immeuble</t>
  </si>
  <si>
    <t>AP 513 / AS 63 - 64 - n'existent plus au cadastre / manque des justificatifs
récupérer fiche immeuble</t>
  </si>
  <si>
    <t>pas de justificatif
récupérer fiche immeuble</t>
  </si>
  <si>
    <t>AE 44 / 45 /  46 / 48 n'existent plus au cadastre
récupérer fiche immeuble</t>
  </si>
  <si>
    <t>PROBLEME</t>
  </si>
  <si>
    <t>Baux</t>
  </si>
  <si>
    <t>PRLC 0163</t>
  </si>
  <si>
    <t>LLS / LLTS</t>
  </si>
  <si>
    <t>30/08/2016
01/02/17</t>
  </si>
  <si>
    <t>INDIGO Tranche 1</t>
  </si>
  <si>
    <t>pas de réseau EU</t>
  </si>
  <si>
    <t>réserves à lever</t>
  </si>
  <si>
    <t>attente notification de la réception</t>
  </si>
  <si>
    <t>manque 4 entreprises</t>
  </si>
  <si>
    <t>3 réserves à lever</t>
  </si>
  <si>
    <t>notifiés le 20/06/2016</t>
  </si>
  <si>
    <t>Logements</t>
  </si>
  <si>
    <t>dossier envoyé 22/02/17</t>
  </si>
  <si>
    <t>sans P2</t>
  </si>
  <si>
    <t>ENV 2017</t>
  </si>
  <si>
    <t>37/38 000 000 €</t>
  </si>
  <si>
    <t>COUT DU FONCIER PAR ANNEE DE PROGRAMMATION &amp; PAR LOGEMENT</t>
  </si>
  <si>
    <t>€ / lgt</t>
  </si>
  <si>
    <t>Moyenne</t>
  </si>
  <si>
    <t xml:space="preserve">Avancement </t>
  </si>
  <si>
    <t xml:space="preserve">OK </t>
  </si>
  <si>
    <t>sauf Peinture</t>
  </si>
  <si>
    <t>Année Inauguration</t>
  </si>
  <si>
    <t>ANNEE DE LIVRAISON</t>
  </si>
  <si>
    <t>IMPREVUS AU DEMARRAGE</t>
  </si>
  <si>
    <t>-</t>
  </si>
  <si>
    <t>PRLC 0193</t>
  </si>
  <si>
    <t>PRLC 0194</t>
  </si>
  <si>
    <t>PRLC 0195</t>
  </si>
  <si>
    <t>Type Habitat</t>
  </si>
  <si>
    <t>MDV</t>
  </si>
  <si>
    <t>collectif</t>
  </si>
  <si>
    <t>vente des lots à faire : signature SICA en mai 2017
voie à rétrocéder à l'issue du contentieux</t>
  </si>
  <si>
    <t>servitude PERRAU à mettre en place
rétrocession zone N à faire</t>
  </si>
  <si>
    <t>REPARTITION DES PREVISIONS DE LIVRAISONS PAR COMMUNE</t>
  </si>
  <si>
    <t>30/08/2016
01/02/17
06/04/17</t>
  </si>
  <si>
    <t>Opale (ILOT 9)</t>
  </si>
  <si>
    <t>PRLC 0197</t>
  </si>
  <si>
    <t>PRLC 0191</t>
  </si>
  <si>
    <t>Amgt / CO</t>
  </si>
  <si>
    <t>ESQ ==&gt; APD</t>
  </si>
  <si>
    <t>Fin études/AO</t>
  </si>
  <si>
    <t>Clôture défisc</t>
  </si>
  <si>
    <t>H2</t>
  </si>
  <si>
    <t>notifiés en mai</t>
  </si>
  <si>
    <t>Bras de la Plaine</t>
  </si>
  <si>
    <t>1e partie envoyée à OFOI le 08/02/17
dernière partie envoyée à OFOI le 14/06/2017</t>
  </si>
  <si>
    <t>déposé DRFIP 16/06/17</t>
  </si>
  <si>
    <t>ok
Région 19/06/17</t>
  </si>
  <si>
    <t>Commune 21/12/16
CG 12/01/17
Région 19/06/17
CASUD 29/06/17</t>
  </si>
  <si>
    <t>CG 29/03/17
Région 28/06/17
CASUD 29/06/2017</t>
  </si>
  <si>
    <t>TURPIN</t>
  </si>
  <si>
    <t>PRLC 0192</t>
  </si>
  <si>
    <t>Foyer de Charité</t>
  </si>
  <si>
    <t>PRLC 0198</t>
  </si>
  <si>
    <t>PRLC 0199</t>
  </si>
  <si>
    <t>PRLC 0200</t>
  </si>
  <si>
    <t>voie intérieure à rétrocéder
récupérer DOE
faire le DA : FVA s'en occupe</t>
  </si>
  <si>
    <t>PAR ANNEE DE PROGRAMMATION</t>
  </si>
  <si>
    <t>RETARDS DE LIVRAISON (mois)</t>
  </si>
  <si>
    <t>PAR ANNEE DE LIVRAISON</t>
  </si>
  <si>
    <t>PAR ANNEE D'OS</t>
  </si>
  <si>
    <t>PERTE DE LOYERS</t>
  </si>
  <si>
    <t>AV 120</t>
  </si>
  <si>
    <t>AT 222/223/224</t>
  </si>
  <si>
    <t>% VEFA par année de programmation</t>
  </si>
  <si>
    <t>Délai d'obtention des garanties</t>
  </si>
  <si>
    <t>Délai entre l'OS et la date obtention LBU par année de programmation</t>
  </si>
  <si>
    <t>% de logements mis en chantier par année en fonction de l'année de programmation</t>
  </si>
  <si>
    <t>Rapport de fin d'opération</t>
  </si>
  <si>
    <t>taille moyenne des opérations en VEFA (moyenne nationale 2016 = 23 lgts) à comparer avec la taille moyenne d'une opération en propre</t>
  </si>
  <si>
    <t>taille moyenne des logements en VEFA (moyenne nat 2016 = 64 m²) ç=à comparer avec la taille moyenne des logements en propre</t>
  </si>
  <si>
    <t>comparaison sur la structure de financement des opérations VEFA / propre</t>
  </si>
  <si>
    <t>évolution du prix de revient selon la structure du PRP (foncier, travaux, autres charges)</t>
  </si>
  <si>
    <t>NATIONAL</t>
  </si>
  <si>
    <t>PRIX DE REVIENT / LOGEMENT</t>
  </si>
  <si>
    <t>PRIX DE REVIENT /m²</t>
  </si>
  <si>
    <t>terrain acheté
projet de bornage transmis à FBR</t>
  </si>
  <si>
    <t>Depuis 2014, la hausse moyenne au niveau national est de 0,60 % / an alors que :
- ICC a évolué de 1,2 %
- BT01 a stagné (voir évolution BTR)
- inflation a peu évolué + 0,4 %</t>
  </si>
  <si>
    <t>EVOLUTION DU PRIX DE REVIENT  PAR ANNEE DE LIVRAISON</t>
  </si>
  <si>
    <t>AU LOGEMENT</t>
  </si>
  <si>
    <t>AU M² DE SF</t>
  </si>
  <si>
    <t>SF MOYENNE DES LOGEMENTS</t>
  </si>
  <si>
    <t>STRUCTURE DU COUT D'UNE OPERATION</t>
  </si>
  <si>
    <t>dossier chez OFOI 08/03/2017</t>
  </si>
  <si>
    <t>dossier transmis à OFOI 05/09/16</t>
  </si>
  <si>
    <t>Dépôt DDA définitif</t>
  </si>
  <si>
    <t>CH 162</t>
  </si>
  <si>
    <t>SITA</t>
  </si>
  <si>
    <t>élément transmis à OFOI 03/10/17</t>
  </si>
  <si>
    <t xml:space="preserve">AT 222/223/224
compromis AT 222 signé - PD obtenu / bornage 05/10/17
en attente du topo / bornage
empiètement sur AT 224
</t>
  </si>
  <si>
    <t xml:space="preserve">
attente protocole DD 1298 pour prendre possession des lieux
lancer procédure expulsion bungalow</t>
  </si>
  <si>
    <t xml:space="preserve">acheté 25/11/15
DA ER fait
convention de prise de possession anticipée reçue, à signer  / attention aux enrobés
OST à évacuer
AEP coupée
</t>
  </si>
  <si>
    <t xml:space="preserve">rétrocession voirie Mairie : dossier transmis à commune
lots à commercialiser : dépôt de pièces à faire chez notaire
vérifier avec notaire s'il faut afficher le PA modif
notaire prépare cession de la CH 505 à M. RIVIERE
</t>
  </si>
  <si>
    <t>servitude EP à faire : délib CM transmise au notaire qui doit faire un projet de servitude
rétrocéder voirie : BJE doit faire DA / DOE transmis à Commune</t>
  </si>
  <si>
    <t>rétrocession voirie Mairie à faire / DA en attente validation par Commune
DOE transmis à commune</t>
  </si>
  <si>
    <t>OCTAVIE LLTS</t>
  </si>
  <si>
    <t>OCTAVIE LLS</t>
  </si>
  <si>
    <t>ES 15/10/17
CG 19/10/17</t>
  </si>
  <si>
    <t>DESIRE 3</t>
  </si>
  <si>
    <t>AK 661 - 770</t>
  </si>
  <si>
    <t>Mairie / privé</t>
  </si>
  <si>
    <t>GGO</t>
  </si>
  <si>
    <t>VEFA</t>
  </si>
  <si>
    <t>EM 628 p</t>
  </si>
  <si>
    <t>BENJAMIN HOAREAU</t>
  </si>
  <si>
    <t>VINCENDO CAFE</t>
  </si>
  <si>
    <t>BX 420</t>
  </si>
  <si>
    <t>GORBATCHEV</t>
  </si>
  <si>
    <t>BY 284</t>
  </si>
  <si>
    <t>BV 024,213 AO 716,726</t>
  </si>
  <si>
    <t>Avenant EPFR signé
Convention avec riverain signée</t>
  </si>
  <si>
    <t>avenant 1 EPFR  signé - acquisition à mai 2018</t>
  </si>
  <si>
    <t>bornage signé mais remis en cause / servitude de tréfonds SAPHIR
prorogation EPFR jusqu'au 11/09/2019 : avenant à recevoir</t>
  </si>
  <si>
    <t xml:space="preserve">acte signé 30/11/15
voie à détacher : en cours
</t>
  </si>
  <si>
    <t>terrains achetés
PA obtenu</t>
  </si>
  <si>
    <t>BJE récupère les pièces avec FBR
attente tableau des ventes de FBR
Rétrocession du chemin de l'amitié à faire
attente conformité des lots</t>
  </si>
  <si>
    <t xml:space="preserve"> servitude EP OK / échange de lot à faire
DA  en cours pour les lots
manque les pièces PA
rétrocession des 3 rues à faire mais appartiennent à INGEPAR / DA à faire par BJE
1 des lots est occupé</t>
  </si>
  <si>
    <t xml:space="preserve">
1 LOT sous compromis
Obtenir conformité Mairie</t>
  </si>
  <si>
    <t xml:space="preserve">rétrocession voirie Mairie à faire : solliciter la Commune
</t>
  </si>
  <si>
    <t>abandon</t>
  </si>
  <si>
    <t>COCO TURPIN</t>
  </si>
  <si>
    <t>REHAB</t>
  </si>
  <si>
    <t>(vide)</t>
  </si>
  <si>
    <t>Kakis</t>
  </si>
  <si>
    <t>ECART Arrêté DEAL / OS</t>
  </si>
  <si>
    <t>ANNEE DEMARRAGE</t>
  </si>
  <si>
    <t xml:space="preserve">CANNELLE </t>
  </si>
  <si>
    <t xml:space="preserve">PAPYRUS </t>
  </si>
  <si>
    <t>MMA</t>
  </si>
  <si>
    <t xml:space="preserve">AX 24p / 25 / 429p / 28 / 27p
actualisation topo en cours
zone RHI
</t>
  </si>
  <si>
    <t>sem 12/02 : T5</t>
  </si>
  <si>
    <t xml:space="preserve">Taux conformité DCE au CRATE </t>
  </si>
  <si>
    <t>Marché MOE notifié</t>
  </si>
  <si>
    <t>Dépôt du dossier PC en Mairie (GANTT)-Prévu</t>
  </si>
  <si>
    <t>Dépôt du dossier PC en Mairie - Réalisé</t>
  </si>
  <si>
    <t>Ecart dépôt PC (j)</t>
  </si>
  <si>
    <t>OS APD - prévu</t>
  </si>
  <si>
    <t>OS APD - Réalisé</t>
  </si>
  <si>
    <t>Ecart</t>
  </si>
  <si>
    <t>OS ESQ - prévu</t>
  </si>
  <si>
    <t>OS ESQ - Réalisé</t>
  </si>
  <si>
    <t>ECART (j)</t>
  </si>
  <si>
    <t>OS PRO - prévu</t>
  </si>
  <si>
    <t>OS PRO - Réalisé</t>
  </si>
  <si>
    <t>OS DCE - prévu</t>
  </si>
  <si>
    <t>OS DCE - Réalisé</t>
  </si>
  <si>
    <t>Signature Marché Travaux - Prévu</t>
  </si>
  <si>
    <t>Signature Marché Travaux - Réalisé</t>
  </si>
  <si>
    <t>Date OS Prévu</t>
  </si>
  <si>
    <t xml:space="preserve">Ecart </t>
  </si>
  <si>
    <t>Terrassement - Prévu</t>
  </si>
  <si>
    <t>Terrassement Réalisé</t>
  </si>
  <si>
    <t>Fondations - Prévu</t>
  </si>
  <si>
    <t>Fondations Réalisé</t>
  </si>
  <si>
    <t>Elevations - Prévu</t>
  </si>
  <si>
    <t>Elevations Réalisé</t>
  </si>
  <si>
    <t>Cloisons - Prévu</t>
  </si>
  <si>
    <t>Cloisons - Réalisé</t>
  </si>
  <si>
    <t>Finitions int - Prévu</t>
  </si>
  <si>
    <t>Finitions int - Réalisé</t>
  </si>
  <si>
    <t>Réception AEP</t>
  </si>
  <si>
    <t>Réception FT</t>
  </si>
  <si>
    <t>Réception EDF</t>
  </si>
  <si>
    <t>Fonds propres au démarrage</t>
  </si>
  <si>
    <t>Fonds propres actualisés</t>
  </si>
  <si>
    <t>RO successifs</t>
  </si>
  <si>
    <t>Observations générales</t>
  </si>
  <si>
    <t>FMA / FHO</t>
  </si>
  <si>
    <t>FMA / YFR</t>
  </si>
  <si>
    <t>décalage de programmation</t>
  </si>
  <si>
    <t>SFE / AGA / FVA</t>
  </si>
  <si>
    <t>JMO / NBL / FBR</t>
  </si>
  <si>
    <t>JMO / FBR</t>
  </si>
  <si>
    <t>JMO / AGA / FVA</t>
  </si>
  <si>
    <t>SFE / APU</t>
  </si>
  <si>
    <t>passage en crédit d'impôt</t>
  </si>
  <si>
    <t>INFO / arrêt de chantier du 20/02/17 au 17/04/2017 suite pb d'avoisinant (bornage et mur)/retard galvanisation charpente</t>
  </si>
  <si>
    <t>JDC / NBL / MFL / ADE</t>
  </si>
  <si>
    <t>MFL / ADE</t>
  </si>
  <si>
    <t xml:space="preserve">Fourragères </t>
  </si>
  <si>
    <t>offres à analyser mais entreprises n'ont pas fait de visite</t>
  </si>
  <si>
    <t>PRO à recevoir en 02/18 - PC modif à déposer</t>
  </si>
  <si>
    <t>DIAG reçu / valider pgr travaux / revue de projet 20/02</t>
  </si>
  <si>
    <t>APS à analyser / PC à déposer 10/02/18 au plus tard</t>
  </si>
  <si>
    <t>PC à déposer 10/02/18 au plus tard</t>
  </si>
  <si>
    <t>PC à déposer 10/02/18 au plus tard / attente données hydrétudes</t>
  </si>
  <si>
    <t>Lot Cloison : SPB par CPR
Lot Etanchéité : RSOP par Corail
Lot Sol souple : RSOP par Corail
Lot peinture : RSOP par Marine Peinture
Soit 4 lots sur 15 lots = 26 %</t>
  </si>
  <si>
    <t>Lot Men Ext
Lot Cloisons
Lot Bardage
Lot Bardage
soit 4 lots sur 14 = 29%
4 RO</t>
  </si>
  <si>
    <t xml:space="preserve">Lot Charpente : BCCM par CMOI
Lot Peinture/Sol : RSOP par Corail
Lot Etanchéité : RVD par Corail
Lot ECS : Sunzil par Gaia 
Soit 4 lots / 14 lots  =  28 % </t>
  </si>
  <si>
    <t>Lot VRD
Lot Men Ext
Soit 2 lots sur 15 soit 13%
3 RO</t>
  </si>
  <si>
    <t>Lot VRD - SATP par Austral TP
Lot Cloisons - SPB par 3PPLUS
Lot Elec : DTS par EES
Soit 3 lots sur 14 = 21%
3 RO</t>
  </si>
  <si>
    <t>Lot Men Ext : APOI
Lot Metallerie : CSMD par M Metallerie
Lot Elec : Filea Elec par Mon ti caze Eclaire
Soit 3 lots sur 14 = 21%
5 RO</t>
  </si>
  <si>
    <t>Lot 4 Menuiserie - PVC 400 par Sofaal
Lot Metallerie : Technipose par Pumalu
soit 2 lots sur 16 = 12%
3 RO</t>
  </si>
  <si>
    <t>OPC :  L'hospitalier par Fromentin
Lot Etanchéité :
Lot Peinture :
Lot Cloison : Plaquiste réunion par Plaquiste.com
Menui Alu : FAOI par Technipose
Menui Alu : Technipose par Soremir
Lot Elect : I2E par Megawatt
Soit  6 lots sur 22 = 27 %</t>
  </si>
  <si>
    <t>Lot Couverture : BCCM par GMF
soit 1 lot sur 14
2 RO</t>
  </si>
  <si>
    <t>Lot 1.1 SATP
Lot 9 ERSEC 
Soit 2 lots sur 15 = 13%
3 RO</t>
  </si>
  <si>
    <t>Lot GO : Dunite btp par CH2D
Lot Métallerie : Sodure par Espace alu
Soit 2 sur 14 lots = 14%
4 RO</t>
  </si>
  <si>
    <t>Lot Bardage : EEC par MJF
Lot Charpente : EEC par MJF
Lot Elect : I2E par IEB
Lot Plomb : Sarhane par Ersec
Lot Plomb : Ersec par CSO
Soit 5 lot sur 14 = 35%
2 RO</t>
  </si>
  <si>
    <t>Résiliation ABR 21/08/13 - attribution EKCB 04/02/14 
Résiliation SATP 20/03/14 - attribution TPL 19/09/14 
Résiliation CSMD 16/05/14 - attribution EKCB 20/07/14 
Résiliation IJAP 20/06/14 - attribution M Peinture 03/12/14 
Résiliation APOI 16/06/15 - attribution SOREMIR 04/09/15
Lot Elec : DTS par Idem
 soit 6 lots sur 15 soit 40%
3 RO</t>
  </si>
  <si>
    <t>Lot Peinture : LSR par Marine Peinture
Lot ECS : Ersec par Gaia
Lot Plomb : Ersec par PSVR
Lot Cloison : CIOI par Austral Placo
Lot Charpente : CSMD par HJP
Lot Metallerie : CSMD par HJP
Lot Revetement Dur : PSOI par TPMIB
Soit 7 lots sur 15 soit 45 %
2 RO</t>
  </si>
  <si>
    <t>Lot Men Ext
Lot Charpente
Lot ECS
Soit 3 sur 17 lots = 17 %
2 RO</t>
  </si>
  <si>
    <t>Lot Elec : DTS par Rayroux
Soit 1 lot sur 16
3 RO</t>
  </si>
  <si>
    <t>Lot Cloison : PRE par DROZ
 soit 1 sur 15</t>
  </si>
  <si>
    <t>Lot élec : Eneris par Espace Soleil
Soit 1 sur 15
4 RO</t>
  </si>
  <si>
    <t>Lot Menui Ext :PVC 400 par Sofaal
soit 1 sur 15
1  RO</t>
  </si>
  <si>
    <t>Transmission à DAF
Garantie CR</t>
  </si>
  <si>
    <t>Transmission à DAF
Garantie EPCI</t>
  </si>
  <si>
    <t>Transmission à DAF
Garantie CM</t>
  </si>
  <si>
    <t>Transmission à DAF
Garantie CG</t>
  </si>
  <si>
    <t>Lot désamiantage</t>
  </si>
  <si>
    <t>négo en cours</t>
  </si>
  <si>
    <t>lancement AO sem 26/02 - voir avec TGI pour enlever toiture du DCE</t>
  </si>
  <si>
    <t>contrat de prêt à recevoir en février 2018 / délib garantie CM 24/02 / VEFA à signer fin fév 18 au + tard</t>
  </si>
  <si>
    <t>courrier de MAP financière / technique faite au promoteur</t>
  </si>
  <si>
    <t>attente schéma directeur EP pour lever réserve BCT sur évacuation EP = réunion Boyer 24/02
attente DCE indice 2
analyser offres désamiantage</t>
  </si>
  <si>
    <t>caler réunion validation PRO semaine 26/02</t>
  </si>
  <si>
    <t>IMPREVUS ACTUALISES</t>
  </si>
  <si>
    <t>Date réception prévue initialement</t>
  </si>
  <si>
    <t>DECOMPTE SUIVANT DELAI OS</t>
  </si>
  <si>
    <t>DECOMPTE SUIVANT DELAI VEFA</t>
  </si>
  <si>
    <t xml:space="preserve">      PROGRAMMATION
          OS</t>
  </si>
  <si>
    <t xml:space="preserve">      PROGRAMMATION
  LIVRAISON</t>
  </si>
  <si>
    <t>MISES EN CHANTIER / LIVRAISONS</t>
  </si>
  <si>
    <t>€/m² terrain</t>
  </si>
  <si>
    <t>PRP CA</t>
  </si>
  <si>
    <t>Agrément définitif</t>
  </si>
  <si>
    <t>OK</t>
  </si>
  <si>
    <t>Date RDC Patrimoine</t>
  </si>
  <si>
    <t>montage technico financier complexe / reprise d'études MOE à la demande du Maire / recherche de solutions pour minimiser les fonds propres (négociation foncière avec un propriétaire foncier pour réalisation de lots à batir en dation)
nombreux retards de paiement de la DAF (JM Plomberie, gros oeuvre)</t>
  </si>
  <si>
    <t xml:space="preserve">Somme de PRP TTC  </t>
  </si>
  <si>
    <t>JFO / BBL / FHO / AGA / APU</t>
  </si>
  <si>
    <r>
      <t xml:space="preserve">Lot carrelage : EEPC par 
Lot plomberie : Attitude Plomb par 
Lot ECS : DYELL par 
Lot Charpente : Sorlier par JP Hoarau
Lot Charpente : JP Hoarau par CMOI
</t>
    </r>
    <r>
      <rPr>
        <b/>
        <sz val="8"/>
        <color indexed="8"/>
        <rFont val="Verdana"/>
        <family val="2"/>
      </rPr>
      <t>Soit 5 sur 15 lots  = 33 %</t>
    </r>
    <r>
      <rPr>
        <sz val="8"/>
        <color indexed="8"/>
        <rFont val="Verdana"/>
        <family val="2"/>
      </rPr>
      <t xml:space="preserve">
</t>
    </r>
  </si>
  <si>
    <t>faisaibilité à 23 logements mixte - à la demande de la Mairie réalisation d'une RPA et de moins de logements
beaucoup de RO</t>
  </si>
  <si>
    <t>PRÊT CREDIT D'IMPOT (PM)</t>
  </si>
  <si>
    <t>EVOLUTION DE LA LBU (locatif neuf)</t>
  </si>
  <si>
    <t>EM 628 p
CPV avec TURPIN signé + clause substit EPFR
bornage à compléter - manque procurations / DA en cours de finalisation pour EM 629
EPFR délibère en mars/avril
minoration foncière CIVIS</t>
  </si>
  <si>
    <t>envoi à l'arrangeur 07/03/18</t>
  </si>
  <si>
    <t>dossier envoyé Arrangeur 09/11/17</t>
  </si>
  <si>
    <t>envoyé arrangeur 12/10/17</t>
  </si>
  <si>
    <t>envoi arrangeur 21/02/18</t>
  </si>
  <si>
    <t>Budget clôture validé DAF</t>
  </si>
  <si>
    <t>problématique foncière non anticipée et propre à la vente en VEFA défisc
changements de RO
avancement SMOI</t>
  </si>
  <si>
    <t>problématique foncière non anticipée et propre à la vente en VEFA défisc
changements de RO
délai paiement entreprises</t>
  </si>
  <si>
    <t xml:space="preserve">aléa mouvement de terrain grevant la parcelle après maîtrise foncière, à lever auprès du BRGM 
sécurisation du site proximité école
</t>
  </si>
  <si>
    <t>manque  DOE Métallerie</t>
  </si>
  <si>
    <t>Lot Charpente Couverture : Trait Carré par HJP
Lot Gros-œuvre : Robert Construction par CH2D
Lot Men Ext :APOI par Espace Alu
Lot électricité : Electric Services par
Lot Gros-Œuvre : CH2D par DRMS
Lot OPC
Lot plomberie : Fluides OI par
Soit 7 lots sur 14 = 50%
3 RO</t>
  </si>
  <si>
    <t>BD 2997</t>
  </si>
  <si>
    <t>envoi Arrangeur 18/04/18</t>
  </si>
  <si>
    <t>APS</t>
  </si>
  <si>
    <t>Mois de loyers avant 1e échéance</t>
  </si>
  <si>
    <t>Montant échéance annuelle</t>
  </si>
  <si>
    <t>Montant des loyers perçus avant 1e échéance</t>
  </si>
  <si>
    <t>envoi OFOI 22/06/18</t>
  </si>
  <si>
    <t>Prix Achat TTC</t>
  </si>
  <si>
    <t>Frais financiers clôture</t>
  </si>
  <si>
    <t>TAILLE DES OPERATIONS LLS / LLTS (Hors Rehab )</t>
  </si>
  <si>
    <t>EVOLUTION DE LA PROGRAMMATION PAR BASSIN (hors REHAB)</t>
  </si>
  <si>
    <t>raccordement EU à 400 mL</t>
  </si>
  <si>
    <t>ETUDES</t>
  </si>
  <si>
    <t>TRAVAUX</t>
  </si>
  <si>
    <t>N opérations</t>
  </si>
  <si>
    <t>PATRIMOINE</t>
  </si>
  <si>
    <t>REPARTITION DE L'ACTIVITE (depuis PROG 2010)</t>
  </si>
  <si>
    <t>OPERATIONS VIVANTES</t>
  </si>
  <si>
    <t>Neuf en propre</t>
  </si>
  <si>
    <t>Rehabilitations</t>
  </si>
  <si>
    <t>Date inauguration initiale</t>
  </si>
  <si>
    <t>Date inauguration recalée</t>
  </si>
  <si>
    <t>Retard Inauguration (m)</t>
  </si>
  <si>
    <t>SMOI : 1 mois retard 
mur voisin : 1,5 mois retard</t>
  </si>
  <si>
    <t>Date réception recalée</t>
  </si>
  <si>
    <t>Retard réception (m)</t>
  </si>
  <si>
    <t>Lot Men Ext</t>
  </si>
  <si>
    <t>Lot plomberie 
Lot peinture, étanchéité</t>
  </si>
  <si>
    <t>équipement local refoulement par CASUD à partir du 05/02 (1 mois travaux)</t>
  </si>
  <si>
    <t xml:space="preserve">Lot GO </t>
  </si>
  <si>
    <t>Lot étanchéité</t>
  </si>
  <si>
    <t xml:space="preserve">Lot carrelage </t>
  </si>
  <si>
    <t>COLTRAV : pb avancement sous-traitant
J2S : pb avancement - 20 j pénalités
SMOI : pénalités
4 j intempéries</t>
  </si>
  <si>
    <t>FONDS PROPRES (après mise en place des prêts complémentaires)</t>
  </si>
  <si>
    <t>TS Correspondant à des imprévus chantier (or résiliation)</t>
  </si>
  <si>
    <t>% TS / PRP</t>
  </si>
  <si>
    <t>80659
31 478 FRAFU</t>
  </si>
  <si>
    <t>Date EDLE</t>
  </si>
  <si>
    <t>7 &amp; 08/08</t>
  </si>
  <si>
    <t>20 &amp; 21/08</t>
  </si>
  <si>
    <t>bâche à poser pour sécurité incendie, avant inauguration
retard SBIM / AMEDEE</t>
  </si>
  <si>
    <t>difficultés de terrassement dû à la nature du sol rencontré (courrier LASETRA) /retard galvanisation charpente+ 45 jours</t>
  </si>
  <si>
    <t>avancement PERSM problématique
mur soutènement arrière
intempéries</t>
  </si>
  <si>
    <t>manque terrain communal à acheter en mai 2018 : veiller à ce que les abonnements soient résiliés / prorogation à demander à Mairie</t>
  </si>
  <si>
    <t>compromis vente signé prend fin fin mars 2017 / à proroger à juillet 2019</t>
  </si>
  <si>
    <t>Lot. Montvert</t>
  </si>
  <si>
    <t>Lot. FOURRAGERES</t>
  </si>
  <si>
    <t>Neuf / Rehab</t>
  </si>
  <si>
    <t>dont VEFA</t>
  </si>
  <si>
    <t>DBA</t>
  </si>
  <si>
    <t>DAM</t>
  </si>
  <si>
    <t>EVOLUTION DU PLAN DE FINANCEMENT D'UN LOGEMENT</t>
  </si>
  <si>
    <t>Benoite Boulard (PIVET-VELIN)</t>
  </si>
  <si>
    <t>Somme de SF</t>
  </si>
  <si>
    <t>N hors REHAB</t>
  </si>
  <si>
    <t>Somme de N hors REHAB</t>
  </si>
  <si>
    <t>PRP TTC HORS REHAB</t>
  </si>
  <si>
    <t>Anne Caze (Plaine St Paul)</t>
  </si>
  <si>
    <t>CI 7</t>
  </si>
  <si>
    <t>AD 133 / 132</t>
  </si>
  <si>
    <t>Prix achat /m² SF</t>
  </si>
  <si>
    <t>En 339/343/568/570</t>
  </si>
  <si>
    <t>BZ 90</t>
  </si>
  <si>
    <t>UC 2</t>
  </si>
  <si>
    <t>2NAUh</t>
  </si>
  <si>
    <t>Christiane - Amata (HE 168) LLTS</t>
  </si>
  <si>
    <t>PRÊT COMPLEMENTAIRE</t>
  </si>
  <si>
    <t>Modif PLU</t>
  </si>
  <si>
    <t>Terrains TSENG KING et chemin de la Chapelle</t>
  </si>
  <si>
    <t>NAUD ==&gt; 1AU</t>
  </si>
  <si>
    <t>attente PLU
03/05/18 : Mairie prend contact avec propriétaires</t>
  </si>
  <si>
    <t>Emplacement réservé Plateau Vincendo</t>
  </si>
  <si>
    <t>CT 325 / CS 520,521</t>
  </si>
  <si>
    <t>CT 325 en zone N / CS 520 en Zone U
opération globale conditionnée à la réalisation d'un rond point sur la RN ==&gt; Mairie prend contact avec la Région</t>
  </si>
  <si>
    <t>Eglise Pharmacie</t>
  </si>
  <si>
    <t>Opération RPA</t>
  </si>
  <si>
    <t>Eglise Pharmacie 2</t>
  </si>
  <si>
    <t>AX 570</t>
  </si>
  <si>
    <t>modif PLU</t>
  </si>
  <si>
    <t>NAU ==&gt; 1 AU</t>
  </si>
  <si>
    <t>Zone A au SAR et hors ZPU. Demande Mairie 2AU au futur PLU</t>
  </si>
  <si>
    <t>Josepha Fontaine Tranche 2</t>
  </si>
  <si>
    <t>Chemin Dardanelles</t>
  </si>
  <si>
    <t>BE 004,005,393,394,339</t>
  </si>
  <si>
    <t>Demande Mairie 2AU au futur PLU. Projet d'ensemble équipements + lgts</t>
  </si>
  <si>
    <t>Chemin des Chardons</t>
  </si>
  <si>
    <t>AV 94, 95 …</t>
  </si>
  <si>
    <t>Demande Mairie 2AU au futur PLU. Projet à développer sur le long terme selon la Mairie</t>
  </si>
  <si>
    <t>BX 26</t>
  </si>
  <si>
    <t>AV 120 - 124</t>
  </si>
  <si>
    <t xml:space="preserve">offre faite au vendeur, problème de transcription aux hypothèques : vendeurs pas en mesure de vendre
o L’EPFR précise qu’il serait intéressant de les solliciter pour percevoir les bonifications SRU ; à ce sujet le plafond a été relevé à 200 K€ par opération depuis janvier 2018
o La DEAL souhaite de la mixité sur ce projet
PPA 18/04/18 : vérifier opportunité d'acquisition simultanée de AV 124. vérifier signification"espace non urbanisé hors TU" (couche SIG). Etude FRAFU à envisager. Vérifier zonage NAU (nouveau PLU)
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</si>
  <si>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Oiseaux du Paradis 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</si>
  <si>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Les Pechers </t>
    </r>
  </si>
  <si>
    <t>AR 1173,1174</t>
  </si>
  <si>
    <t>attente projet du promoteur</t>
  </si>
  <si>
    <t>AUC9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</si>
  <si>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PAVILLONS DE L'ENTRE DEUX</t>
    </r>
  </si>
  <si>
    <t>terrain en indivision bloqué (39 coindivisaires)
opération déséquilibrée financièrement</t>
  </si>
  <si>
    <t xml:space="preserve">études d'urba réalisées – présenté à la DEAL.
DEAL ne souhaite pas d’extension urbaine s’il n’y a pas d’assainissement collectif
DEAL défavorable à un déclassement s’il n’y a pas de STEP mais une nouvelle proposition aurait été faite par la commune à la DEAL
CW 732 exploitable : qui est le propriétaire ?
</t>
  </si>
  <si>
    <t>non inscrit</t>
  </si>
  <si>
    <t>VEFA Trèfles</t>
  </si>
  <si>
    <t>Ex projet PTZ de B Bois – En attente octroi prêt pour la dernière famille- pas d’avancée - simulations financières font état d'un déséquilibre financier du au prix du foncier - Ville informée</t>
  </si>
  <si>
    <t>CAP SUD (ex BOYER LANGEVIN)</t>
  </si>
  <si>
    <t>Etude urbaine</t>
  </si>
  <si>
    <t>FRAFU OK pour études complémentaires. Courrier Mairie sur urbanisation secteur ou pas avant poursuite
03/05/18 : Etude FRAFU à lancer au plus tôt parce que CPV toujours en attente d'accord des vendeurs (1 an de discussion) - désaccord entre vendeurs</t>
  </si>
  <si>
    <t>BOYER</t>
  </si>
  <si>
    <t>BY 674,867,868,872,869,870,877</t>
  </si>
  <si>
    <t>CX 759 p / 191</t>
  </si>
  <si>
    <t>Maisons de ville- assainissement individuel ? Dde de participation communale : CASUD n'accepte pas le principe de rétrocession d'une microstation, nécessaire à la densification et à l'équilibre financier du projet</t>
  </si>
  <si>
    <t>Terrain Defaud. Attente étude communale passage d'une voie de 9m en ER. 
09/05/18 : discussions en cours avec SPRINR sur optimisation PPR. Commerces prévus en RDC
Offre refusée par propriétaire
pas de retour Mairie sur définitiion emprise ER</t>
  </si>
  <si>
    <t>BX 1057,1055,1053,950</t>
  </si>
  <si>
    <t>BT 920 3 MARES</t>
  </si>
  <si>
    <t>mairie ne souhaite pas de logements aidés - terrain maîtrisé par la Ville / relancer mairie sur volonté programmatique</t>
  </si>
  <si>
    <t>Mairie</t>
  </si>
  <si>
    <t>réétudier opé avec FRAFU à la demande de la DEAL
 Attente PLU 2018
faire simul FRAFU</t>
  </si>
  <si>
    <t>Propriétaire à relancer sur opportunité de vente
Mairie veut du PLS - Position Etat à définir
Etude à lancer sur programme qui passe de 35 à 60 lgts
Reflexion SODEGIS élargie aux parcelles voisines
Terrain toujours disponible ? Attention terrain cher</t>
  </si>
  <si>
    <t>ETUDE URBAINE DU 23e KM - CHATAIGNERS</t>
  </si>
  <si>
    <t>DE 22,407,408,265</t>
  </si>
  <si>
    <t>3 ha de terrain constructible- Etude Phase 1 présentée à DEAL
09/05/18 : Etude FRAFU relancée (signée par nouveau DG). A présenter + définition du programme à préciser (mixité sociale et fonctionnelle à prévoir)
Relevé topo initial envoyé à la Ville - pas de retour</t>
  </si>
  <si>
    <t>attente offres MOE 25/10/18 pour lancer ESQ
portage EPFR prévu / topo toujours pas commandé</t>
  </si>
  <si>
    <t>SODEGIS plus engagée avec le vendeur - CPV tombé en juin 2018</t>
  </si>
  <si>
    <t>Garantie CM</t>
  </si>
  <si>
    <t>Réception Garantie CM</t>
  </si>
  <si>
    <t>Demande de garantie CM</t>
  </si>
  <si>
    <t>Demande de garantie EPCI</t>
  </si>
  <si>
    <t>Garantie EPCI</t>
  </si>
  <si>
    <t>Réception Garantie EPCI</t>
  </si>
  <si>
    <t>Demande de garantie CR</t>
  </si>
  <si>
    <t>Garantie CR</t>
  </si>
  <si>
    <t>Réception Garantie CR</t>
  </si>
  <si>
    <t>Demande de garantie CG</t>
  </si>
  <si>
    <t>Garantie CG</t>
  </si>
  <si>
    <t>Réception Garantie CG</t>
  </si>
  <si>
    <t>cloture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</si>
  <si>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</si>
  <si>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</si>
  <si>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</si>
  <si>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</si>
  <si>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</si>
  <si>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Raisins Marines (Hopital)</t>
    </r>
  </si>
  <si>
    <t>EN 563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</si>
  <si>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T2</t>
    </r>
  </si>
  <si>
    <t xml:space="preserve">AP 1270 / 1274 / 1280 </t>
  </si>
  <si>
    <t>SEDRE</t>
  </si>
  <si>
    <t>abandon Mairie</t>
  </si>
  <si>
    <t>ESTIA</t>
  </si>
  <si>
    <t>ok - reste Excel</t>
  </si>
  <si>
    <t>DENSITE lgt/ha</t>
  </si>
  <si>
    <t xml:space="preserve">Bouton d'Or </t>
  </si>
  <si>
    <t>OK + excel</t>
  </si>
  <si>
    <t>Excel OK</t>
  </si>
  <si>
    <t>Commune 14/09/18</t>
  </si>
  <si>
    <t>Lot cloisons
Lot carrelage
Lot peinture / sols souples</t>
  </si>
  <si>
    <t>TERRAIN</t>
  </si>
  <si>
    <t xml:space="preserve">VRD </t>
  </si>
  <si>
    <t>Contrôle</t>
  </si>
  <si>
    <t>1 Réserve</t>
  </si>
  <si>
    <t>Problémes chantier / RETARDS</t>
  </si>
  <si>
    <t xml:space="preserve">33 j dont 15 prévus au CCAP = intempéries 
1 MOIS = coactivité collège / école
3 MOIS = 4 résiliations
1 MOIS = GILETS JAUNES
1 MOIS = 2é période de congés BTP non prévue
3 SEMAINES = réception EDF
</t>
  </si>
  <si>
    <t>1 MOIS = pb effectif Gros Œuvre / avancement  plaquiste + retards de paiement SODEGIS
3 MOIS = SIDELEC
2 SEMAINES = GILETS JAUNES</t>
  </si>
  <si>
    <t>1 MOIS = GILETS JAUNES
1 MOIS = MARGE DE SECURITE</t>
  </si>
  <si>
    <t>1 MOIS = GILETS JAUNES
2 MOIS = MARGE DE SECURITE</t>
  </si>
  <si>
    <t>1 MOIS = adaptation fondations
1 MOIS = GILETS JAUNES
3 MOIS = MARGE DE SECURITE</t>
  </si>
  <si>
    <t>1 MOIS = résiliation lot gros-œuvre
1 MOIS = GILETS JAUNES
1,5 MOIS = MARGE DE SECURITE</t>
  </si>
  <si>
    <t>Début préfinancement (1e jour du mois suivant la prise d'effet du contrat)</t>
  </si>
  <si>
    <t>Limite validité Ct prêt - Prise d'effet du contrat</t>
  </si>
  <si>
    <t>Hélène TONRU (RPA mixte St Philippe)</t>
  </si>
  <si>
    <t>envoyé arrangeur 11/10/18</t>
  </si>
  <si>
    <t>PRLC 0207</t>
  </si>
  <si>
    <t>CASUD 28/12/18</t>
  </si>
  <si>
    <t>PRLC 0208</t>
  </si>
  <si>
    <t>PRLC 0209</t>
  </si>
  <si>
    <t>PRLC 0210</t>
  </si>
  <si>
    <t>PRLC 0205</t>
  </si>
  <si>
    <t>Budget pré-clôture validé DAF</t>
  </si>
  <si>
    <t xml:space="preserve">ok </t>
  </si>
  <si>
    <t>PRLC 0206</t>
  </si>
  <si>
    <t>BOULANGER</t>
  </si>
  <si>
    <t>CPV en cours
portage EPFR à prévoir</t>
  </si>
  <si>
    <t>BD 1427p/1428p</t>
  </si>
  <si>
    <t>1AUB</t>
  </si>
  <si>
    <t>reste 1 réserve</t>
  </si>
  <si>
    <t>à refaire</t>
  </si>
  <si>
    <t>GREVILEAS</t>
  </si>
  <si>
    <t>BW 132</t>
  </si>
  <si>
    <t>CREDIT IMPOT ACTUEL</t>
  </si>
  <si>
    <t>11/12/18 pgr</t>
  </si>
  <si>
    <t>Fin préfinancement / 1e échéance de prêt (24 mois)</t>
  </si>
  <si>
    <t>Transmission contrat prêt DAF</t>
  </si>
  <si>
    <t>Loyers manquants</t>
  </si>
  <si>
    <t>1 MOIS GILETS JAUNES
1 MOIS = MARGE DE SECURITE
pb lot charpente
pb lot électricité</t>
  </si>
  <si>
    <t>Lot carrelage</t>
  </si>
  <si>
    <t>1 MOIS = résiliation lot carrelage
2 MOIS = SIDELEC
1 MOIS = 2e période de congés BTP non prévue
1 MOIS = GILETS JAUNES</t>
  </si>
  <si>
    <t>lot LES + lot communal à commercialiser</t>
  </si>
  <si>
    <t>rétrocession voie d'accès</t>
  </si>
  <si>
    <t>CG 22/01/19</t>
  </si>
  <si>
    <t>OBJECTIFS LIVRAISONS NEUF CGLLS</t>
  </si>
  <si>
    <t>Livraisons NEUF</t>
  </si>
  <si>
    <t>Avancement  NEUF</t>
  </si>
  <si>
    <t>TQU</t>
  </si>
  <si>
    <t>AS 473/1384</t>
  </si>
  <si>
    <t>EW 195</t>
  </si>
  <si>
    <t>envoyé 30/01/19</t>
  </si>
  <si>
    <t>Prix achat /m² SHAB</t>
  </si>
  <si>
    <t>1 MOIS = GILETS JAUNES
1,5 MOIS = MARGE DE SECURITE EDF / SIDELEC</t>
  </si>
  <si>
    <r>
      <t xml:space="preserve">avancement au 11/03/19 : fin gros-œuvre / début couverture
</t>
    </r>
    <r>
      <rPr>
        <b/>
        <sz val="11"/>
        <color theme="1"/>
        <rFont val="Calibri"/>
        <family val="2"/>
        <scheme val="minor"/>
      </rPr>
      <t xml:space="preserve">à évoquer en Mairie : </t>
    </r>
    <r>
      <rPr>
        <sz val="11"/>
        <color theme="1"/>
        <rFont val="Calibri"/>
        <family val="2"/>
        <scheme val="minor"/>
      </rPr>
      <t>attente de la part de la Mairie de la valeur du foncier voie d'accès à rétrocéder</t>
    </r>
  </si>
  <si>
    <t>DELAIS (mois) entre ARRËTE LBU &amp; OS</t>
  </si>
  <si>
    <t>stand by</t>
  </si>
  <si>
    <t>STOP</t>
  </si>
  <si>
    <t>AT 1291-1293-1294</t>
  </si>
  <si>
    <t>SIDR</t>
  </si>
  <si>
    <t>Acajous</t>
  </si>
  <si>
    <t>BW 1397</t>
  </si>
  <si>
    <t>Ua</t>
  </si>
  <si>
    <t>BM 7 / 8</t>
  </si>
  <si>
    <t>AK 931</t>
  </si>
  <si>
    <t>Uc</t>
  </si>
  <si>
    <t>AUC14</t>
  </si>
  <si>
    <t>AUC4</t>
  </si>
  <si>
    <t>TRINITE 2 &amp; 3</t>
  </si>
  <si>
    <t>Prix achat / lgt</t>
  </si>
  <si>
    <t>RHI</t>
  </si>
  <si>
    <t>AT 184/200 p</t>
  </si>
  <si>
    <t>GINGKO &amp; BILOBA LLTS</t>
  </si>
  <si>
    <t>GINGKO &amp; BILOBA LLS</t>
  </si>
  <si>
    <t>AT 183</t>
  </si>
  <si>
    <t>EK 235</t>
  </si>
  <si>
    <t>AZ 261,178</t>
  </si>
  <si>
    <t>CW 730,731, 732,656, 627,29, 684,1048,1049</t>
  </si>
  <si>
    <t>Terrain Marion Bois Noirs</t>
  </si>
  <si>
    <t>BX 590 p - 1027</t>
  </si>
  <si>
    <t>AV 651 p</t>
  </si>
  <si>
    <t>AX 193 / 236</t>
  </si>
  <si>
    <t>BM 1251 p</t>
  </si>
  <si>
    <t>CAL 23/04</t>
  </si>
  <si>
    <t>Excel OK / ESTIA FAUX</t>
  </si>
  <si>
    <t>problématique juridique INTERINVEST qui a mis beaucoup de temps à se solutionner
retard SBIM / AMEDEE
convention MOD EDF très tardive
38 158 € de pénalités appliquées</t>
  </si>
  <si>
    <t>stand by RHI</t>
  </si>
  <si>
    <t>stand by plus de promoteur</t>
  </si>
  <si>
    <t>négo AO en cours</t>
  </si>
  <si>
    <t>négo AO en cours
prêt PHB 2.0 complémentaire à solliciter</t>
  </si>
  <si>
    <t>attente garantie CASUD
négo AO en cours</t>
  </si>
  <si>
    <t>attente garantie CASUD
marchés à notifier</t>
  </si>
  <si>
    <t>attente prêt pour solliciter garants
marchés à notifier</t>
  </si>
  <si>
    <t>AO à lancer  en mai</t>
  </si>
  <si>
    <r>
      <t xml:space="preserve">AO à lancer en mai
Démarrage dès obtention garanties : Mairie sollicitée pour garantie à 100 % (au lieu de 4 garants avec délai de 8 mois)
</t>
    </r>
    <r>
      <rPr>
        <sz val="11"/>
        <color rgb="FFFF0000"/>
        <rFont val="Calibri"/>
        <family val="2"/>
        <scheme val="minor"/>
      </rPr>
      <t>analyse complémentaire DEAL en cours pour attestation nécessaire à la prorogation du PC</t>
    </r>
  </si>
  <si>
    <t>AO en cours : réception offres fin avril</t>
  </si>
  <si>
    <t>AO à lancer</t>
  </si>
  <si>
    <t>DCE à finaliser - AO à lancer</t>
  </si>
  <si>
    <t>annulé</t>
  </si>
  <si>
    <t>DATE LIMITE DAT CREDIT IMPOT</t>
  </si>
  <si>
    <t>28/12/2018
01/04/19</t>
  </si>
  <si>
    <t>CASUD 10/04/19
Mairie 11/04/19</t>
  </si>
  <si>
    <t>FANJAN (Ilot 6.2)</t>
  </si>
  <si>
    <t>Chemin des Serins</t>
  </si>
  <si>
    <t>EN 823 p</t>
  </si>
  <si>
    <t>1AUb2</t>
  </si>
  <si>
    <t>BX 176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</si>
  <si>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RPA ALBIUS</t>
    </r>
  </si>
  <si>
    <t>Résidence AVRIL (IKARIA)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</si>
  <si>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Résidence BERTAUT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</si>
  <si>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T1</t>
    </r>
  </si>
  <si>
    <t>REPARTITION ASSISTANTES TRAVAUX NEUFS &amp; REHABILITATION</t>
  </si>
  <si>
    <t>dossier envoyé une 2e fois 31/01/2019</t>
  </si>
  <si>
    <t>rel RO 17/04/19</t>
  </si>
  <si>
    <t>à envoyer</t>
  </si>
  <si>
    <t>rel RO 17/4/19</t>
  </si>
  <si>
    <t>CASUD 10/04/19 
Ville 18/04/19</t>
  </si>
  <si>
    <t>22/01/19 CG
30/04/19 CR</t>
  </si>
  <si>
    <t>annulée</t>
  </si>
  <si>
    <t>PRLC 0213</t>
  </si>
  <si>
    <t>EMO</t>
  </si>
  <si>
    <t>CREDIT D'IMPOT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</si>
  <si>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23e KM ADJIBI</t>
    </r>
  </si>
  <si>
    <t>Loyer m² SHAB</t>
  </si>
  <si>
    <t>Loyer m² SF</t>
  </si>
  <si>
    <t>Loyer moyen / lgt</t>
  </si>
  <si>
    <t>SHAB y/c V</t>
  </si>
  <si>
    <r>
      <rPr>
        <sz val="11"/>
        <color rgb="FFFF0000"/>
        <rFont val="Calibri"/>
        <family val="2"/>
        <scheme val="minor"/>
      </rPr>
      <t xml:space="preserve">VEFA </t>
    </r>
    <r>
      <rPr>
        <sz val="11"/>
        <rFont val="Calibri"/>
        <family val="2"/>
        <scheme val="minor"/>
      </rPr>
      <t xml:space="preserve"> Les Rosiers</t>
    </r>
    <r>
      <rPr>
        <sz val="11"/>
        <color rgb="FFFF0000"/>
        <rFont val="Calibri"/>
        <family val="2"/>
        <scheme val="minor"/>
      </rPr>
      <t xml:space="preserve">  </t>
    </r>
    <r>
      <rPr>
        <sz val="11"/>
        <rFont val="Calibri"/>
        <family val="2"/>
        <scheme val="minor"/>
      </rPr>
      <t>LLS</t>
    </r>
  </si>
  <si>
    <r>
      <rPr>
        <sz val="11"/>
        <color rgb="FFFF0000"/>
        <rFont val="Calibri"/>
        <family val="2"/>
        <scheme val="minor"/>
      </rPr>
      <t xml:space="preserve">VEFA </t>
    </r>
    <r>
      <rPr>
        <sz val="11"/>
        <rFont val="Calibri"/>
        <family val="2"/>
        <scheme val="minor"/>
      </rPr>
      <t xml:space="preserve"> Les Rosiers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LLTS</t>
    </r>
  </si>
  <si>
    <t>Christiane - Amata (HE 168) LLS</t>
  </si>
  <si>
    <t>RPA DU PARC</t>
  </si>
  <si>
    <t>SHAB / lgt</t>
  </si>
  <si>
    <t>attente pose compteurs</t>
  </si>
  <si>
    <t>HDE - Prévu</t>
  </si>
  <si>
    <t>HDE - Réalisé</t>
  </si>
  <si>
    <t>HDA - Prévu</t>
  </si>
  <si>
    <t>HDA - Réalisé</t>
  </si>
  <si>
    <t>DEPENSES COMPTABILISEES</t>
  </si>
  <si>
    <t>SUBVENTIONS TOTALES</t>
  </si>
  <si>
    <t>SUBVENTIONS COMPTABILISEES</t>
  </si>
  <si>
    <t>Mois restant avant réception</t>
  </si>
  <si>
    <t>% avancement dépenses</t>
  </si>
  <si>
    <t>% avancement subventions</t>
  </si>
  <si>
    <t>RESTE A DEPENSER</t>
  </si>
  <si>
    <t>SUBVENTIONS RESTANTES</t>
  </si>
  <si>
    <t>PRLC 0214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</si>
  <si>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GTOI Roland Garros PLS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</si>
  <si>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ACACIAS CI 7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</si>
  <si>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ACACIAS CI 7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</si>
  <si>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Miami</t>
    </r>
  </si>
  <si>
    <t>N°</t>
  </si>
  <si>
    <t>OBS</t>
  </si>
  <si>
    <t>foncier déjà acheté
à dépenser ACT + 1e situation GO / VRD + DO</t>
  </si>
  <si>
    <t xml:space="preserve">ACT MOE, éventuellement 1e situation VRD </t>
  </si>
  <si>
    <t>achat terrain 600 000 + fondations</t>
  </si>
  <si>
    <t>- 100 824 frais notaire sortie défisc</t>
  </si>
  <si>
    <t>achat foncier 1016540
1e situation GO et VRD</t>
  </si>
  <si>
    <t>1e situation GO et VRD</t>
  </si>
  <si>
    <t>achat terrain 296 000
1e situation GO et VRD</t>
  </si>
  <si>
    <t>reliquat prix terrain
1e situation GO et VRD</t>
  </si>
  <si>
    <t>% avancement dépenses à fin 2019</t>
  </si>
  <si>
    <t>SUB ETAT</t>
  </si>
  <si>
    <t>PRLC 0212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</si>
  <si>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GTOI Roland Garros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</si>
  <si>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</si>
  <si>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</si>
  <si>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EPICEA BX 26</t>
    </r>
  </si>
  <si>
    <t>PHB 2.0</t>
  </si>
  <si>
    <t>Mises en chantier NEUF</t>
  </si>
  <si>
    <t>Avancement NEUF</t>
  </si>
  <si>
    <t xml:space="preserve">ECARTS </t>
  </si>
  <si>
    <t>PRP TTC HORS FRAFU</t>
  </si>
  <si>
    <t>DUREE D'OBTENTION DES PRETS</t>
  </si>
  <si>
    <t>Année de demande</t>
  </si>
  <si>
    <t>Délai d'obtention</t>
  </si>
  <si>
    <t>Délai obtention prêt</t>
  </si>
  <si>
    <t>formules matricielles</t>
  </si>
  <si>
    <t>Année de demande de prêt</t>
  </si>
  <si>
    <t>Délai moyen d'obtention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</si>
</sst>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41" formatCode="_-* #,##0\ _€_-;\-* #,##0\ _€_-;_-* &quot;-&quot;\ _€_-;_-@_-"/>
    <numFmt numFmtId="43" formatCode="_-* #,##0.00\ _€_-;\-* #,##0.00\ _€_-;_-* &quot;-&quot;??\ _€_-;_-@_-"/>
    <numFmt numFmtId="164" formatCode="dd/mm/yy;@"/>
    <numFmt numFmtId="165" formatCode="#,##0\ _€"/>
    <numFmt numFmtId="166" formatCode="_-* #,##0\ _€_-;\-* #,##0\ _€_-;_-* &quot;-&quot;??\ _€_-;_-@_-"/>
    <numFmt numFmtId="167" formatCode="_(* #,##0.00_);_(* \(#,##0.00\);_(* &quot;-&quot;??_);_(@_)"/>
    <numFmt numFmtId="168" formatCode="[$-40C]mmmm\-yy;@"/>
    <numFmt numFmtId="169" formatCode="[$-40C]mmm\-yy;@"/>
    <numFmt numFmtId="175" formatCode="0.0"/>
    <numFmt numFmtId="182" formatCode="#,##0.00\ _€"/>
    <numFmt numFmtId="189" formatCode="#,##0.0"/>
    <numFmt numFmtId="190" formatCode="&quot;RESTE A DEPENSER jusqu'au&quot;\ dd/mm/yy;@"/>
  </numFmts>
  <fonts count="5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0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indexed="12"/>
      <name val="Calibri"/>
      <family val="2"/>
      <scheme val="minor"/>
    </font>
    <font>
      <sz val="11"/>
      <color rgb="FFFF5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name val="Arial"/>
      <family val="2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0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sz val="11"/>
      <name val="Verdana"/>
      <family val="2"/>
    </font>
    <font>
      <sz val="12"/>
      <color theme="1"/>
      <name val="ScalaSansPro-Light"/>
      <family val="3"/>
    </font>
    <font>
      <sz val="10"/>
      <color rgb="FF000000"/>
      <name val="Arial2"/>
    </font>
    <font>
      <sz val="10"/>
      <color rgb="FF000000"/>
      <name val="Arial1"/>
    </font>
    <font>
      <b/>
      <sz val="12"/>
      <name val="Calibri"/>
      <family val="2"/>
      <scheme val="minor"/>
    </font>
    <font>
      <b/>
      <sz val="12"/>
      <color indexed="9"/>
      <name val="Verdana"/>
      <family val="2"/>
    </font>
    <font>
      <b/>
      <i/>
      <sz val="12"/>
      <color indexed="9"/>
      <name val="Verdana"/>
      <family val="2"/>
    </font>
    <font>
      <sz val="8"/>
      <name val="Verdana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color indexed="8"/>
      <name val="Verdana"/>
      <family val="2"/>
    </font>
    <font>
      <b/>
      <sz val="8"/>
      <color indexed="8"/>
      <name val="Verdana"/>
      <family val="2"/>
    </font>
    <font>
      <sz val="10"/>
      <color theme="1"/>
      <name val="Calibri"/>
      <family val="2"/>
      <scheme val="minor"/>
    </font>
    <font>
      <b/>
      <sz val="12"/>
      <color rgb="FFFF0000"/>
      <name val="Verdana"/>
      <family val="2"/>
    </font>
    <font>
      <b/>
      <i/>
      <sz val="12"/>
      <color rgb="FFFF0000"/>
      <name val="Verdana"/>
      <family val="2"/>
    </font>
    <font>
      <sz val="10"/>
      <name val="Arial"/>
      <family val="2"/>
    </font>
    <font>
      <i/>
      <sz val="11"/>
      <name val="Calibri"/>
      <family val="2"/>
      <scheme val="minor"/>
    </font>
    <font>
      <b/>
      <sz val="12"/>
      <name val="Verdana"/>
      <family val="2"/>
    </font>
    <font>
      <sz val="11"/>
      <color indexed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i/>
      <sz val="12"/>
      <name val="Verdana"/>
      <family val="2"/>
    </font>
    <font>
      <sz val="10"/>
      <name val="Calibri"/>
      <family val="2"/>
      <scheme val="minor"/>
    </font>
    <font>
      <b/>
      <sz val="12"/>
      <color theme="0"/>
      <name val="Verdana"/>
      <family val="2"/>
    </font>
    <font>
      <b/>
      <sz val="12"/>
      <color theme="0"/>
      <name val="Calibri"/>
      <family val="2"/>
      <scheme val="minor"/>
    </font>
    <font>
      <b/>
      <i/>
      <sz val="12"/>
      <color theme="0"/>
      <name val="Verdana"/>
      <family val="2"/>
    </font>
    <font>
      <b/>
      <i/>
      <sz val="11"/>
      <color rgb="FFFF0000"/>
      <name val="Calibri"/>
      <family val="2"/>
      <scheme val="minor"/>
    </font>
  </fonts>
  <fills count="6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8E61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Gray">
        <bgColor theme="6" tint="0.39994506668294322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99FF"/>
        <bgColor indexed="64"/>
      </patternFill>
    </fill>
    <fill>
      <patternFill patternType="gray125">
        <bgColor theme="5" tint="0.39997558519241921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gray0625">
        <bgColor rgb="FF00B0F0"/>
      </patternFill>
    </fill>
    <fill>
      <patternFill patternType="gray0625">
        <bgColor theme="1" tint="0.499984740745262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theme="6" tint="0.79998168889431442"/>
      </patternFill>
    </fill>
    <fill>
      <patternFill patternType="gray0625">
        <bgColor theme="4" tint="0.79998168889431442"/>
      </patternFill>
    </fill>
    <fill>
      <patternFill patternType="solid">
        <fgColor rgb="FFCAC0D4"/>
        <bgColor indexed="64"/>
      </patternFill>
    </fill>
    <fill>
      <patternFill patternType="gray0625"/>
    </fill>
    <fill>
      <patternFill patternType="solid">
        <fgColor theme="5" tint="0.59999389629810485"/>
        <bgColor indexed="64"/>
      </patternFill>
    </fill>
    <fill>
      <patternFill patternType="gray0625">
        <bgColor theme="0" tint="-0.499984740745262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rgb="FFFF000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 diagonalDown="1"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 style="thin">
        <color auto="1"/>
      </diagonal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theme="1"/>
      </bottom>
      <diagonal/>
    </border>
    <border>
      <left style="medium">
        <color rgb="FFFF000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thin">
        <color auto="1"/>
      </left>
      <right style="medium">
        <color rgb="FFFF0000"/>
      </right>
      <top/>
      <bottom style="thin">
        <color auto="1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ck">
        <color rgb="FFFF0000"/>
      </right>
      <top style="thin">
        <color auto="1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2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12" fillId="0" borderId="0"/>
    <xf numFmtId="0" fontId="16" fillId="0" borderId="0"/>
    <xf numFmtId="167" fontId="12" fillId="0" borderId="0" applyFont="0" applyFill="0" applyBorder="0" applyAlignment="0" applyProtection="0"/>
    <xf numFmtId="0" fontId="12" fillId="0" borderId="0"/>
    <xf numFmtId="0" fontId="12" fillId="0" borderId="0">
      <alignment vertical="center"/>
    </xf>
    <xf numFmtId="0" fontId="27" fillId="0" borderId="0"/>
    <xf numFmtId="9" fontId="28" fillId="0" borderId="0" applyFont="0" applyFill="0" applyBorder="0" applyAlignment="0" applyProtection="0"/>
    <xf numFmtId="0" fontId="31" fillId="0" borderId="0" applyNumberFormat="0" applyBorder="0" applyProtection="0"/>
    <xf numFmtId="0" fontId="32" fillId="0" borderId="0" applyNumberFormat="0" applyBorder="0" applyProtection="0"/>
    <xf numFmtId="0" fontId="32" fillId="0" borderId="0" applyNumberFormat="0" applyBorder="0" applyProtection="0"/>
    <xf numFmtId="0" fontId="44" fillId="0" borderId="0">
      <alignment vertical="center"/>
    </xf>
    <xf numFmtId="43" fontId="1" fillId="0" borderId="0" applyFont="0" applyFill="0" applyBorder="0" applyAlignment="0" applyProtection="0"/>
    <xf numFmtId="0" fontId="12" fillId="0" borderId="0"/>
  </cellStyleXfs>
  <cellXfs count="1013">
    <xf numFmtId="0" fontId="0" fillId="0" borderId="0" xfId="0"/>
    <xf numFmtId="0" fontId="0" fillId="0" borderId="0" xfId="0" applyAlignment="1">
      <alignment horizontal="center"/>
    </xf>
    <xf numFmtId="0" fontId="8" fillId="8" borderId="0" xfId="5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/>
    </xf>
    <xf numFmtId="0" fontId="0" fillId="8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4" fontId="0" fillId="8" borderId="1" xfId="0" applyNumberFormat="1" applyFont="1" applyFill="1" applyBorder="1" applyAlignment="1">
      <alignment horizontal="center" vertical="center"/>
    </xf>
    <xf numFmtId="165" fontId="0" fillId="11" borderId="1" xfId="0" applyNumberFormat="1" applyFont="1" applyFill="1" applyBorder="1" applyAlignment="1">
      <alignment horizontal="center" vertical="center"/>
    </xf>
    <xf numFmtId="165" fontId="0" fillId="12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3" fontId="8" fillId="11" borderId="1" xfId="1" applyFont="1" applyFill="1" applyBorder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5" fillId="8" borderId="1" xfId="0" applyFont="1" applyFill="1" applyBorder="1" applyAlignment="1">
      <alignment horizontal="center"/>
    </xf>
    <xf numFmtId="0" fontId="0" fillId="0" borderId="0" xfId="0" applyNumberFormat="1"/>
    <xf numFmtId="0" fontId="8" fillId="8" borderId="1" xfId="0" applyFont="1" applyFill="1" applyBorder="1" applyAlignment="1">
      <alignment horizontal="center" vertical="center"/>
    </xf>
    <xf numFmtId="165" fontId="0" fillId="17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5" fontId="0" fillId="21" borderId="1" xfId="0" applyNumberFormat="1" applyFont="1" applyFill="1" applyBorder="1" applyAlignment="1">
      <alignment horizontal="center" vertical="center"/>
    </xf>
    <xf numFmtId="9" fontId="8" fillId="11" borderId="1" xfId="2" applyFont="1" applyFill="1" applyBorder="1" applyAlignment="1">
      <alignment horizontal="center" vertical="center" wrapText="1"/>
    </xf>
    <xf numFmtId="43" fontId="8" fillId="23" borderId="1" xfId="1" applyFont="1" applyFill="1" applyBorder="1" applyAlignment="1">
      <alignment horizontal="center" vertical="center" wrapText="1"/>
    </xf>
    <xf numFmtId="10" fontId="0" fillId="0" borderId="0" xfId="2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6" fillId="0" borderId="0" xfId="0" applyFont="1"/>
    <xf numFmtId="9" fontId="0" fillId="0" borderId="0" xfId="2" applyFont="1" applyAlignment="1">
      <alignment horizontal="center"/>
    </xf>
    <xf numFmtId="165" fontId="8" fillId="17" borderId="1" xfId="0" applyNumberFormat="1" applyFont="1" applyFill="1" applyBorder="1" applyAlignment="1">
      <alignment horizontal="center" vertical="center"/>
    </xf>
    <xf numFmtId="165" fontId="0" fillId="17" borderId="7" xfId="0" applyNumberFormat="1" applyFont="1" applyFill="1" applyBorder="1" applyAlignment="1">
      <alignment horizontal="center" vertical="center"/>
    </xf>
    <xf numFmtId="9" fontId="0" fillId="17" borderId="7" xfId="2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0" fillId="8" borderId="7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0" fillId="8" borderId="7" xfId="0" applyFont="1" applyFill="1" applyBorder="1" applyAlignment="1">
      <alignment horizontal="center" vertical="center" wrapText="1"/>
    </xf>
    <xf numFmtId="0" fontId="8" fillId="8" borderId="7" xfId="0" applyFont="1" applyFill="1" applyBorder="1" applyAlignment="1">
      <alignment horizontal="center" vertical="center" wrapText="1"/>
    </xf>
    <xf numFmtId="4" fontId="0" fillId="8" borderId="7" xfId="0" applyNumberFormat="1" applyFont="1" applyFill="1" applyBorder="1" applyAlignment="1">
      <alignment horizontal="center" vertical="center"/>
    </xf>
    <xf numFmtId="4" fontId="8" fillId="8" borderId="7" xfId="0" applyNumberFormat="1" applyFont="1" applyFill="1" applyBorder="1" applyAlignment="1">
      <alignment horizontal="center" vertical="center"/>
    </xf>
    <xf numFmtId="3" fontId="0" fillId="8" borderId="7" xfId="0" applyNumberFormat="1" applyFont="1" applyFill="1" applyBorder="1" applyAlignment="1">
      <alignment horizontal="center" vertical="center"/>
    </xf>
    <xf numFmtId="3" fontId="8" fillId="8" borderId="7" xfId="0" applyNumberFormat="1" applyFont="1" applyFill="1" applyBorder="1" applyAlignment="1">
      <alignment horizontal="center" vertical="center"/>
    </xf>
    <xf numFmtId="3" fontId="0" fillId="8" borderId="7" xfId="0" applyNumberFormat="1" applyFont="1" applyFill="1" applyBorder="1" applyAlignment="1">
      <alignment horizontal="center" wrapText="1"/>
    </xf>
    <xf numFmtId="0" fontId="0" fillId="8" borderId="0" xfId="0" applyFont="1" applyFill="1" applyAlignment="1">
      <alignment horizontal="center" vertical="center"/>
    </xf>
    <xf numFmtId="49" fontId="0" fillId="8" borderId="7" xfId="0" applyNumberFormat="1" applyFont="1" applyFill="1" applyBorder="1" applyAlignment="1">
      <alignment horizontal="center" vertical="center"/>
    </xf>
    <xf numFmtId="0" fontId="0" fillId="14" borderId="7" xfId="0" applyFont="1" applyFill="1" applyBorder="1" applyAlignment="1">
      <alignment horizontal="center" vertical="center"/>
    </xf>
    <xf numFmtId="3" fontId="0" fillId="14" borderId="7" xfId="0" applyNumberFormat="1" applyFont="1" applyFill="1" applyBorder="1" applyAlignment="1">
      <alignment horizontal="center" vertical="center"/>
    </xf>
    <xf numFmtId="43" fontId="8" fillId="11" borderId="7" xfId="1" applyFont="1" applyFill="1" applyBorder="1" applyAlignment="1">
      <alignment horizontal="center" vertical="center" wrapText="1"/>
    </xf>
    <xf numFmtId="165" fontId="0" fillId="11" borderId="7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3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165" fontId="8" fillId="11" borderId="7" xfId="0" applyNumberFormat="1" applyFont="1" applyFill="1" applyBorder="1" applyAlignment="1">
      <alignment horizontal="center" vertical="center"/>
    </xf>
    <xf numFmtId="3" fontId="5" fillId="26" borderId="0" xfId="0" applyNumberFormat="1" applyFont="1" applyFill="1" applyAlignment="1">
      <alignment horizontal="center" vertical="center"/>
    </xf>
    <xf numFmtId="41" fontId="0" fillId="8" borderId="7" xfId="0" applyNumberFormat="1" applyFont="1" applyFill="1" applyBorder="1" applyAlignment="1">
      <alignment horizontal="center" vertical="center"/>
    </xf>
    <xf numFmtId="41" fontId="8" fillId="8" borderId="7" xfId="0" applyNumberFormat="1" applyFont="1" applyFill="1" applyBorder="1" applyAlignment="1">
      <alignment horizontal="center" vertical="center"/>
    </xf>
    <xf numFmtId="9" fontId="0" fillId="8" borderId="7" xfId="2" applyFont="1" applyFill="1" applyBorder="1" applyAlignment="1">
      <alignment horizontal="center" vertical="center"/>
    </xf>
    <xf numFmtId="9" fontId="8" fillId="8" borderId="7" xfId="2" applyFont="1" applyFill="1" applyBorder="1" applyAlignment="1">
      <alignment horizontal="center" vertical="center"/>
    </xf>
    <xf numFmtId="9" fontId="0" fillId="8" borderId="0" xfId="2" applyFont="1" applyFill="1" applyBorder="1" applyAlignment="1">
      <alignment horizontal="center"/>
    </xf>
    <xf numFmtId="165" fontId="8" fillId="17" borderId="7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/>
    </xf>
    <xf numFmtId="165" fontId="0" fillId="12" borderId="7" xfId="0" applyNumberFormat="1" applyFont="1" applyFill="1" applyBorder="1" applyAlignment="1">
      <alignment horizontal="center" vertical="center"/>
    </xf>
    <xf numFmtId="9" fontId="8" fillId="11" borderId="7" xfId="2" applyFont="1" applyFill="1" applyBorder="1" applyAlignment="1">
      <alignment horizontal="center" vertical="center" wrapText="1"/>
    </xf>
    <xf numFmtId="165" fontId="0" fillId="8" borderId="7" xfId="0" applyNumberFormat="1" applyFont="1" applyFill="1" applyBorder="1" applyAlignment="1">
      <alignment horizontal="center" vertical="center"/>
    </xf>
    <xf numFmtId="165" fontId="0" fillId="21" borderId="7" xfId="0" applyNumberFormat="1" applyFont="1" applyFill="1" applyBorder="1" applyAlignment="1">
      <alignment horizontal="center" vertical="center"/>
    </xf>
    <xf numFmtId="165" fontId="0" fillId="10" borderId="7" xfId="0" applyNumberFormat="1" applyFont="1" applyFill="1" applyBorder="1" applyAlignment="1">
      <alignment horizontal="center" vertical="center"/>
    </xf>
    <xf numFmtId="165" fontId="0" fillId="22" borderId="7" xfId="0" applyNumberFormat="1" applyFont="1" applyFill="1" applyBorder="1" applyAlignment="1">
      <alignment horizontal="center" vertical="center"/>
    </xf>
    <xf numFmtId="43" fontId="8" fillId="23" borderId="7" xfId="1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14" fontId="8" fillId="20" borderId="7" xfId="5" applyNumberFormat="1" applyFont="1" applyFill="1" applyBorder="1" applyAlignment="1">
      <alignment horizontal="center" vertical="center"/>
    </xf>
    <xf numFmtId="164" fontId="8" fillId="15" borderId="7" xfId="7" applyNumberFormat="1" applyFont="1" applyFill="1" applyBorder="1" applyAlignment="1">
      <alignment horizontal="center" vertical="center"/>
    </xf>
    <xf numFmtId="164" fontId="8" fillId="15" borderId="7" xfId="6" applyNumberFormat="1" applyFont="1" applyFill="1" applyBorder="1" applyAlignment="1">
      <alignment horizontal="center" vertical="center"/>
    </xf>
    <xf numFmtId="0" fontId="5" fillId="15" borderId="7" xfId="7" applyFont="1" applyFill="1" applyBorder="1" applyAlignment="1">
      <alignment horizontal="center" vertical="center" wrapText="1"/>
    </xf>
    <xf numFmtId="9" fontId="0" fillId="0" borderId="0" xfId="2" applyFont="1" applyBorder="1" applyAlignment="1">
      <alignment horizontal="center"/>
    </xf>
    <xf numFmtId="0" fontId="8" fillId="9" borderId="1" xfId="8" applyFont="1" applyFill="1" applyBorder="1" applyAlignment="1">
      <alignment horizontal="center" vertical="center"/>
    </xf>
    <xf numFmtId="164" fontId="8" fillId="9" borderId="1" xfId="8" applyNumberFormat="1" applyFont="1" applyFill="1" applyBorder="1" applyAlignment="1">
      <alignment horizontal="center" vertical="center"/>
    </xf>
    <xf numFmtId="41" fontId="0" fillId="8" borderId="1" xfId="0" applyNumberFormat="1" applyFont="1" applyFill="1" applyBorder="1" applyAlignment="1">
      <alignment horizontal="center" vertical="center"/>
    </xf>
    <xf numFmtId="9" fontId="0" fillId="14" borderId="7" xfId="2" applyFont="1" applyFill="1" applyBorder="1" applyAlignment="1">
      <alignment horizontal="center" vertical="center"/>
    </xf>
    <xf numFmtId="0" fontId="8" fillId="19" borderId="7" xfId="4" applyFont="1" applyFill="1" applyBorder="1" applyAlignment="1">
      <alignment horizontal="center" vertical="center"/>
    </xf>
    <xf numFmtId="0" fontId="8" fillId="15" borderId="7" xfId="7" applyFont="1" applyFill="1" applyBorder="1" applyAlignment="1">
      <alignment horizontal="center" vertical="center" wrapText="1"/>
    </xf>
    <xf numFmtId="0" fontId="8" fillId="15" borderId="7" xfId="3" applyFont="1" applyFill="1" applyBorder="1" applyAlignment="1">
      <alignment horizontal="center" vertical="center"/>
    </xf>
    <xf numFmtId="14" fontId="0" fillId="29" borderId="7" xfId="0" applyNumberFormat="1" applyFont="1" applyFill="1" applyBorder="1" applyAlignment="1">
      <alignment horizontal="center" vertical="center"/>
    </xf>
    <xf numFmtId="0" fontId="0" fillId="29" borderId="7" xfId="0" applyFont="1" applyFill="1" applyBorder="1" applyAlignment="1">
      <alignment horizontal="center" vertical="center"/>
    </xf>
    <xf numFmtId="164" fontId="8" fillId="29" borderId="7" xfId="1" applyNumberFormat="1" applyFont="1" applyFill="1" applyBorder="1" applyAlignment="1">
      <alignment horizontal="center" vertical="center"/>
    </xf>
    <xf numFmtId="1" fontId="8" fillId="29" borderId="7" xfId="1" applyNumberFormat="1" applyFont="1" applyFill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 wrapText="1"/>
    </xf>
    <xf numFmtId="164" fontId="8" fillId="0" borderId="7" xfId="0" applyNumberFormat="1" applyFont="1" applyBorder="1" applyAlignment="1">
      <alignment horizontal="center" vertical="center"/>
    </xf>
    <xf numFmtId="164" fontId="0" fillId="8" borderId="7" xfId="0" applyNumberFormat="1" applyFont="1" applyFill="1" applyBorder="1" applyAlignment="1">
      <alignment horizontal="center" vertical="center"/>
    </xf>
    <xf numFmtId="164" fontId="0" fillId="29" borderId="7" xfId="0" applyNumberFormat="1" applyFont="1" applyFill="1" applyBorder="1" applyAlignment="1">
      <alignment horizontal="center" vertical="center"/>
    </xf>
    <xf numFmtId="164" fontId="8" fillId="8" borderId="7" xfId="0" applyNumberFormat="1" applyFont="1" applyFill="1" applyBorder="1" applyAlignment="1">
      <alignment horizontal="center" vertical="center"/>
    </xf>
    <xf numFmtId="1" fontId="0" fillId="29" borderId="7" xfId="0" applyNumberFormat="1" applyFont="1" applyFill="1" applyBorder="1" applyAlignment="1">
      <alignment horizontal="center" vertical="center"/>
    </xf>
    <xf numFmtId="164" fontId="0" fillId="29" borderId="7" xfId="1" applyNumberFormat="1" applyFont="1" applyFill="1" applyBorder="1" applyAlignment="1">
      <alignment horizontal="center" vertical="center"/>
    </xf>
    <xf numFmtId="0" fontId="0" fillId="0" borderId="0" xfId="0" applyFont="1"/>
    <xf numFmtId="0" fontId="0" fillId="8" borderId="0" xfId="0" applyFont="1" applyFill="1" applyBorder="1" applyAlignment="1">
      <alignment horizontal="center"/>
    </xf>
    <xf numFmtId="0" fontId="0" fillId="8" borderId="0" xfId="0" applyFont="1" applyFill="1" applyBorder="1" applyAlignment="1">
      <alignment horizontal="center" vertical="center"/>
    </xf>
    <xf numFmtId="41" fontId="0" fillId="8" borderId="0" xfId="0" applyNumberFormat="1" applyFont="1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41" fontId="0" fillId="0" borderId="0" xfId="0" applyNumberFormat="1" applyFont="1" applyBorder="1" applyAlignment="1">
      <alignment horizontal="center"/>
    </xf>
    <xf numFmtId="0" fontId="0" fillId="22" borderId="0" xfId="0" applyFont="1" applyFill="1" applyBorder="1" applyAlignment="1">
      <alignment horizontal="center"/>
    </xf>
    <xf numFmtId="9" fontId="0" fillId="0" borderId="0" xfId="0" applyNumberFormat="1" applyFont="1" applyAlignment="1">
      <alignment horizontal="center"/>
    </xf>
    <xf numFmtId="41" fontId="0" fillId="0" borderId="0" xfId="0" applyNumberFormat="1" applyFont="1" applyAlignment="1">
      <alignment horizontal="center"/>
    </xf>
    <xf numFmtId="41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18" fillId="13" borderId="0" xfId="0" applyFont="1" applyFill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NumberFormat="1" applyFont="1"/>
    <xf numFmtId="0" fontId="0" fillId="0" borderId="0" xfId="0" applyFont="1" applyAlignment="1">
      <alignment horizontal="left" indent="1"/>
    </xf>
    <xf numFmtId="0" fontId="5" fillId="8" borderId="0" xfId="0" applyFont="1" applyFill="1" applyBorder="1" applyAlignment="1">
      <alignment horizont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5" fillId="9" borderId="1" xfId="3" applyFont="1" applyFill="1" applyBorder="1" applyAlignment="1">
      <alignment horizontal="center" vertical="center" wrapText="1"/>
    </xf>
    <xf numFmtId="0" fontId="8" fillId="2" borderId="7" xfId="3" applyFont="1" applyBorder="1" applyAlignment="1">
      <alignment horizontal="center" vertical="center" wrapText="1"/>
    </xf>
    <xf numFmtId="14" fontId="8" fillId="15" borderId="1" xfId="7" applyNumberFormat="1" applyFont="1" applyFill="1" applyBorder="1" applyAlignment="1">
      <alignment horizontal="center" vertical="center"/>
    </xf>
    <xf numFmtId="14" fontId="8" fillId="15" borderId="7" xfId="7" applyNumberFormat="1" applyFont="1" applyFill="1" applyBorder="1" applyAlignment="1">
      <alignment horizontal="center" vertical="center"/>
    </xf>
    <xf numFmtId="164" fontId="8" fillId="9" borderId="1" xfId="6" applyNumberFormat="1" applyFont="1" applyFill="1" applyBorder="1" applyAlignment="1">
      <alignment horizontal="center" vertical="center"/>
    </xf>
    <xf numFmtId="14" fontId="8" fillId="15" borderId="7" xfId="7" applyNumberFormat="1" applyFont="1" applyFill="1" applyBorder="1" applyAlignment="1">
      <alignment horizontal="center" vertical="center" wrapText="1"/>
    </xf>
    <xf numFmtId="0" fontId="8" fillId="15" borderId="7" xfId="7" applyFont="1" applyFill="1" applyBorder="1" applyAlignment="1">
      <alignment horizontal="center" vertical="center"/>
    </xf>
    <xf numFmtId="164" fontId="8" fillId="9" borderId="7" xfId="6" applyNumberFormat="1" applyFont="1" applyFill="1" applyBorder="1" applyAlignment="1">
      <alignment horizontal="center" vertical="center"/>
    </xf>
    <xf numFmtId="0" fontId="8" fillId="9" borderId="7" xfId="8" applyFont="1" applyFill="1" applyBorder="1" applyAlignment="1">
      <alignment horizontal="center" vertical="center"/>
    </xf>
    <xf numFmtId="164" fontId="8" fillId="9" borderId="7" xfId="8" applyNumberFormat="1" applyFont="1" applyFill="1" applyBorder="1" applyAlignment="1">
      <alignment horizontal="center" vertical="center"/>
    </xf>
    <xf numFmtId="0" fontId="8" fillId="8" borderId="0" xfId="7" applyFont="1" applyFill="1" applyBorder="1" applyAlignment="1">
      <alignment horizontal="center"/>
    </xf>
    <xf numFmtId="164" fontId="8" fillId="8" borderId="0" xfId="7" applyNumberFormat="1" applyFont="1" applyFill="1" applyBorder="1" applyAlignment="1">
      <alignment horizontal="center"/>
    </xf>
    <xf numFmtId="164" fontId="8" fillId="8" borderId="0" xfId="6" applyNumberFormat="1" applyFont="1" applyFill="1" applyBorder="1" applyAlignment="1">
      <alignment horizontal="center"/>
    </xf>
    <xf numFmtId="0" fontId="8" fillId="8" borderId="0" xfId="3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64" fontId="0" fillId="29" borderId="7" xfId="0" applyNumberFormat="1" applyFont="1" applyFill="1" applyBorder="1" applyAlignment="1">
      <alignment horizontal="center" vertical="center" wrapText="1"/>
    </xf>
    <xf numFmtId="41" fontId="0" fillId="14" borderId="7" xfId="0" applyNumberFormat="1" applyFont="1" applyFill="1" applyBorder="1" applyAlignment="1">
      <alignment horizontal="center" vertical="center"/>
    </xf>
    <xf numFmtId="164" fontId="0" fillId="8" borderId="7" xfId="0" applyNumberFormat="1" applyFont="1" applyFill="1" applyBorder="1" applyAlignment="1">
      <alignment horizontal="center" vertical="center" wrapText="1"/>
    </xf>
    <xf numFmtId="14" fontId="0" fillId="8" borderId="7" xfId="0" applyNumberFormat="1" applyFont="1" applyFill="1" applyBorder="1" applyAlignment="1">
      <alignment horizontal="center" vertical="center"/>
    </xf>
    <xf numFmtId="164" fontId="8" fillId="29" borderId="7" xfId="1" applyNumberFormat="1" applyFont="1" applyFill="1" applyBorder="1" applyAlignment="1">
      <alignment horizontal="center" vertical="center" wrapText="1"/>
    </xf>
    <xf numFmtId="164" fontId="9" fillId="8" borderId="7" xfId="1" applyNumberFormat="1" applyFont="1" applyFill="1" applyBorder="1" applyAlignment="1">
      <alignment horizontal="center" vertical="center"/>
    </xf>
    <xf numFmtId="164" fontId="0" fillId="8" borderId="7" xfId="2" applyNumberFormat="1" applyFont="1" applyFill="1" applyBorder="1" applyAlignment="1">
      <alignment horizontal="center" vertical="center"/>
    </xf>
    <xf numFmtId="14" fontId="8" fillId="8" borderId="7" xfId="0" applyNumberFormat="1" applyFont="1" applyFill="1" applyBorder="1" applyAlignment="1">
      <alignment horizontal="center" vertical="center"/>
    </xf>
    <xf numFmtId="14" fontId="8" fillId="20" borderId="7" xfId="5" applyNumberFormat="1" applyFont="1" applyFill="1" applyBorder="1" applyAlignment="1">
      <alignment horizontal="center" vertical="center" wrapText="1"/>
    </xf>
    <xf numFmtId="1" fontId="0" fillId="8" borderId="7" xfId="0" applyNumberFormat="1" applyFont="1" applyFill="1" applyBorder="1" applyAlignment="1">
      <alignment horizontal="center" vertical="center"/>
    </xf>
    <xf numFmtId="164" fontId="0" fillId="30" borderId="7" xfId="0" applyNumberFormat="1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9" fontId="0" fillId="0" borderId="0" xfId="2" applyFont="1" applyAlignment="1">
      <alignment horizontal="center" vertical="center" wrapText="1"/>
    </xf>
    <xf numFmtId="9" fontId="0" fillId="14" borderId="1" xfId="2" applyFont="1" applyFill="1" applyBorder="1" applyAlignment="1">
      <alignment horizontal="center" vertical="center"/>
    </xf>
    <xf numFmtId="164" fontId="8" fillId="30" borderId="7" xfId="0" applyNumberFormat="1" applyFont="1" applyFill="1" applyBorder="1" applyAlignment="1">
      <alignment horizontal="center" vertical="center" wrapText="1"/>
    </xf>
    <xf numFmtId="14" fontId="8" fillId="35" borderId="1" xfId="7" applyNumberFormat="1" applyFont="1" applyFill="1" applyBorder="1" applyAlignment="1">
      <alignment horizontal="center" vertical="center"/>
    </xf>
    <xf numFmtId="14" fontId="8" fillId="35" borderId="7" xfId="7" applyNumberFormat="1" applyFont="1" applyFill="1" applyBorder="1" applyAlignment="1">
      <alignment horizontal="center" vertical="center"/>
    </xf>
    <xf numFmtId="14" fontId="8" fillId="34" borderId="7" xfId="5" applyNumberFormat="1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 wrapText="1"/>
    </xf>
    <xf numFmtId="3" fontId="0" fillId="9" borderId="7" xfId="0" applyNumberFormat="1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9" fontId="0" fillId="9" borderId="7" xfId="2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9" fontId="0" fillId="9" borderId="1" xfId="2" applyFont="1" applyFill="1" applyBorder="1" applyAlignment="1">
      <alignment horizontal="center" vertical="center"/>
    </xf>
    <xf numFmtId="3" fontId="8" fillId="9" borderId="7" xfId="0" applyNumberFormat="1" applyFont="1" applyFill="1" applyBorder="1" applyAlignment="1">
      <alignment horizontal="center" vertical="center" wrapText="1"/>
    </xf>
    <xf numFmtId="3" fontId="0" fillId="9" borderId="7" xfId="0" applyNumberFormat="1" applyFont="1" applyFill="1" applyBorder="1" applyAlignment="1">
      <alignment horizontal="center" vertical="center" wrapText="1"/>
    </xf>
    <xf numFmtId="0" fontId="8" fillId="9" borderId="7" xfId="0" applyFont="1" applyFill="1" applyBorder="1" applyAlignment="1">
      <alignment horizontal="center" vertical="center" wrapText="1"/>
    </xf>
    <xf numFmtId="9" fontId="8" fillId="9" borderId="7" xfId="2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 wrapText="1"/>
    </xf>
    <xf numFmtId="3" fontId="8" fillId="9" borderId="7" xfId="0" applyNumberFormat="1" applyFont="1" applyFill="1" applyBorder="1" applyAlignment="1">
      <alignment horizontal="center" vertical="center"/>
    </xf>
    <xf numFmtId="0" fontId="8" fillId="9" borderId="7" xfId="0" applyFont="1" applyFill="1" applyBorder="1" applyAlignment="1">
      <alignment horizontal="center" vertical="center"/>
    </xf>
    <xf numFmtId="1" fontId="0" fillId="8" borderId="0" xfId="0" applyNumberFormat="1" applyFont="1" applyFill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3" fontId="0" fillId="29" borderId="7" xfId="0" applyNumberFormat="1" applyFont="1" applyFill="1" applyBorder="1" applyAlignment="1">
      <alignment horizontal="center" vertical="center"/>
    </xf>
    <xf numFmtId="3" fontId="8" fillId="8" borderId="7" xfId="1" applyNumberFormat="1" applyFont="1" applyFill="1" applyBorder="1" applyAlignment="1">
      <alignment horizontal="center" vertical="center"/>
    </xf>
    <xf numFmtId="164" fontId="0" fillId="30" borderId="7" xfId="0" applyNumberFormat="1" applyFont="1" applyFill="1" applyBorder="1" applyAlignment="1">
      <alignment horizontal="center" vertical="center" wrapText="1"/>
    </xf>
    <xf numFmtId="164" fontId="8" fillId="30" borderId="7" xfId="1" applyNumberFormat="1" applyFont="1" applyFill="1" applyBorder="1" applyAlignment="1">
      <alignment horizontal="center" vertical="center"/>
    </xf>
    <xf numFmtId="164" fontId="8" fillId="30" borderId="7" xfId="0" applyNumberFormat="1" applyFont="1" applyFill="1" applyBorder="1" applyAlignment="1">
      <alignment horizontal="center" vertical="center"/>
    </xf>
    <xf numFmtId="14" fontId="0" fillId="30" borderId="7" xfId="0" applyNumberFormat="1" applyFont="1" applyFill="1" applyBorder="1" applyAlignment="1">
      <alignment horizontal="center" vertical="center"/>
    </xf>
    <xf numFmtId="14" fontId="0" fillId="30" borderId="7" xfId="0" applyNumberFormat="1" applyFont="1" applyFill="1" applyBorder="1" applyAlignment="1">
      <alignment horizontal="center" vertical="center" wrapText="1"/>
    </xf>
    <xf numFmtId="14" fontId="0" fillId="30" borderId="7" xfId="2" applyNumberFormat="1" applyFont="1" applyFill="1" applyBorder="1" applyAlignment="1">
      <alignment horizontal="center" vertical="center"/>
    </xf>
    <xf numFmtId="14" fontId="8" fillId="30" borderId="7" xfId="0" applyNumberFormat="1" applyFont="1" applyFill="1" applyBorder="1" applyAlignment="1">
      <alignment horizontal="center" vertical="center"/>
    </xf>
    <xf numFmtId="1" fontId="8" fillId="30" borderId="7" xfId="1" applyNumberFormat="1" applyFont="1" applyFill="1" applyBorder="1" applyAlignment="1">
      <alignment horizontal="center" vertical="center"/>
    </xf>
    <xf numFmtId="1" fontId="19" fillId="8" borderId="7" xfId="1" applyNumberFormat="1" applyFont="1" applyFill="1" applyBorder="1" applyAlignment="1">
      <alignment horizontal="center" vertical="center"/>
    </xf>
    <xf numFmtId="1" fontId="1" fillId="30" borderId="7" xfId="1" applyNumberFormat="1" applyFont="1" applyFill="1" applyBorder="1" applyAlignment="1">
      <alignment horizontal="center" vertical="center"/>
    </xf>
    <xf numFmtId="1" fontId="0" fillId="30" borderId="7" xfId="0" applyNumberFormat="1" applyFont="1" applyFill="1" applyBorder="1" applyAlignment="1">
      <alignment horizontal="center" vertical="center"/>
    </xf>
    <xf numFmtId="1" fontId="19" fillId="8" borderId="7" xfId="0" applyNumberFormat="1" applyFont="1" applyFill="1" applyBorder="1" applyAlignment="1">
      <alignment horizontal="center" vertical="center"/>
    </xf>
    <xf numFmtId="3" fontId="19" fillId="8" borderId="7" xfId="0" applyNumberFormat="1" applyFont="1" applyFill="1" applyBorder="1" applyAlignment="1">
      <alignment horizontal="center" vertical="center"/>
    </xf>
    <xf numFmtId="3" fontId="20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center" vertical="center" wrapText="1"/>
    </xf>
    <xf numFmtId="3" fontId="8" fillId="0" borderId="0" xfId="0" applyNumberFormat="1" applyFont="1" applyAlignment="1">
      <alignment horizontal="center" vertical="center" wrapText="1"/>
    </xf>
    <xf numFmtId="4" fontId="0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1" fontId="8" fillId="29" borderId="7" xfId="0" applyNumberFormat="1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 wrapText="1"/>
    </xf>
    <xf numFmtId="0" fontId="8" fillId="14" borderId="7" xfId="0" applyFont="1" applyFill="1" applyBorder="1" applyAlignment="1">
      <alignment horizontal="center" vertical="center"/>
    </xf>
    <xf numFmtId="9" fontId="1" fillId="0" borderId="0" xfId="2" applyFont="1" applyAlignment="1">
      <alignment horizontal="center" vertical="center"/>
    </xf>
    <xf numFmtId="14" fontId="9" fillId="8" borderId="7" xfId="0" applyNumberFormat="1" applyFont="1" applyFill="1" applyBorder="1" applyAlignment="1">
      <alignment horizontal="center" vertical="center"/>
    </xf>
    <xf numFmtId="169" fontId="9" fillId="0" borderId="7" xfId="0" applyNumberFormat="1" applyFont="1" applyBorder="1" applyAlignment="1">
      <alignment horizontal="center" vertical="center" wrapText="1"/>
    </xf>
    <xf numFmtId="0" fontId="0" fillId="27" borderId="0" xfId="0" applyFont="1" applyFill="1" applyAlignment="1">
      <alignment horizontal="center" vertical="center"/>
    </xf>
    <xf numFmtId="0" fontId="6" fillId="27" borderId="0" xfId="0" applyFont="1" applyFill="1" applyAlignment="1">
      <alignment horizontal="center" vertical="center"/>
    </xf>
    <xf numFmtId="0" fontId="0" fillId="27" borderId="7" xfId="0" applyFont="1" applyFill="1" applyBorder="1" applyAlignment="1">
      <alignment horizontal="center" vertical="center"/>
    </xf>
    <xf numFmtId="0" fontId="21" fillId="27" borderId="14" xfId="12" applyFont="1" applyFill="1" applyBorder="1"/>
    <xf numFmtId="0" fontId="21" fillId="27" borderId="14" xfId="9" applyFont="1" applyFill="1" applyBorder="1"/>
    <xf numFmtId="0" fontId="0" fillId="0" borderId="7" xfId="0" applyFont="1" applyBorder="1" applyAlignment="1">
      <alignment horizontal="center" vertical="center"/>
    </xf>
    <xf numFmtId="0" fontId="0" fillId="31" borderId="7" xfId="0" applyFont="1" applyFill="1" applyBorder="1" applyAlignment="1">
      <alignment horizontal="center" vertical="center"/>
    </xf>
    <xf numFmtId="168" fontId="9" fillId="0" borderId="7" xfId="0" applyNumberFormat="1" applyFont="1" applyBorder="1" applyAlignment="1">
      <alignment horizontal="center" vertical="center"/>
    </xf>
    <xf numFmtId="164" fontId="9" fillId="8" borderId="7" xfId="0" applyNumberFormat="1" applyFont="1" applyFill="1" applyBorder="1" applyAlignment="1">
      <alignment horizontal="center" vertical="center"/>
    </xf>
    <xf numFmtId="0" fontId="6" fillId="31" borderId="7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65" fontId="8" fillId="10" borderId="7" xfId="0" applyNumberFormat="1" applyFont="1" applyFill="1" applyBorder="1" applyAlignment="1">
      <alignment horizontal="center" vertical="center"/>
    </xf>
    <xf numFmtId="164" fontId="8" fillId="38" borderId="7" xfId="6" applyNumberFormat="1" applyFont="1" applyFill="1" applyBorder="1" applyAlignment="1">
      <alignment horizontal="center" vertical="center"/>
    </xf>
    <xf numFmtId="164" fontId="8" fillId="38" borderId="7" xfId="7" applyNumberFormat="1" applyFont="1" applyFill="1" applyBorder="1" applyAlignment="1">
      <alignment horizontal="center" vertical="center"/>
    </xf>
    <xf numFmtId="0" fontId="0" fillId="30" borderId="7" xfId="0" applyFont="1" applyFill="1" applyBorder="1" applyAlignment="1">
      <alignment horizontal="center" vertical="center"/>
    </xf>
    <xf numFmtId="14" fontId="0" fillId="30" borderId="7" xfId="2" applyNumberFormat="1" applyFont="1" applyFill="1" applyBorder="1" applyAlignment="1">
      <alignment horizontal="center" vertical="center" wrapText="1"/>
    </xf>
    <xf numFmtId="165" fontId="8" fillId="12" borderId="7" xfId="0" applyNumberFormat="1" applyFont="1" applyFill="1" applyBorder="1" applyAlignment="1">
      <alignment horizontal="center" vertical="center"/>
    </xf>
    <xf numFmtId="0" fontId="6" fillId="37" borderId="7" xfId="0" applyFont="1" applyFill="1" applyBorder="1" applyAlignment="1">
      <alignment horizontal="center" vertical="center"/>
    </xf>
    <xf numFmtId="3" fontId="14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164" fontId="8" fillId="40" borderId="7" xfId="7" applyNumberFormat="1" applyFont="1" applyFill="1" applyBorder="1" applyAlignment="1">
      <alignment horizontal="center" vertical="center" wrapText="1"/>
    </xf>
    <xf numFmtId="164" fontId="8" fillId="40" borderId="7" xfId="7" applyNumberFormat="1" applyFont="1" applyFill="1" applyBorder="1" applyAlignment="1">
      <alignment horizontal="center" vertical="center"/>
    </xf>
    <xf numFmtId="0" fontId="6" fillId="40" borderId="0" xfId="0" applyFont="1" applyFill="1" applyAlignment="1">
      <alignment horizontal="center" vertical="center"/>
    </xf>
    <xf numFmtId="0" fontId="8" fillId="9" borderId="7" xfId="3" applyFont="1" applyFill="1" applyBorder="1" applyAlignment="1">
      <alignment horizontal="center" vertical="center" wrapText="1"/>
    </xf>
    <xf numFmtId="0" fontId="8" fillId="9" borderId="7" xfId="8" applyFont="1" applyFill="1" applyBorder="1" applyAlignment="1">
      <alignment horizontal="center" vertical="center" wrapText="1"/>
    </xf>
    <xf numFmtId="164" fontId="8" fillId="9" borderId="7" xfId="8" applyNumberFormat="1" applyFont="1" applyFill="1" applyBorder="1" applyAlignment="1">
      <alignment horizontal="center" vertical="center" wrapText="1"/>
    </xf>
    <xf numFmtId="3" fontId="6" fillId="9" borderId="7" xfId="0" applyNumberFormat="1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9" fontId="6" fillId="0" borderId="0" xfId="2" applyFont="1" applyAlignment="1">
      <alignment horizontal="center" vertical="center" wrapText="1"/>
    </xf>
    <xf numFmtId="0" fontId="6" fillId="29" borderId="7" xfId="0" applyFont="1" applyFill="1" applyBorder="1" applyAlignment="1">
      <alignment horizontal="center" vertical="center"/>
    </xf>
    <xf numFmtId="3" fontId="8" fillId="29" borderId="7" xfId="0" applyNumberFormat="1" applyFont="1" applyFill="1" applyBorder="1" applyAlignment="1">
      <alignment horizontal="center" vertical="center"/>
    </xf>
    <xf numFmtId="164" fontId="8" fillId="29" borderId="7" xfId="0" applyNumberFormat="1" applyFont="1" applyFill="1" applyBorder="1" applyAlignment="1">
      <alignment horizontal="center" vertical="center"/>
    </xf>
    <xf numFmtId="14" fontId="8" fillId="29" borderId="7" xfId="0" applyNumberFormat="1" applyFont="1" applyFill="1" applyBorder="1" applyAlignment="1">
      <alignment horizontal="center" vertical="center"/>
    </xf>
    <xf numFmtId="1" fontId="0" fillId="8" borderId="1" xfId="0" applyNumberFormat="1" applyFont="1" applyFill="1" applyBorder="1" applyAlignment="1">
      <alignment horizontal="center" vertical="center"/>
    </xf>
    <xf numFmtId="0" fontId="6" fillId="0" borderId="10" xfId="0" applyFont="1" applyBorder="1"/>
    <xf numFmtId="0" fontId="0" fillId="0" borderId="0" xfId="0" applyBorder="1"/>
    <xf numFmtId="0" fontId="0" fillId="0" borderId="17" xfId="0" applyBorder="1"/>
    <xf numFmtId="0" fontId="0" fillId="0" borderId="10" xfId="0" applyBorder="1"/>
    <xf numFmtId="0" fontId="0" fillId="10" borderId="10" xfId="0" applyFont="1" applyFill="1" applyBorder="1" applyAlignment="1">
      <alignment horizontal="center" vertical="center"/>
    </xf>
    <xf numFmtId="0" fontId="0" fillId="42" borderId="0" xfId="0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3" fontId="6" fillId="42" borderId="0" xfId="0" applyNumberFormat="1" applyFont="1" applyFill="1" applyBorder="1" applyAlignment="1">
      <alignment horizontal="center"/>
    </xf>
    <xf numFmtId="3" fontId="6" fillId="43" borderId="0" xfId="0" applyNumberFormat="1" applyFont="1" applyFill="1" applyBorder="1" applyAlignment="1">
      <alignment horizontal="center"/>
    </xf>
    <xf numFmtId="0" fontId="0" fillId="0" borderId="12" xfId="0" applyBorder="1"/>
    <xf numFmtId="0" fontId="0" fillId="0" borderId="18" xfId="0" applyBorder="1"/>
    <xf numFmtId="0" fontId="0" fillId="0" borderId="19" xfId="0" applyBorder="1"/>
    <xf numFmtId="0" fontId="4" fillId="41" borderId="8" xfId="0" applyFont="1" applyFill="1" applyBorder="1"/>
    <xf numFmtId="0" fontId="0" fillId="33" borderId="10" xfId="0" applyFill="1" applyBorder="1"/>
    <xf numFmtId="3" fontId="0" fillId="33" borderId="0" xfId="0" applyNumberFormat="1" applyFill="1" applyBorder="1" applyAlignment="1">
      <alignment horizontal="center" vertical="center"/>
    </xf>
    <xf numFmtId="0" fontId="0" fillId="45" borderId="10" xfId="0" applyFill="1" applyBorder="1"/>
    <xf numFmtId="3" fontId="0" fillId="45" borderId="0" xfId="0" applyNumberFormat="1" applyFill="1" applyBorder="1" applyAlignment="1">
      <alignment horizontal="center" vertical="center"/>
    </xf>
    <xf numFmtId="0" fontId="0" fillId="44" borderId="10" xfId="0" applyFill="1" applyBorder="1"/>
    <xf numFmtId="3" fontId="0" fillId="44" borderId="0" xfId="0" applyNumberFormat="1" applyFill="1" applyBorder="1" applyAlignment="1">
      <alignment horizontal="center" vertical="center"/>
    </xf>
    <xf numFmtId="3" fontId="6" fillId="0" borderId="0" xfId="0" applyNumberFormat="1" applyFont="1" applyBorder="1" applyAlignment="1">
      <alignment horizontal="center"/>
    </xf>
    <xf numFmtId="0" fontId="22" fillId="41" borderId="9" xfId="0" applyFont="1" applyFill="1" applyBorder="1"/>
    <xf numFmtId="0" fontId="22" fillId="41" borderId="5" xfId="0" applyFont="1" applyFill="1" applyBorder="1"/>
    <xf numFmtId="0" fontId="0" fillId="0" borderId="10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3" fontId="0" fillId="0" borderId="0" xfId="0" applyNumberFormat="1" applyBorder="1"/>
    <xf numFmtId="0" fontId="0" fillId="0" borderId="0" xfId="0" applyAlignment="1">
      <alignment wrapText="1"/>
    </xf>
    <xf numFmtId="0" fontId="0" fillId="33" borderId="11" xfId="0" applyFill="1" applyBorder="1" applyAlignment="1">
      <alignment horizontal="center" vertical="center"/>
    </xf>
    <xf numFmtId="0" fontId="0" fillId="46" borderId="11" xfId="0" applyFill="1" applyBorder="1" applyAlignment="1">
      <alignment horizontal="center" vertical="center"/>
    </xf>
    <xf numFmtId="0" fontId="0" fillId="26" borderId="11" xfId="0" applyFill="1" applyBorder="1" applyAlignment="1">
      <alignment horizontal="center" vertical="center"/>
    </xf>
    <xf numFmtId="0" fontId="0" fillId="33" borderId="5" xfId="0" applyFill="1" applyBorder="1"/>
    <xf numFmtId="0" fontId="0" fillId="46" borderId="11" xfId="0" applyFill="1" applyBorder="1"/>
    <xf numFmtId="0" fontId="0" fillId="26" borderId="13" xfId="0" applyFill="1" applyBorder="1"/>
    <xf numFmtId="3" fontId="0" fillId="0" borderId="0" xfId="0" applyNumberFormat="1" applyBorder="1" applyAlignment="1">
      <alignment horizontal="center"/>
    </xf>
    <xf numFmtId="0" fontId="6" fillId="0" borderId="1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0" borderId="10" xfId="0" applyBorder="1" applyAlignment="1">
      <alignment wrapText="1"/>
    </xf>
    <xf numFmtId="0" fontId="6" fillId="42" borderId="0" xfId="0" applyFont="1" applyFill="1" applyBorder="1" applyAlignment="1">
      <alignment horizontal="center" vertical="center" wrapText="1"/>
    </xf>
    <xf numFmtId="0" fontId="6" fillId="4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9" xfId="0" applyBorder="1"/>
    <xf numFmtId="0" fontId="0" fillId="0" borderId="8" xfId="0" applyBorder="1"/>
    <xf numFmtId="0" fontId="6" fillId="0" borderId="5" xfId="0" applyFont="1" applyBorder="1" applyAlignment="1">
      <alignment horizontal="center"/>
    </xf>
    <xf numFmtId="3" fontId="0" fillId="37" borderId="11" xfId="0" applyNumberFormat="1" applyFill="1" applyBorder="1" applyAlignment="1">
      <alignment horizontal="center"/>
    </xf>
    <xf numFmtId="3" fontId="6" fillId="0" borderId="13" xfId="0" applyNumberFormat="1" applyFont="1" applyBorder="1" applyAlignment="1">
      <alignment horizontal="center"/>
    </xf>
    <xf numFmtId="3" fontId="0" fillId="33" borderId="5" xfId="0" applyNumberFormat="1" applyFill="1" applyBorder="1" applyAlignment="1">
      <alignment horizontal="center"/>
    </xf>
    <xf numFmtId="3" fontId="6" fillId="33" borderId="5" xfId="0" applyNumberFormat="1" applyFont="1" applyFill="1" applyBorder="1" applyAlignment="1">
      <alignment horizontal="center"/>
    </xf>
    <xf numFmtId="3" fontId="6" fillId="37" borderId="11" xfId="0" applyNumberFormat="1" applyFont="1" applyFill="1" applyBorder="1" applyAlignment="1">
      <alignment horizontal="center"/>
    </xf>
    <xf numFmtId="3" fontId="0" fillId="26" borderId="13" xfId="0" applyNumberFormat="1" applyFill="1" applyBorder="1" applyAlignment="1">
      <alignment horizontal="center"/>
    </xf>
    <xf numFmtId="3" fontId="6" fillId="26" borderId="13" xfId="0" applyNumberFormat="1" applyFont="1" applyFill="1" applyBorder="1" applyAlignment="1">
      <alignment horizontal="center"/>
    </xf>
    <xf numFmtId="3" fontId="6" fillId="0" borderId="2" xfId="0" applyNumberFormat="1" applyFont="1" applyBorder="1" applyAlignment="1">
      <alignment horizontal="center"/>
    </xf>
    <xf numFmtId="20" fontId="0" fillId="0" borderId="17" xfId="0" applyNumberFormat="1" applyBorder="1"/>
    <xf numFmtId="0" fontId="4" fillId="0" borderId="17" xfId="0" applyFont="1" applyBorder="1"/>
    <xf numFmtId="0" fontId="6" fillId="0" borderId="2" xfId="0" applyFont="1" applyBorder="1" applyAlignment="1">
      <alignment horizontal="center"/>
    </xf>
    <xf numFmtId="164" fontId="8" fillId="29" borderId="7" xfId="0" applyNumberFormat="1" applyFont="1" applyFill="1" applyBorder="1" applyAlignment="1">
      <alignment horizontal="center" vertical="center" wrapText="1"/>
    </xf>
    <xf numFmtId="0" fontId="7" fillId="0" borderId="0" xfId="0" applyFont="1" applyBorder="1"/>
    <xf numFmtId="0" fontId="5" fillId="29" borderId="7" xfId="0" applyFont="1" applyFill="1" applyBorder="1" applyAlignment="1">
      <alignment horizontal="center" vertical="center" wrapText="1"/>
    </xf>
    <xf numFmtId="0" fontId="8" fillId="29" borderId="7" xfId="0" applyFont="1" applyFill="1" applyBorder="1" applyAlignment="1">
      <alignment horizontal="center" vertical="center"/>
    </xf>
    <xf numFmtId="0" fontId="8" fillId="30" borderId="7" xfId="0" applyFont="1" applyFill="1" applyBorder="1" applyAlignment="1">
      <alignment horizontal="center" vertical="center"/>
    </xf>
    <xf numFmtId="1" fontId="8" fillId="30" borderId="7" xfId="0" applyNumberFormat="1" applyFont="1" applyFill="1" applyBorder="1" applyAlignment="1">
      <alignment horizontal="center" vertical="center"/>
    </xf>
    <xf numFmtId="164" fontId="9" fillId="30" borderId="7" xfId="0" applyNumberFormat="1" applyFont="1" applyFill="1" applyBorder="1" applyAlignment="1">
      <alignment horizontal="center" vertical="center"/>
    </xf>
    <xf numFmtId="3" fontId="9" fillId="30" borderId="7" xfId="0" applyNumberFormat="1" applyFont="1" applyFill="1" applyBorder="1" applyAlignment="1">
      <alignment horizontal="center" vertical="center"/>
    </xf>
    <xf numFmtId="0" fontId="19" fillId="8" borderId="7" xfId="0" applyNumberFormat="1" applyFont="1" applyFill="1" applyBorder="1" applyAlignment="1">
      <alignment horizontal="center" vertical="center"/>
    </xf>
    <xf numFmtId="0" fontId="0" fillId="8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24" fillId="47" borderId="0" xfId="0" applyFont="1" applyFill="1" applyBorder="1" applyAlignment="1">
      <alignment horizontal="center" vertical="center" wrapText="1"/>
    </xf>
    <xf numFmtId="0" fontId="24" fillId="15" borderId="0" xfId="0" applyFont="1" applyFill="1" applyBorder="1" applyAlignment="1">
      <alignment horizontal="center" vertical="center" wrapText="1"/>
    </xf>
    <xf numFmtId="0" fontId="23" fillId="47" borderId="0" xfId="0" applyFont="1" applyFill="1" applyBorder="1" applyAlignment="1">
      <alignment horizontal="center" vertical="center"/>
    </xf>
    <xf numFmtId="0" fontId="23" fillId="15" borderId="0" xfId="0" applyFont="1" applyFill="1" applyBorder="1" applyAlignment="1">
      <alignment horizontal="center" vertical="center"/>
    </xf>
    <xf numFmtId="3" fontId="24" fillId="47" borderId="0" xfId="0" applyNumberFormat="1" applyFont="1" applyFill="1" applyBorder="1" applyAlignment="1">
      <alignment horizontal="center"/>
    </xf>
    <xf numFmtId="3" fontId="24" fillId="15" borderId="0" xfId="0" applyNumberFormat="1" applyFont="1" applyFill="1" applyBorder="1" applyAlignment="1">
      <alignment horizontal="center"/>
    </xf>
    <xf numFmtId="0" fontId="0" fillId="0" borderId="20" xfId="0" applyFont="1" applyBorder="1" applyAlignment="1">
      <alignment horizontal="center" vertical="center"/>
    </xf>
    <xf numFmtId="0" fontId="0" fillId="42" borderId="21" xfId="0" applyFill="1" applyBorder="1" applyAlignment="1">
      <alignment horizontal="center" vertical="center"/>
    </xf>
    <xf numFmtId="0" fontId="23" fillId="47" borderId="21" xfId="0" applyFont="1" applyFill="1" applyBorder="1" applyAlignment="1">
      <alignment horizontal="center" vertical="center"/>
    </xf>
    <xf numFmtId="0" fontId="0" fillId="43" borderId="0" xfId="0" applyFont="1" applyFill="1" applyBorder="1" applyAlignment="1">
      <alignment horizontal="center" vertical="center"/>
    </xf>
    <xf numFmtId="0" fontId="0" fillId="43" borderId="21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0" fontId="17" fillId="0" borderId="0" xfId="0" applyFont="1" applyAlignment="1">
      <alignment horizontal="center"/>
    </xf>
    <xf numFmtId="3" fontId="17" fillId="0" borderId="0" xfId="0" applyNumberFormat="1" applyFont="1" applyAlignment="1">
      <alignment horizontal="center"/>
    </xf>
    <xf numFmtId="0" fontId="0" fillId="29" borderId="16" xfId="0" applyNumberFormat="1" applyFont="1" applyFill="1" applyBorder="1" applyAlignment="1">
      <alignment horizontal="center" vertical="center"/>
    </xf>
    <xf numFmtId="0" fontId="1" fillId="30" borderId="16" xfId="1" applyNumberFormat="1" applyFont="1" applyFill="1" applyBorder="1" applyAlignment="1">
      <alignment horizontal="center" vertical="center"/>
    </xf>
    <xf numFmtId="0" fontId="8" fillId="29" borderId="16" xfId="1" applyNumberFormat="1" applyFont="1" applyFill="1" applyBorder="1" applyAlignment="1">
      <alignment horizontal="center" vertical="center"/>
    </xf>
    <xf numFmtId="0" fontId="19" fillId="8" borderId="16" xfId="0" applyNumberFormat="1" applyFont="1" applyFill="1" applyBorder="1" applyAlignment="1">
      <alignment horizontal="center" vertical="center"/>
    </xf>
    <xf numFmtId="0" fontId="19" fillId="8" borderId="16" xfId="2" applyNumberFormat="1" applyFont="1" applyFill="1" applyBorder="1" applyAlignment="1">
      <alignment horizontal="center" vertical="center"/>
    </xf>
    <xf numFmtId="0" fontId="17" fillId="8" borderId="16" xfId="1" applyNumberFormat="1" applyFont="1" applyFill="1" applyBorder="1" applyAlignment="1">
      <alignment horizontal="center" vertical="center"/>
    </xf>
    <xf numFmtId="164" fontId="8" fillId="30" borderId="23" xfId="1" applyNumberFormat="1" applyFont="1" applyFill="1" applyBorder="1" applyAlignment="1">
      <alignment horizontal="center" vertical="center"/>
    </xf>
    <xf numFmtId="164" fontId="0" fillId="29" borderId="23" xfId="0" applyNumberFormat="1" applyFont="1" applyFill="1" applyBorder="1" applyAlignment="1">
      <alignment horizontal="center" vertical="center"/>
    </xf>
    <xf numFmtId="164" fontId="8" fillId="29" borderId="23" xfId="1" applyNumberFormat="1" applyFont="1" applyFill="1" applyBorder="1" applyAlignment="1">
      <alignment horizontal="center" vertical="center"/>
    </xf>
    <xf numFmtId="164" fontId="8" fillId="30" borderId="23" xfId="0" applyNumberFormat="1" applyFont="1" applyFill="1" applyBorder="1" applyAlignment="1">
      <alignment horizontal="center" vertical="center"/>
    </xf>
    <xf numFmtId="164" fontId="0" fillId="29" borderId="23" xfId="1" applyNumberFormat="1" applyFont="1" applyFill="1" applyBorder="1" applyAlignment="1">
      <alignment horizontal="center" vertical="center"/>
    </xf>
    <xf numFmtId="0" fontId="0" fillId="46" borderId="10" xfId="0" applyFill="1" applyBorder="1"/>
    <xf numFmtId="3" fontId="0" fillId="46" borderId="0" xfId="0" applyNumberFormat="1" applyFill="1" applyBorder="1" applyAlignment="1">
      <alignment horizontal="center" vertical="center"/>
    </xf>
    <xf numFmtId="0" fontId="9" fillId="0" borderId="10" xfId="0" applyFont="1" applyBorder="1"/>
    <xf numFmtId="3" fontId="9" fillId="0" borderId="0" xfId="0" applyNumberFormat="1" applyFont="1" applyBorder="1" applyAlignment="1">
      <alignment horizontal="center"/>
    </xf>
    <xf numFmtId="164" fontId="8" fillId="14" borderId="7" xfId="7" applyNumberFormat="1" applyFont="1" applyFill="1" applyBorder="1" applyAlignment="1">
      <alignment horizontal="center" vertical="center"/>
    </xf>
    <xf numFmtId="0" fontId="6" fillId="27" borderId="5" xfId="0" applyFont="1" applyFill="1" applyBorder="1" applyAlignment="1">
      <alignment horizontal="center" vertical="center"/>
    </xf>
    <xf numFmtId="0" fontId="6" fillId="27" borderId="2" xfId="0" applyFont="1" applyFill="1" applyBorder="1" applyAlignment="1">
      <alignment horizontal="center" vertical="center"/>
    </xf>
    <xf numFmtId="0" fontId="6" fillId="27" borderId="2" xfId="0" applyFont="1" applyFill="1" applyBorder="1" applyAlignment="1">
      <alignment horizontal="center" vertical="center" wrapText="1"/>
    </xf>
    <xf numFmtId="0" fontId="6" fillId="27" borderId="13" xfId="0" applyFont="1" applyFill="1" applyBorder="1" applyAlignment="1">
      <alignment horizontal="center" vertical="center"/>
    </xf>
    <xf numFmtId="41" fontId="6" fillId="27" borderId="2" xfId="0" applyNumberFormat="1" applyFont="1" applyFill="1" applyBorder="1" applyAlignment="1">
      <alignment horizontal="center" vertical="center"/>
    </xf>
    <xf numFmtId="0" fontId="6" fillId="27" borderId="6" xfId="0" applyFont="1" applyFill="1" applyBorder="1" applyAlignment="1">
      <alignment horizontal="center" vertical="center"/>
    </xf>
    <xf numFmtId="41" fontId="6" fillId="27" borderId="0" xfId="0" applyNumberFormat="1" applyFont="1" applyFill="1" applyAlignment="1">
      <alignment horizontal="center" vertical="center"/>
    </xf>
    <xf numFmtId="41" fontId="0" fillId="27" borderId="11" xfId="0" applyNumberFormat="1" applyFont="1" applyFill="1" applyBorder="1" applyAlignment="1"/>
    <xf numFmtId="41" fontId="0" fillId="27" borderId="6" xfId="0" applyNumberFormat="1" applyFont="1" applyFill="1" applyBorder="1" applyAlignment="1"/>
    <xf numFmtId="0" fontId="0" fillId="0" borderId="25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 wrapText="1"/>
    </xf>
    <xf numFmtId="9" fontId="0" fillId="0" borderId="26" xfId="2" applyFont="1" applyBorder="1" applyAlignment="1">
      <alignment horizontal="center" vertical="center"/>
    </xf>
    <xf numFmtId="9" fontId="0" fillId="0" borderId="30" xfId="2" applyFont="1" applyBorder="1" applyAlignment="1">
      <alignment horizontal="center" vertical="center"/>
    </xf>
    <xf numFmtId="9" fontId="0" fillId="0" borderId="28" xfId="2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9" fontId="6" fillId="0" borderId="32" xfId="0" applyNumberFormat="1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9" fontId="6" fillId="0" borderId="32" xfId="2" applyFont="1" applyBorder="1" applyAlignment="1">
      <alignment horizontal="center" vertical="center"/>
    </xf>
    <xf numFmtId="164" fontId="8" fillId="14" borderId="7" xfId="6" applyNumberFormat="1" applyFont="1" applyFill="1" applyBorder="1" applyAlignment="1">
      <alignment horizontal="center" vertical="center" wrapText="1"/>
    </xf>
    <xf numFmtId="164" fontId="8" fillId="14" borderId="7" xfId="6" applyNumberFormat="1" applyFont="1" applyFill="1" applyBorder="1" applyAlignment="1">
      <alignment horizontal="center" vertical="center"/>
    </xf>
    <xf numFmtId="9" fontId="6" fillId="0" borderId="34" xfId="2" applyFont="1" applyBorder="1" applyAlignment="1">
      <alignment horizontal="center" vertical="center"/>
    </xf>
    <xf numFmtId="9" fontId="6" fillId="0" borderId="32" xfId="0" applyNumberFormat="1" applyFont="1" applyBorder="1" applyAlignment="1">
      <alignment horizontal="center" vertical="center" wrapText="1"/>
    </xf>
    <xf numFmtId="9" fontId="6" fillId="0" borderId="32" xfId="2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65" fontId="0" fillId="14" borderId="7" xfId="0" applyNumberFormat="1" applyFont="1" applyFill="1" applyBorder="1" applyAlignment="1">
      <alignment horizontal="center" vertical="center"/>
    </xf>
    <xf numFmtId="165" fontId="0" fillId="14" borderId="1" xfId="0" applyNumberFormat="1" applyFont="1" applyFill="1" applyBorder="1" applyAlignment="1">
      <alignment horizontal="center" vertical="center"/>
    </xf>
    <xf numFmtId="9" fontId="8" fillId="14" borderId="1" xfId="2" applyFont="1" applyFill="1" applyBorder="1" applyAlignment="1">
      <alignment horizontal="center" vertical="center" wrapText="1"/>
    </xf>
    <xf numFmtId="165" fontId="8" fillId="14" borderId="7" xfId="0" applyNumberFormat="1" applyFont="1" applyFill="1" applyBorder="1" applyAlignment="1">
      <alignment horizontal="center" vertical="center"/>
    </xf>
    <xf numFmtId="43" fontId="8" fillId="14" borderId="1" xfId="1" applyFont="1" applyFill="1" applyBorder="1" applyAlignment="1">
      <alignment horizontal="center" vertical="center" wrapText="1"/>
    </xf>
    <xf numFmtId="9" fontId="8" fillId="14" borderId="7" xfId="2" applyFont="1" applyFill="1" applyBorder="1" applyAlignment="1">
      <alignment horizontal="center" vertical="center" wrapText="1"/>
    </xf>
    <xf numFmtId="43" fontId="8" fillId="14" borderId="7" xfId="1" applyFont="1" applyFill="1" applyBorder="1" applyAlignment="1">
      <alignment horizontal="center" vertical="center" wrapText="1"/>
    </xf>
    <xf numFmtId="0" fontId="6" fillId="40" borderId="7" xfId="0" applyFont="1" applyFill="1" applyBorder="1" applyAlignment="1">
      <alignment horizontal="center" vertical="center" wrapText="1"/>
    </xf>
    <xf numFmtId="164" fontId="8" fillId="14" borderId="7" xfId="7" applyNumberFormat="1" applyFont="1" applyFill="1" applyBorder="1" applyAlignment="1">
      <alignment horizontal="center" vertical="center" wrapText="1"/>
    </xf>
    <xf numFmtId="0" fontId="9" fillId="8" borderId="7" xfId="0" applyFont="1" applyFill="1" applyBorder="1" applyAlignment="1">
      <alignment horizontal="center" vertical="center"/>
    </xf>
    <xf numFmtId="0" fontId="8" fillId="14" borderId="7" xfId="0" applyFont="1" applyFill="1" applyBorder="1" applyAlignment="1">
      <alignment horizontal="center" vertical="center" wrapText="1"/>
    </xf>
    <xf numFmtId="169" fontId="8" fillId="29" borderId="7" xfId="0" applyNumberFormat="1" applyFont="1" applyFill="1" applyBorder="1" applyAlignment="1">
      <alignment horizontal="center" vertical="center"/>
    </xf>
    <xf numFmtId="0" fontId="22" fillId="41" borderId="9" xfId="0" applyFont="1" applyFill="1" applyBorder="1" applyAlignment="1"/>
    <xf numFmtId="0" fontId="22" fillId="41" borderId="8" xfId="0" applyFont="1" applyFill="1" applyBorder="1" applyAlignment="1"/>
    <xf numFmtId="0" fontId="0" fillId="0" borderId="10" xfId="0" applyBorder="1" applyAlignment="1">
      <alignment horizontal="center"/>
    </xf>
    <xf numFmtId="1" fontId="0" fillId="0" borderId="11" xfId="0" applyNumberFormat="1" applyBorder="1" applyAlignment="1">
      <alignment horizontal="center"/>
    </xf>
    <xf numFmtId="1" fontId="0" fillId="0" borderId="11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3" fontId="0" fillId="0" borderId="11" xfId="0" applyNumberFormat="1" applyBorder="1" applyAlignment="1">
      <alignment horizontal="center"/>
    </xf>
    <xf numFmtId="3" fontId="0" fillId="0" borderId="11" xfId="0" applyNumberFormat="1" applyBorder="1" applyAlignment="1">
      <alignment horizontal="center" vertical="center"/>
    </xf>
    <xf numFmtId="3" fontId="0" fillId="0" borderId="13" xfId="0" applyNumberFormat="1" applyBorder="1" applyAlignment="1">
      <alignment horizontal="center"/>
    </xf>
    <xf numFmtId="3" fontId="0" fillId="0" borderId="13" xfId="0" applyNumberFormat="1" applyBorder="1" applyAlignment="1">
      <alignment horizontal="center" vertical="center"/>
    </xf>
    <xf numFmtId="0" fontId="30" fillId="0" borderId="0" xfId="0" applyFont="1"/>
    <xf numFmtId="0" fontId="30" fillId="0" borderId="0" xfId="0" applyFont="1" applyAlignment="1">
      <alignment horizontal="center" vertical="center"/>
    </xf>
    <xf numFmtId="3" fontId="30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7" fillId="36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6" fillId="0" borderId="11" xfId="0" applyFont="1" applyBorder="1" applyAlignment="1">
      <alignment horizontal="center"/>
    </xf>
    <xf numFmtId="0" fontId="0" fillId="29" borderId="11" xfId="0" applyFill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29" borderId="13" xfId="0" applyFill="1" applyBorder="1" applyAlignment="1">
      <alignment horizontal="center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0" fontId="6" fillId="0" borderId="38" xfId="0" applyFont="1" applyBorder="1" applyAlignment="1">
      <alignment wrapText="1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9" borderId="11" xfId="0" applyFill="1" applyBorder="1" applyAlignment="1">
      <alignment horizontal="center" vertical="center"/>
    </xf>
    <xf numFmtId="0" fontId="0" fillId="29" borderId="13" xfId="0" applyFill="1" applyBorder="1" applyAlignment="1">
      <alignment horizontal="center" vertical="center"/>
    </xf>
    <xf numFmtId="0" fontId="0" fillId="29" borderId="5" xfId="0" applyFill="1" applyBorder="1" applyAlignment="1">
      <alignment horizontal="center" vertical="center"/>
    </xf>
    <xf numFmtId="3" fontId="0" fillId="52" borderId="39" xfId="0" applyNumberFormat="1" applyFont="1" applyFill="1" applyBorder="1" applyAlignment="1">
      <alignment horizontal="center"/>
    </xf>
    <xf numFmtId="3" fontId="0" fillId="51" borderId="39" xfId="0" applyNumberFormat="1" applyFont="1" applyFill="1" applyBorder="1" applyAlignment="1">
      <alignment horizontal="center"/>
    </xf>
    <xf numFmtId="3" fontId="17" fillId="52" borderId="39" xfId="0" applyNumberFormat="1" applyFont="1" applyFill="1" applyBorder="1" applyAlignment="1">
      <alignment horizontal="center"/>
    </xf>
    <xf numFmtId="3" fontId="17" fillId="51" borderId="39" xfId="0" applyNumberFormat="1" applyFont="1" applyFill="1" applyBorder="1" applyAlignment="1">
      <alignment horizontal="center"/>
    </xf>
    <xf numFmtId="0" fontId="30" fillId="0" borderId="0" xfId="0" applyFont="1" applyAlignment="1">
      <alignment wrapText="1"/>
    </xf>
    <xf numFmtId="0" fontId="6" fillId="51" borderId="39" xfId="0" applyFont="1" applyFill="1" applyBorder="1" applyAlignment="1">
      <alignment horizontal="center" vertical="center"/>
    </xf>
    <xf numFmtId="0" fontId="6" fillId="51" borderId="39" xfId="0" applyFont="1" applyFill="1" applyBorder="1" applyAlignment="1">
      <alignment horizontal="center" vertical="center" wrapText="1"/>
    </xf>
    <xf numFmtId="0" fontId="0" fillId="29" borderId="7" xfId="0" applyFont="1" applyFill="1" applyBorder="1" applyAlignment="1">
      <alignment horizontal="center" vertical="center" wrapText="1"/>
    </xf>
    <xf numFmtId="14" fontId="8" fillId="8" borderId="7" xfId="0" applyNumberFormat="1" applyFont="1" applyFill="1" applyBorder="1" applyAlignment="1">
      <alignment horizontal="center" vertical="center" wrapText="1"/>
    </xf>
    <xf numFmtId="4" fontId="8" fillId="23" borderId="7" xfId="0" applyNumberFormat="1" applyFont="1" applyFill="1" applyBorder="1" applyAlignment="1">
      <alignment horizontal="center" vertical="center"/>
    </xf>
    <xf numFmtId="165" fontId="8" fillId="21" borderId="7" xfId="0" applyNumberFormat="1" applyFont="1" applyFill="1" applyBorder="1" applyAlignment="1">
      <alignment horizontal="center" vertical="center"/>
    </xf>
    <xf numFmtId="164" fontId="9" fillId="8" borderId="16" xfId="1" applyNumberFormat="1" applyFont="1" applyFill="1" applyBorder="1" applyAlignment="1">
      <alignment horizontal="center" vertical="center"/>
    </xf>
    <xf numFmtId="0" fontId="8" fillId="9" borderId="1" xfId="3" applyFont="1" applyFill="1" applyBorder="1" applyAlignment="1">
      <alignment horizontal="center" vertical="center" wrapText="1"/>
    </xf>
    <xf numFmtId="4" fontId="8" fillId="23" borderId="1" xfId="0" applyNumberFormat="1" applyFont="1" applyFill="1" applyBorder="1" applyAlignment="1">
      <alignment horizontal="center" vertical="center"/>
    </xf>
    <xf numFmtId="164" fontId="9" fillId="29" borderId="7" xfId="0" applyNumberFormat="1" applyFont="1" applyFill="1" applyBorder="1" applyAlignment="1">
      <alignment horizontal="center" vertical="center"/>
    </xf>
    <xf numFmtId="3" fontId="9" fillId="29" borderId="7" xfId="0" applyNumberFormat="1" applyFont="1" applyFill="1" applyBorder="1" applyAlignment="1">
      <alignment horizontal="center" vertical="center"/>
    </xf>
    <xf numFmtId="14" fontId="0" fillId="14" borderId="7" xfId="0" applyNumberFormat="1" applyFont="1" applyFill="1" applyBorder="1" applyAlignment="1">
      <alignment horizontal="center" vertical="center"/>
    </xf>
    <xf numFmtId="164" fontId="8" fillId="29" borderId="23" xfId="0" applyNumberFormat="1" applyFont="1" applyFill="1" applyBorder="1" applyAlignment="1">
      <alignment horizontal="center" vertical="center"/>
    </xf>
    <xf numFmtId="0" fontId="8" fillId="29" borderId="16" xfId="0" applyNumberFormat="1" applyFont="1" applyFill="1" applyBorder="1" applyAlignment="1">
      <alignment horizontal="center" vertical="center"/>
    </xf>
    <xf numFmtId="1" fontId="19" fillId="8" borderId="16" xfId="0" applyNumberFormat="1" applyFont="1" applyFill="1" applyBorder="1" applyAlignment="1">
      <alignment horizontal="center" vertical="center"/>
    </xf>
    <xf numFmtId="1" fontId="0" fillId="29" borderId="16" xfId="0" applyNumberFormat="1" applyFont="1" applyFill="1" applyBorder="1" applyAlignment="1">
      <alignment horizontal="center" vertical="center"/>
    </xf>
    <xf numFmtId="1" fontId="8" fillId="29" borderId="16" xfId="1" applyNumberFormat="1" applyFont="1" applyFill="1" applyBorder="1" applyAlignment="1">
      <alignment horizontal="center" vertical="center"/>
    </xf>
    <xf numFmtId="1" fontId="1" fillId="30" borderId="16" xfId="1" applyNumberFormat="1" applyFont="1" applyFill="1" applyBorder="1" applyAlignment="1">
      <alignment horizontal="center" vertical="center"/>
    </xf>
    <xf numFmtId="1" fontId="8" fillId="29" borderId="16" xfId="0" applyNumberFormat="1" applyFont="1" applyFill="1" applyBorder="1" applyAlignment="1">
      <alignment horizontal="center" vertical="center"/>
    </xf>
    <xf numFmtId="1" fontId="19" fillId="8" borderId="16" xfId="2" applyNumberFormat="1" applyFont="1" applyFill="1" applyBorder="1" applyAlignment="1">
      <alignment horizontal="center" vertical="center"/>
    </xf>
    <xf numFmtId="9" fontId="19" fillId="8" borderId="7" xfId="2" applyFont="1" applyFill="1" applyBorder="1" applyAlignment="1">
      <alignment horizontal="center" vertical="center"/>
    </xf>
    <xf numFmtId="9" fontId="8" fillId="30" borderId="7" xfId="2" applyFont="1" applyFill="1" applyBorder="1" applyAlignment="1">
      <alignment horizontal="center" vertical="center"/>
    </xf>
    <xf numFmtId="9" fontId="0" fillId="30" borderId="7" xfId="2" applyFont="1" applyFill="1" applyBorder="1" applyAlignment="1">
      <alignment horizontal="center" vertical="center"/>
    </xf>
    <xf numFmtId="164" fontId="8" fillId="29" borderId="37" xfId="1" applyNumberFormat="1" applyFont="1" applyFill="1" applyBorder="1" applyAlignment="1">
      <alignment horizontal="center" vertical="center"/>
    </xf>
    <xf numFmtId="0" fontId="0" fillId="29" borderId="16" xfId="1" applyNumberFormat="1" applyFont="1" applyFill="1" applyBorder="1" applyAlignment="1">
      <alignment horizontal="center" vertical="center"/>
    </xf>
    <xf numFmtId="164" fontId="9" fillId="8" borderId="37" xfId="1" applyNumberFormat="1" applyFont="1" applyFill="1" applyBorder="1" applyAlignment="1">
      <alignment horizontal="center" vertical="center"/>
    </xf>
    <xf numFmtId="0" fontId="33" fillId="8" borderId="1" xfId="0" applyFont="1" applyFill="1" applyBorder="1" applyAlignment="1">
      <alignment horizontal="center" vertical="center" wrapText="1"/>
    </xf>
    <xf numFmtId="0" fontId="33" fillId="8" borderId="7" xfId="0" applyFont="1" applyFill="1" applyBorder="1" applyAlignment="1">
      <alignment horizontal="center" vertical="center" wrapText="1"/>
    </xf>
    <xf numFmtId="0" fontId="33" fillId="9" borderId="7" xfId="0" applyFont="1" applyFill="1" applyBorder="1" applyAlignment="1">
      <alignment horizontal="center" vertical="center" wrapText="1"/>
    </xf>
    <xf numFmtId="0" fontId="33" fillId="9" borderId="1" xfId="3" applyFont="1" applyFill="1" applyBorder="1" applyAlignment="1">
      <alignment horizontal="center" vertical="center" wrapText="1"/>
    </xf>
    <xf numFmtId="0" fontId="33" fillId="11" borderId="1" xfId="0" applyFont="1" applyFill="1" applyBorder="1" applyAlignment="1">
      <alignment horizontal="center" vertical="center" wrapText="1"/>
    </xf>
    <xf numFmtId="41" fontId="33" fillId="8" borderId="7" xfId="0" applyNumberFormat="1" applyFont="1" applyFill="1" applyBorder="1" applyAlignment="1">
      <alignment horizontal="center" vertical="center" wrapText="1"/>
    </xf>
    <xf numFmtId="9" fontId="33" fillId="8" borderId="7" xfId="2" applyFont="1" applyFill="1" applyBorder="1" applyAlignment="1">
      <alignment horizontal="center" vertical="center" wrapText="1"/>
    </xf>
    <xf numFmtId="0" fontId="33" fillId="31" borderId="7" xfId="1" applyNumberFormat="1" applyFont="1" applyFill="1" applyBorder="1" applyAlignment="1">
      <alignment horizontal="center" vertical="center" wrapText="1"/>
    </xf>
    <xf numFmtId="0" fontId="33" fillId="34" borderId="1" xfId="5" applyFont="1" applyFill="1" applyBorder="1" applyAlignment="1">
      <alignment horizontal="center" vertical="center" wrapText="1"/>
    </xf>
    <xf numFmtId="0" fontId="33" fillId="4" borderId="7" xfId="5" applyFont="1" applyBorder="1" applyAlignment="1">
      <alignment horizontal="center" vertical="center" wrapText="1"/>
    </xf>
    <xf numFmtId="0" fontId="33" fillId="6" borderId="1" xfId="7" applyFont="1" applyBorder="1" applyAlignment="1">
      <alignment horizontal="center" vertical="center" wrapText="1"/>
    </xf>
    <xf numFmtId="0" fontId="33" fillId="35" borderId="1" xfId="7" applyFont="1" applyFill="1" applyBorder="1" applyAlignment="1">
      <alignment horizontal="center" vertical="center" wrapText="1"/>
    </xf>
    <xf numFmtId="0" fontId="33" fillId="6" borderId="7" xfId="7" applyFont="1" applyBorder="1" applyAlignment="1">
      <alignment horizontal="center" vertical="center" wrapText="1"/>
    </xf>
    <xf numFmtId="0" fontId="33" fillId="40" borderId="7" xfId="7" applyFont="1" applyFill="1" applyBorder="1" applyAlignment="1">
      <alignment horizontal="center" vertical="center" wrapText="1"/>
    </xf>
    <xf numFmtId="0" fontId="33" fillId="33" borderId="7" xfId="1" applyNumberFormat="1" applyFont="1" applyFill="1" applyBorder="1" applyAlignment="1">
      <alignment horizontal="center" vertical="center" wrapText="1"/>
    </xf>
    <xf numFmtId="0" fontId="33" fillId="33" borderId="16" xfId="1" applyNumberFormat="1" applyFont="1" applyFill="1" applyBorder="1" applyAlignment="1">
      <alignment horizontal="center" vertical="center" wrapText="1"/>
    </xf>
    <xf numFmtId="1" fontId="33" fillId="33" borderId="7" xfId="1" applyNumberFormat="1" applyFont="1" applyFill="1" applyBorder="1" applyAlignment="1">
      <alignment horizontal="center" vertical="center" wrapText="1"/>
    </xf>
    <xf numFmtId="0" fontId="33" fillId="32" borderId="7" xfId="1" applyNumberFormat="1" applyFont="1" applyFill="1" applyBorder="1" applyAlignment="1">
      <alignment horizontal="center" vertical="center" wrapText="1"/>
    </xf>
    <xf numFmtId="0" fontId="33" fillId="32" borderId="7" xfId="1" applyNumberFormat="1" applyFont="1" applyFill="1" applyBorder="1" applyAlignment="1">
      <alignment horizontal="center" vertical="center"/>
    </xf>
    <xf numFmtId="3" fontId="33" fillId="11" borderId="1" xfId="1" applyNumberFormat="1" applyFont="1" applyFill="1" applyBorder="1" applyAlignment="1">
      <alignment horizontal="center" vertical="center" wrapText="1"/>
    </xf>
    <xf numFmtId="3" fontId="33" fillId="16" borderId="1" xfId="1" applyNumberFormat="1" applyFont="1" applyFill="1" applyBorder="1" applyAlignment="1">
      <alignment horizontal="center" vertical="center" wrapText="1"/>
    </xf>
    <xf numFmtId="43" fontId="33" fillId="11" borderId="1" xfId="1" applyFont="1" applyFill="1" applyBorder="1" applyAlignment="1">
      <alignment horizontal="center" vertical="center" wrapText="1"/>
    </xf>
    <xf numFmtId="43" fontId="33" fillId="16" borderId="1" xfId="1" applyFont="1" applyFill="1" applyBorder="1" applyAlignment="1">
      <alignment horizontal="center" vertical="center" wrapText="1"/>
    </xf>
    <xf numFmtId="43" fontId="33" fillId="11" borderId="7" xfId="1" applyFont="1" applyFill="1" applyBorder="1" applyAlignment="1">
      <alignment horizontal="center" vertical="center" wrapText="1"/>
    </xf>
    <xf numFmtId="43" fontId="33" fillId="16" borderId="7" xfId="1" applyFont="1" applyFill="1" applyBorder="1" applyAlignment="1">
      <alignment horizontal="center" vertical="center" wrapText="1"/>
    </xf>
    <xf numFmtId="43" fontId="33" fillId="18" borderId="1" xfId="1" applyFont="1" applyFill="1" applyBorder="1" applyAlignment="1">
      <alignment horizontal="center" vertical="center" wrapText="1"/>
    </xf>
    <xf numFmtId="0" fontId="34" fillId="46" borderId="0" xfId="10" applyFont="1" applyFill="1" applyAlignment="1">
      <alignment horizontal="center" vertical="center" wrapText="1"/>
    </xf>
    <xf numFmtId="0" fontId="35" fillId="46" borderId="0" xfId="10" applyFont="1" applyFill="1" applyAlignment="1">
      <alignment horizontal="center" vertical="center" wrapText="1"/>
    </xf>
    <xf numFmtId="0" fontId="34" fillId="11" borderId="0" xfId="10" applyFont="1" applyFill="1" applyAlignment="1">
      <alignment horizontal="center" vertical="center" wrapText="1"/>
    </xf>
    <xf numFmtId="0" fontId="34" fillId="50" borderId="0" xfId="10" applyFont="1" applyFill="1" applyAlignment="1">
      <alignment horizontal="center" vertical="center" wrapText="1"/>
    </xf>
    <xf numFmtId="0" fontId="33" fillId="8" borderId="0" xfId="0" applyFont="1" applyFill="1" applyAlignment="1">
      <alignment horizontal="center" vertical="center" wrapText="1"/>
    </xf>
    <xf numFmtId="1" fontId="23" fillId="54" borderId="7" xfId="0" applyNumberFormat="1" applyFont="1" applyFill="1" applyBorder="1" applyAlignment="1">
      <alignment horizontal="center" vertical="center"/>
    </xf>
    <xf numFmtId="164" fontId="37" fillId="29" borderId="14" xfId="0" applyNumberFormat="1" applyFont="1" applyFill="1" applyBorder="1" applyAlignment="1">
      <alignment horizontal="center" vertical="center"/>
    </xf>
    <xf numFmtId="164" fontId="37" fillId="29" borderId="7" xfId="0" applyNumberFormat="1" applyFont="1" applyFill="1" applyBorder="1" applyAlignment="1">
      <alignment horizontal="center" vertical="center"/>
    </xf>
    <xf numFmtId="1" fontId="37" fillId="54" borderId="7" xfId="0" applyNumberFormat="1" applyFont="1" applyFill="1" applyBorder="1" applyAlignment="1">
      <alignment horizontal="center" vertical="center"/>
    </xf>
    <xf numFmtId="164" fontId="9" fillId="12" borderId="7" xfId="0" applyNumberFormat="1" applyFont="1" applyFill="1" applyBorder="1" applyAlignment="1">
      <alignment horizontal="center" vertical="center"/>
    </xf>
    <xf numFmtId="3" fontId="0" fillId="12" borderId="7" xfId="0" applyNumberFormat="1" applyFont="1" applyFill="1" applyBorder="1" applyAlignment="1">
      <alignment horizontal="center" vertical="center"/>
    </xf>
    <xf numFmtId="1" fontId="23" fillId="56" borderId="7" xfId="0" applyNumberFormat="1" applyFont="1" applyFill="1" applyBorder="1" applyAlignment="1">
      <alignment horizontal="center" vertical="center"/>
    </xf>
    <xf numFmtId="1" fontId="37" fillId="56" borderId="7" xfId="0" applyNumberFormat="1" applyFont="1" applyFill="1" applyBorder="1" applyAlignment="1">
      <alignment horizontal="center" vertical="center"/>
    </xf>
    <xf numFmtId="1" fontId="0" fillId="12" borderId="7" xfId="0" applyNumberFormat="1" applyFont="1" applyFill="1" applyBorder="1" applyAlignment="1">
      <alignment horizontal="center" vertical="center"/>
    </xf>
    <xf numFmtId="164" fontId="0" fillId="12" borderId="7" xfId="0" applyNumberFormat="1" applyFont="1" applyFill="1" applyBorder="1" applyAlignment="1">
      <alignment horizontal="center" vertical="center"/>
    </xf>
    <xf numFmtId="0" fontId="0" fillId="12" borderId="7" xfId="0" applyFont="1" applyFill="1" applyBorder="1" applyAlignment="1">
      <alignment horizontal="center" vertical="center"/>
    </xf>
    <xf numFmtId="164" fontId="8" fillId="12" borderId="7" xfId="0" applyNumberFormat="1" applyFont="1" applyFill="1" applyBorder="1" applyAlignment="1">
      <alignment horizontal="center" vertical="center"/>
    </xf>
    <xf numFmtId="0" fontId="8" fillId="12" borderId="7" xfId="0" applyFont="1" applyFill="1" applyBorder="1" applyAlignment="1">
      <alignment horizontal="center" vertical="center"/>
    </xf>
    <xf numFmtId="164" fontId="9" fillId="39" borderId="7" xfId="0" applyNumberFormat="1" applyFont="1" applyFill="1" applyBorder="1" applyAlignment="1">
      <alignment horizontal="center" vertical="center"/>
    </xf>
    <xf numFmtId="0" fontId="0" fillId="39" borderId="7" xfId="0" applyFont="1" applyFill="1" applyBorder="1" applyAlignment="1">
      <alignment horizontal="center" vertical="center"/>
    </xf>
    <xf numFmtId="164" fontId="0" fillId="39" borderId="7" xfId="0" applyNumberFormat="1" applyFont="1" applyFill="1" applyBorder="1" applyAlignment="1">
      <alignment horizontal="center" vertical="center"/>
    </xf>
    <xf numFmtId="3" fontId="0" fillId="39" borderId="7" xfId="0" applyNumberFormat="1" applyFont="1" applyFill="1" applyBorder="1" applyAlignment="1">
      <alignment horizontal="center" vertical="center"/>
    </xf>
    <xf numFmtId="1" fontId="23" fillId="57" borderId="7" xfId="0" applyNumberFormat="1" applyFont="1" applyFill="1" applyBorder="1" applyAlignment="1">
      <alignment horizontal="center" vertical="center"/>
    </xf>
    <xf numFmtId="1" fontId="0" fillId="39" borderId="7" xfId="0" applyNumberFormat="1" applyFont="1" applyFill="1" applyBorder="1" applyAlignment="1">
      <alignment horizontal="center" vertical="center"/>
    </xf>
    <xf numFmtId="3" fontId="9" fillId="39" borderId="7" xfId="0" applyNumberFormat="1" applyFont="1" applyFill="1" applyBorder="1" applyAlignment="1">
      <alignment horizontal="center" vertical="center"/>
    </xf>
    <xf numFmtId="164" fontId="8" fillId="39" borderId="7" xfId="0" applyNumberFormat="1" applyFont="1" applyFill="1" applyBorder="1" applyAlignment="1">
      <alignment horizontal="center" vertical="center"/>
    </xf>
    <xf numFmtId="1" fontId="23" fillId="29" borderId="7" xfId="0" applyNumberFormat="1" applyFont="1" applyFill="1" applyBorder="1" applyAlignment="1">
      <alignment horizontal="center" vertical="center"/>
    </xf>
    <xf numFmtId="164" fontId="0" fillId="12" borderId="14" xfId="0" applyNumberFormat="1" applyFont="1" applyFill="1" applyBorder="1" applyAlignment="1">
      <alignment horizontal="center" vertical="center"/>
    </xf>
    <xf numFmtId="0" fontId="0" fillId="55" borderId="7" xfId="0" applyFont="1" applyFill="1" applyBorder="1" applyAlignment="1">
      <alignment horizontal="center" vertical="center"/>
    </xf>
    <xf numFmtId="0" fontId="0" fillId="21" borderId="7" xfId="0" applyFont="1" applyFill="1" applyBorder="1" applyAlignment="1">
      <alignment horizontal="center" vertical="center"/>
    </xf>
    <xf numFmtId="3" fontId="36" fillId="21" borderId="7" xfId="10" applyNumberFormat="1" applyFont="1" applyFill="1" applyBorder="1" applyAlignment="1">
      <alignment horizontal="center" vertical="center" wrapText="1"/>
    </xf>
    <xf numFmtId="3" fontId="36" fillId="21" borderId="7" xfId="10" applyNumberFormat="1" applyFont="1" applyFill="1" applyBorder="1" applyAlignment="1">
      <alignment horizontal="right" vertical="center" wrapText="1"/>
    </xf>
    <xf numFmtId="3" fontId="0" fillId="55" borderId="7" xfId="0" applyNumberFormat="1" applyFont="1" applyFill="1" applyBorder="1" applyAlignment="1">
      <alignment horizontal="center" vertical="center"/>
    </xf>
    <xf numFmtId="3" fontId="0" fillId="21" borderId="7" xfId="0" applyNumberFormat="1" applyFont="1" applyFill="1" applyBorder="1" applyAlignment="1">
      <alignment horizontal="center" vertical="center"/>
    </xf>
    <xf numFmtId="0" fontId="0" fillId="21" borderId="15" xfId="0" applyFont="1" applyFill="1" applyBorder="1" applyAlignment="1">
      <alignment horizontal="center" vertic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164" fontId="34" fillId="11" borderId="0" xfId="10" applyNumberFormat="1" applyFont="1" applyFill="1" applyAlignment="1">
      <alignment horizontal="center" vertical="center" wrapText="1"/>
    </xf>
    <xf numFmtId="164" fontId="35" fillId="11" borderId="0" xfId="10" applyNumberFormat="1" applyFont="1" applyFill="1" applyAlignment="1">
      <alignment horizontal="center" vertical="center" wrapText="1"/>
    </xf>
    <xf numFmtId="164" fontId="13" fillId="12" borderId="7" xfId="0" applyNumberFormat="1" applyFont="1" applyFill="1" applyBorder="1" applyAlignment="1">
      <alignment horizontal="center" vertical="center"/>
    </xf>
    <xf numFmtId="164" fontId="5" fillId="8" borderId="0" xfId="0" applyNumberFormat="1" applyFont="1" applyFill="1" applyAlignment="1">
      <alignment horizontal="center" vertical="center" wrapText="1"/>
    </xf>
    <xf numFmtId="0" fontId="0" fillId="21" borderId="7" xfId="0" applyFont="1" applyFill="1" applyBorder="1" applyAlignment="1">
      <alignment horizontal="center" vertical="center" wrapText="1"/>
    </xf>
    <xf numFmtId="164" fontId="0" fillId="29" borderId="14" xfId="0" applyNumberFormat="1" applyFont="1" applyFill="1" applyBorder="1" applyAlignment="1">
      <alignment horizontal="center" vertical="center"/>
    </xf>
    <xf numFmtId="1" fontId="37" fillId="29" borderId="7" xfId="0" applyNumberFormat="1" applyFont="1" applyFill="1" applyBorder="1" applyAlignment="1">
      <alignment horizontal="center" vertical="center"/>
    </xf>
    <xf numFmtId="1" fontId="6" fillId="29" borderId="7" xfId="0" applyNumberFormat="1" applyFont="1" applyFill="1" applyBorder="1" applyAlignment="1">
      <alignment horizontal="center" vertical="center"/>
    </xf>
    <xf numFmtId="164" fontId="0" fillId="29" borderId="15" xfId="0" applyNumberFormat="1" applyFont="1" applyFill="1" applyBorder="1" applyAlignment="1">
      <alignment horizontal="center" vertical="center"/>
    </xf>
    <xf numFmtId="164" fontId="9" fillId="8" borderId="14" xfId="1" applyNumberFormat="1" applyFont="1" applyFill="1" applyBorder="1" applyAlignment="1">
      <alignment horizontal="center" vertical="center"/>
    </xf>
    <xf numFmtId="164" fontId="8" fillId="30" borderId="37" xfId="1" applyNumberFormat="1" applyFont="1" applyFill="1" applyBorder="1" applyAlignment="1">
      <alignment horizontal="center" vertical="center"/>
    </xf>
    <xf numFmtId="0" fontId="9" fillId="0" borderId="16" xfId="0" applyNumberFormat="1" applyFont="1" applyBorder="1" applyAlignment="1">
      <alignment horizontal="center" vertical="center"/>
    </xf>
    <xf numFmtId="3" fontId="0" fillId="21" borderId="7" xfId="0" applyNumberFormat="1" applyFont="1" applyFill="1" applyBorder="1" applyAlignment="1">
      <alignment horizontal="center" vertical="center" wrapText="1"/>
    </xf>
    <xf numFmtId="0" fontId="0" fillId="21" borderId="15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3" fontId="34" fillId="31" borderId="0" xfId="10" applyNumberFormat="1" applyFont="1" applyFill="1" applyAlignment="1">
      <alignment horizontal="center" vertical="center" wrapText="1"/>
    </xf>
    <xf numFmtId="3" fontId="0" fillId="0" borderId="0" xfId="0" applyNumberFormat="1" applyFont="1" applyAlignment="1">
      <alignment horizontal="center"/>
    </xf>
    <xf numFmtId="3" fontId="5" fillId="8" borderId="0" xfId="0" applyNumberFormat="1" applyFont="1" applyFill="1" applyAlignment="1">
      <alignment horizontal="center" vertical="center" wrapText="1"/>
    </xf>
    <xf numFmtId="3" fontId="13" fillId="0" borderId="0" xfId="0" applyNumberFormat="1" applyFont="1" applyAlignment="1">
      <alignment horizontal="center" vertical="center"/>
    </xf>
    <xf numFmtId="166" fontId="0" fillId="0" borderId="0" xfId="1" applyNumberFormat="1" applyFont="1"/>
    <xf numFmtId="3" fontId="0" fillId="55" borderId="7" xfId="0" applyNumberFormat="1" applyFont="1" applyFill="1" applyBorder="1" applyAlignment="1">
      <alignment horizontal="center" vertical="center" wrapText="1"/>
    </xf>
    <xf numFmtId="164" fontId="8" fillId="30" borderId="23" xfId="1" applyNumberFormat="1" applyFont="1" applyFill="1" applyBorder="1" applyAlignment="1">
      <alignment horizontal="center" vertical="center" wrapText="1"/>
    </xf>
    <xf numFmtId="0" fontId="8" fillId="29" borderId="16" xfId="1" applyNumberFormat="1" applyFont="1" applyFill="1" applyBorder="1" applyAlignment="1">
      <alignment horizontal="center" vertical="center" wrapText="1"/>
    </xf>
    <xf numFmtId="14" fontId="0" fillId="8" borderId="7" xfId="0" applyNumberFormat="1" applyFont="1" applyFill="1" applyBorder="1" applyAlignment="1">
      <alignment horizontal="center" vertical="center" wrapText="1"/>
    </xf>
    <xf numFmtId="166" fontId="0" fillId="0" borderId="0" xfId="0" applyNumberFormat="1" applyBorder="1"/>
    <xf numFmtId="164" fontId="0" fillId="29" borderId="37" xfId="1" applyNumberFormat="1" applyFont="1" applyFill="1" applyBorder="1" applyAlignment="1">
      <alignment horizontal="center" vertical="center"/>
    </xf>
    <xf numFmtId="164" fontId="8" fillId="29" borderId="37" xfId="0" applyNumberFormat="1" applyFont="1" applyFill="1" applyBorder="1" applyAlignment="1">
      <alignment horizontal="center" vertical="center"/>
    </xf>
    <xf numFmtId="164" fontId="8" fillId="29" borderId="23" xfId="1" applyNumberFormat="1" applyFont="1" applyFill="1" applyBorder="1" applyAlignment="1">
      <alignment horizontal="center" vertical="center" wrapText="1"/>
    </xf>
    <xf numFmtId="0" fontId="8" fillId="29" borderId="7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8" fillId="0" borderId="10" xfId="0" applyFont="1" applyBorder="1"/>
    <xf numFmtId="3" fontId="8" fillId="0" borderId="0" xfId="0" applyNumberFormat="1" applyFont="1" applyBorder="1" applyAlignment="1">
      <alignment horizontal="center"/>
    </xf>
    <xf numFmtId="166" fontId="0" fillId="0" borderId="0" xfId="1" applyNumberFormat="1" applyFont="1" applyBorder="1"/>
    <xf numFmtId="3" fontId="0" fillId="29" borderId="7" xfId="0" applyNumberFormat="1" applyFont="1" applyFill="1" applyBorder="1" applyAlignment="1">
      <alignment horizontal="center" vertical="center" wrapText="1"/>
    </xf>
    <xf numFmtId="166" fontId="33" fillId="8" borderId="7" xfId="1" applyNumberFormat="1" applyFont="1" applyFill="1" applyBorder="1" applyAlignment="1">
      <alignment horizontal="center" vertical="center" wrapText="1"/>
    </xf>
    <xf numFmtId="166" fontId="8" fillId="8" borderId="7" xfId="1" applyNumberFormat="1" applyFont="1" applyFill="1" applyBorder="1" applyAlignment="1">
      <alignment horizontal="center" vertical="center"/>
    </xf>
    <xf numFmtId="166" fontId="8" fillId="0" borderId="0" xfId="1" applyNumberFormat="1" applyFont="1" applyBorder="1" applyAlignment="1">
      <alignment horizontal="center"/>
    </xf>
    <xf numFmtId="166" fontId="8" fillId="0" borderId="0" xfId="1" applyNumberFormat="1" applyFont="1" applyAlignment="1">
      <alignment horizontal="center"/>
    </xf>
    <xf numFmtId="166" fontId="8" fillId="0" borderId="0" xfId="1" applyNumberFormat="1" applyFont="1" applyAlignment="1">
      <alignment horizontal="center" vertical="center"/>
    </xf>
    <xf numFmtId="166" fontId="8" fillId="8" borderId="7" xfId="1" applyNumberFormat="1" applyFont="1" applyFill="1" applyBorder="1" applyAlignment="1">
      <alignment horizontal="center" vertical="center" wrapText="1"/>
    </xf>
    <xf numFmtId="166" fontId="1" fillId="0" borderId="0" xfId="1" applyNumberFormat="1" applyFont="1" applyAlignment="1">
      <alignment horizontal="center" vertical="center"/>
    </xf>
    <xf numFmtId="166" fontId="9" fillId="8" borderId="7" xfId="1" applyNumberFormat="1" applyFont="1" applyFill="1" applyBorder="1" applyAlignment="1">
      <alignment horizontal="center" vertical="center"/>
    </xf>
    <xf numFmtId="164" fontId="8" fillId="29" borderId="14" xfId="0" applyNumberFormat="1" applyFont="1" applyFill="1" applyBorder="1" applyAlignment="1">
      <alignment horizontal="center" vertical="center"/>
    </xf>
    <xf numFmtId="1" fontId="38" fillId="54" borderId="7" xfId="0" applyNumberFormat="1" applyFont="1" applyFill="1" applyBorder="1" applyAlignment="1">
      <alignment horizontal="center" vertical="center"/>
    </xf>
    <xf numFmtId="164" fontId="8" fillId="29" borderId="7" xfId="2" applyNumberFormat="1" applyFont="1" applyFill="1" applyBorder="1" applyAlignment="1">
      <alignment horizontal="center" vertical="center"/>
    </xf>
    <xf numFmtId="41" fontId="9" fillId="8" borderId="7" xfId="0" applyNumberFormat="1" applyFont="1" applyFill="1" applyBorder="1" applyAlignment="1">
      <alignment horizontal="center" vertical="center"/>
    </xf>
    <xf numFmtId="166" fontId="0" fillId="0" borderId="0" xfId="0" applyNumberFormat="1"/>
    <xf numFmtId="14" fontId="0" fillId="29" borderId="7" xfId="0" applyNumberFormat="1" applyFont="1" applyFill="1" applyBorder="1" applyAlignment="1">
      <alignment horizontal="center" vertical="center" wrapText="1"/>
    </xf>
    <xf numFmtId="169" fontId="8" fillId="29" borderId="7" xfId="0" applyNumberFormat="1" applyFont="1" applyFill="1" applyBorder="1" applyAlignment="1">
      <alignment horizontal="center" vertical="center" wrapText="1"/>
    </xf>
    <xf numFmtId="0" fontId="5" fillId="29" borderId="7" xfId="0" applyFont="1" applyFill="1" applyBorder="1" applyAlignment="1">
      <alignment horizontal="center" vertical="center"/>
    </xf>
    <xf numFmtId="14" fontId="9" fillId="12" borderId="7" xfId="0" applyNumberFormat="1" applyFont="1" applyFill="1" applyBorder="1" applyAlignment="1">
      <alignment horizontal="center" vertical="center"/>
    </xf>
    <xf numFmtId="14" fontId="8" fillId="29" borderId="37" xfId="1" applyNumberFormat="1" applyFont="1" applyFill="1" applyBorder="1" applyAlignment="1">
      <alignment horizontal="center" vertical="center"/>
    </xf>
    <xf numFmtId="164" fontId="6" fillId="29" borderId="7" xfId="0" applyNumberFormat="1" applyFont="1" applyFill="1" applyBorder="1" applyAlignment="1">
      <alignment horizontal="center" vertical="center"/>
    </xf>
    <xf numFmtId="166" fontId="33" fillId="16" borderId="1" xfId="1" applyNumberFormat="1" applyFont="1" applyFill="1" applyBorder="1" applyAlignment="1">
      <alignment horizontal="center" vertical="center" wrapText="1"/>
    </xf>
    <xf numFmtId="166" fontId="0" fillId="17" borderId="1" xfId="1" applyNumberFormat="1" applyFont="1" applyFill="1" applyBorder="1" applyAlignment="1">
      <alignment horizontal="center" vertical="center"/>
    </xf>
    <xf numFmtId="166" fontId="0" fillId="17" borderId="7" xfId="1" applyNumberFormat="1" applyFont="1" applyFill="1" applyBorder="1" applyAlignment="1">
      <alignment horizontal="center" vertical="center"/>
    </xf>
    <xf numFmtId="166" fontId="0" fillId="0" borderId="0" xfId="1" applyNumberFormat="1" applyFont="1" applyBorder="1" applyAlignment="1">
      <alignment horizontal="center"/>
    </xf>
    <xf numFmtId="166" fontId="0" fillId="0" borderId="0" xfId="1" applyNumberFormat="1" applyFont="1" applyAlignment="1">
      <alignment horizontal="center"/>
    </xf>
    <xf numFmtId="166" fontId="0" fillId="0" borderId="0" xfId="1" applyNumberFormat="1" applyFont="1" applyAlignment="1">
      <alignment horizontal="center" vertical="center"/>
    </xf>
    <xf numFmtId="43" fontId="33" fillId="11" borderId="14" xfId="1" applyFont="1" applyFill="1" applyBorder="1" applyAlignment="1">
      <alignment horizontal="center" vertical="center" wrapText="1"/>
    </xf>
    <xf numFmtId="165" fontId="0" fillId="11" borderId="14" xfId="0" applyNumberFormat="1" applyFont="1" applyFill="1" applyBorder="1" applyAlignment="1">
      <alignment horizontal="center" vertical="center"/>
    </xf>
    <xf numFmtId="43" fontId="33" fillId="16" borderId="16" xfId="1" applyFont="1" applyFill="1" applyBorder="1" applyAlignment="1">
      <alignment horizontal="center" vertical="center" wrapText="1"/>
    </xf>
    <xf numFmtId="165" fontId="0" fillId="17" borderId="16" xfId="0" applyNumberFormat="1" applyFont="1" applyFill="1" applyBorder="1" applyAlignment="1">
      <alignment horizontal="center" vertical="center"/>
    </xf>
    <xf numFmtId="43" fontId="33" fillId="11" borderId="40" xfId="1" applyFont="1" applyFill="1" applyBorder="1" applyAlignment="1">
      <alignment horizontal="center" vertical="center" wrapText="1"/>
    </xf>
    <xf numFmtId="165" fontId="8" fillId="19" borderId="23" xfId="0" applyNumberFormat="1" applyFont="1" applyFill="1" applyBorder="1" applyAlignment="1">
      <alignment horizontal="center" vertical="center"/>
    </xf>
    <xf numFmtId="9" fontId="0" fillId="29" borderId="7" xfId="2" applyFont="1" applyFill="1" applyBorder="1" applyAlignment="1">
      <alignment horizontal="center" vertical="center"/>
    </xf>
    <xf numFmtId="165" fontId="8" fillId="19" borderId="7" xfId="0" applyNumberFormat="1" applyFont="1" applyFill="1" applyBorder="1" applyAlignment="1">
      <alignment horizontal="center" vertical="center"/>
    </xf>
    <xf numFmtId="0" fontId="6" fillId="59" borderId="11" xfId="0" applyFont="1" applyFill="1" applyBorder="1" applyAlignment="1">
      <alignment horizontal="center"/>
    </xf>
    <xf numFmtId="0" fontId="6" fillId="59" borderId="5" xfId="0" applyFont="1" applyFill="1" applyBorder="1" applyAlignment="1">
      <alignment horizontal="center"/>
    </xf>
    <xf numFmtId="0" fontId="0" fillId="59" borderId="5" xfId="0" applyFill="1" applyBorder="1" applyAlignment="1">
      <alignment horizontal="center"/>
    </xf>
    <xf numFmtId="0" fontId="0" fillId="59" borderId="11" xfId="0" applyFill="1" applyBorder="1" applyAlignment="1">
      <alignment horizontal="center"/>
    </xf>
    <xf numFmtId="164" fontId="0" fillId="31" borderId="7" xfId="0" applyNumberFormat="1" applyFont="1" applyFill="1" applyBorder="1" applyAlignment="1">
      <alignment horizontal="center" vertical="center"/>
    </xf>
    <xf numFmtId="0" fontId="8" fillId="31" borderId="7" xfId="0" applyFont="1" applyFill="1" applyBorder="1" applyAlignment="1">
      <alignment horizontal="center" vertical="center"/>
    </xf>
    <xf numFmtId="164" fontId="0" fillId="29" borderId="7" xfId="2" applyNumberFormat="1" applyFont="1" applyFill="1" applyBorder="1" applyAlignment="1">
      <alignment horizontal="center" vertical="center"/>
    </xf>
    <xf numFmtId="0" fontId="41" fillId="21" borderId="7" xfId="0" applyFont="1" applyFill="1" applyBorder="1" applyAlignment="1">
      <alignment horizontal="center" vertical="center" wrapText="1"/>
    </xf>
    <xf numFmtId="0" fontId="41" fillId="21" borderId="7" xfId="0" applyFont="1" applyFill="1" applyBorder="1" applyAlignment="1">
      <alignment horizontal="center" vertical="center"/>
    </xf>
    <xf numFmtId="14" fontId="0" fillId="12" borderId="7" xfId="0" applyNumberFormat="1" applyFont="1" applyFill="1" applyBorder="1" applyAlignment="1">
      <alignment horizontal="center" vertical="center"/>
    </xf>
    <xf numFmtId="17" fontId="0" fillId="36" borderId="7" xfId="0" applyNumberFormat="1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/>
    </xf>
    <xf numFmtId="164" fontId="8" fillId="8" borderId="7" xfId="0" applyNumberFormat="1" applyFont="1" applyFill="1" applyBorder="1" applyAlignment="1">
      <alignment horizontal="center" vertical="center" wrapText="1"/>
    </xf>
    <xf numFmtId="1" fontId="0" fillId="14" borderId="7" xfId="0" applyNumberFormat="1" applyFont="1" applyFill="1" applyBorder="1" applyAlignment="1">
      <alignment horizontal="center" vertical="center"/>
    </xf>
    <xf numFmtId="0" fontId="5" fillId="14" borderId="0" xfId="0" applyFont="1" applyFill="1" applyAlignment="1">
      <alignment horizontal="center" vertical="center" wrapText="1"/>
    </xf>
    <xf numFmtId="0" fontId="5" fillId="31" borderId="7" xfId="0" applyFont="1" applyFill="1" applyBorder="1" applyAlignment="1">
      <alignment horizontal="center" vertical="center"/>
    </xf>
    <xf numFmtId="0" fontId="42" fillId="46" borderId="0" xfId="10" applyFont="1" applyFill="1" applyAlignment="1">
      <alignment horizontal="center" vertical="center" wrapText="1"/>
    </xf>
    <xf numFmtId="164" fontId="43" fillId="46" borderId="0" xfId="10" applyNumberFormat="1" applyFont="1" applyFill="1" applyAlignment="1">
      <alignment horizontal="center" vertical="center" wrapText="1"/>
    </xf>
    <xf numFmtId="164" fontId="42" fillId="46" borderId="0" xfId="10" applyNumberFormat="1" applyFont="1" applyFill="1" applyAlignment="1">
      <alignment horizontal="center" vertical="center" wrapText="1"/>
    </xf>
    <xf numFmtId="0" fontId="42" fillId="53" borderId="0" xfId="10" applyFont="1" applyFill="1" applyAlignment="1">
      <alignment horizontal="center" vertical="center" wrapText="1"/>
    </xf>
    <xf numFmtId="0" fontId="43" fillId="46" borderId="0" xfId="10" applyFont="1" applyFill="1" applyAlignment="1">
      <alignment horizontal="center" vertical="center" wrapText="1"/>
    </xf>
    <xf numFmtId="164" fontId="43" fillId="11" borderId="0" xfId="10" applyNumberFormat="1" applyFont="1" applyFill="1" applyAlignment="1">
      <alignment horizontal="center" vertical="center" wrapText="1"/>
    </xf>
    <xf numFmtId="164" fontId="42" fillId="11" borderId="0" xfId="10" applyNumberFormat="1" applyFont="1" applyFill="1" applyAlignment="1">
      <alignment horizontal="center" vertical="center" wrapText="1"/>
    </xf>
    <xf numFmtId="0" fontId="42" fillId="11" borderId="0" xfId="10" applyFont="1" applyFill="1" applyAlignment="1">
      <alignment horizontal="center" vertical="center" wrapText="1"/>
    </xf>
    <xf numFmtId="164" fontId="0" fillId="8" borderId="7" xfId="2" applyNumberFormat="1" applyFont="1" applyFill="1" applyBorder="1" applyAlignment="1">
      <alignment horizontal="center" vertical="center" wrapText="1"/>
    </xf>
    <xf numFmtId="3" fontId="8" fillId="40" borderId="7" xfId="7" applyNumberFormat="1" applyFont="1" applyFill="1" applyBorder="1" applyAlignment="1">
      <alignment horizontal="center" vertical="center" wrapText="1"/>
    </xf>
    <xf numFmtId="0" fontId="33" fillId="49" borderId="7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/>
    </xf>
    <xf numFmtId="43" fontId="0" fillId="0" borderId="2" xfId="1" applyFont="1" applyBorder="1" applyAlignment="1">
      <alignment horizontal="center" vertical="center"/>
    </xf>
    <xf numFmtId="165" fontId="0" fillId="29" borderId="7" xfId="0" applyNumberFormat="1" applyFont="1" applyFill="1" applyBorder="1" applyAlignment="1">
      <alignment horizontal="center" vertical="center"/>
    </xf>
    <xf numFmtId="165" fontId="8" fillId="29" borderId="7" xfId="0" applyNumberFormat="1" applyFont="1" applyFill="1" applyBorder="1" applyAlignment="1">
      <alignment horizontal="center" vertical="center"/>
    </xf>
    <xf numFmtId="165" fontId="8" fillId="30" borderId="7" xfId="0" applyNumberFormat="1" applyFont="1" applyFill="1" applyBorder="1" applyAlignment="1">
      <alignment horizontal="center" vertical="center" wrapText="1"/>
    </xf>
    <xf numFmtId="165" fontId="0" fillId="30" borderId="7" xfId="0" applyNumberFormat="1" applyFont="1" applyFill="1" applyBorder="1" applyAlignment="1">
      <alignment horizontal="center" vertical="center"/>
    </xf>
    <xf numFmtId="165" fontId="8" fillId="29" borderId="7" xfId="1" applyNumberFormat="1" applyFont="1" applyFill="1" applyBorder="1" applyAlignment="1">
      <alignment horizontal="center" vertical="center"/>
    </xf>
    <xf numFmtId="165" fontId="9" fillId="8" borderId="7" xfId="0" applyNumberFormat="1" applyFont="1" applyFill="1" applyBorder="1" applyAlignment="1">
      <alignment horizontal="center" vertical="center"/>
    </xf>
    <xf numFmtId="0" fontId="0" fillId="0" borderId="3" xfId="0" applyBorder="1"/>
    <xf numFmtId="1" fontId="45" fillId="54" borderId="7" xfId="0" applyNumberFormat="1" applyFont="1" applyFill="1" applyBorder="1" applyAlignment="1">
      <alignment horizontal="center" vertical="center"/>
    </xf>
    <xf numFmtId="164" fontId="9" fillId="8" borderId="23" xfId="0" applyNumberFormat="1" applyFont="1" applyFill="1" applyBorder="1" applyAlignment="1">
      <alignment horizontal="center" vertical="center"/>
    </xf>
    <xf numFmtId="1" fontId="9" fillId="8" borderId="7" xfId="0" applyNumberFormat="1" applyFont="1" applyFill="1" applyBorder="1" applyAlignment="1">
      <alignment horizontal="center" vertical="center"/>
    </xf>
    <xf numFmtId="1" fontId="9" fillId="8" borderId="7" xfId="2" applyNumberFormat="1" applyFont="1" applyFill="1" applyBorder="1" applyAlignment="1">
      <alignment horizontal="center" vertical="center"/>
    </xf>
    <xf numFmtId="166" fontId="6" fillId="0" borderId="0" xfId="1" applyNumberFormat="1" applyFont="1"/>
    <xf numFmtId="166" fontId="1" fillId="0" borderId="0" xfId="1" applyNumberFormat="1" applyFont="1"/>
    <xf numFmtId="14" fontId="9" fillId="15" borderId="7" xfId="7" applyNumberFormat="1" applyFont="1" applyFill="1" applyBorder="1" applyAlignment="1">
      <alignment horizontal="center" vertical="center"/>
    </xf>
    <xf numFmtId="164" fontId="46" fillId="46" borderId="0" xfId="10" applyNumberFormat="1" applyFont="1" applyFill="1" applyAlignment="1">
      <alignment horizontal="center" vertical="center" wrapText="1"/>
    </xf>
    <xf numFmtId="165" fontId="0" fillId="55" borderId="7" xfId="0" applyNumberFormat="1" applyFont="1" applyFill="1" applyBorder="1" applyAlignment="1">
      <alignment horizontal="center" vertical="center"/>
    </xf>
    <xf numFmtId="0" fontId="41" fillId="0" borderId="10" xfId="0" applyFont="1" applyBorder="1" applyAlignment="1">
      <alignment vertical="center"/>
    </xf>
    <xf numFmtId="0" fontId="48" fillId="36" borderId="2" xfId="0" applyFont="1" applyFill="1" applyBorder="1" applyAlignment="1">
      <alignment horizontal="center" vertical="center" wrapText="1"/>
    </xf>
    <xf numFmtId="0" fontId="41" fillId="0" borderId="0" xfId="0" applyFont="1" applyBorder="1" applyAlignment="1">
      <alignment vertical="center"/>
    </xf>
    <xf numFmtId="0" fontId="41" fillId="0" borderId="0" xfId="0" applyFont="1" applyAlignment="1">
      <alignment vertical="center"/>
    </xf>
    <xf numFmtId="3" fontId="8" fillId="29" borderId="16" xfId="1" applyNumberFormat="1" applyFont="1" applyFill="1" applyBorder="1" applyAlignment="1">
      <alignment horizontal="center" vertical="center"/>
    </xf>
    <xf numFmtId="3" fontId="8" fillId="29" borderId="16" xfId="0" applyNumberFormat="1" applyFont="1" applyFill="1" applyBorder="1" applyAlignment="1">
      <alignment horizontal="center" vertical="center"/>
    </xf>
    <xf numFmtId="3" fontId="9" fillId="8" borderId="16" xfId="1" applyNumberFormat="1" applyFont="1" applyFill="1" applyBorder="1" applyAlignment="1">
      <alignment horizontal="center" vertical="center"/>
    </xf>
    <xf numFmtId="3" fontId="0" fillId="29" borderId="16" xfId="0" applyNumberFormat="1" applyFont="1" applyFill="1" applyBorder="1" applyAlignment="1">
      <alignment horizontal="center" vertical="center"/>
    </xf>
    <xf numFmtId="164" fontId="8" fillId="29" borderId="15" xfId="0" applyNumberFormat="1" applyFont="1" applyFill="1" applyBorder="1" applyAlignment="1">
      <alignment horizontal="center" vertical="center"/>
    </xf>
    <xf numFmtId="3" fontId="8" fillId="30" borderId="16" xfId="1" applyNumberFormat="1" applyFont="1" applyFill="1" applyBorder="1" applyAlignment="1">
      <alignment horizontal="center" vertical="center"/>
    </xf>
    <xf numFmtId="3" fontId="19" fillId="8" borderId="16" xfId="0" applyNumberFormat="1" applyFont="1" applyFill="1" applyBorder="1" applyAlignment="1">
      <alignment horizontal="center" vertical="center"/>
    </xf>
    <xf numFmtId="3" fontId="8" fillId="8" borderId="16" xfId="0" applyNumberFormat="1" applyFont="1" applyFill="1" applyBorder="1" applyAlignment="1">
      <alignment horizontal="center" vertical="center"/>
    </xf>
    <xf numFmtId="3" fontId="0" fillId="29" borderId="41" xfId="1" applyNumberFormat="1" applyFont="1" applyFill="1" applyBorder="1" applyAlignment="1">
      <alignment horizontal="center" vertical="center"/>
    </xf>
    <xf numFmtId="3" fontId="8" fillId="29" borderId="41" xfId="1" applyNumberFormat="1" applyFont="1" applyFill="1" applyBorder="1" applyAlignment="1">
      <alignment horizontal="center" vertical="center" wrapText="1"/>
    </xf>
    <xf numFmtId="3" fontId="8" fillId="29" borderId="41" xfId="1" applyNumberFormat="1" applyFont="1" applyFill="1" applyBorder="1" applyAlignment="1">
      <alignment horizontal="center" vertical="center"/>
    </xf>
    <xf numFmtId="3" fontId="8" fillId="29" borderId="41" xfId="0" applyNumberFormat="1" applyFont="1" applyFill="1" applyBorder="1" applyAlignment="1">
      <alignment horizontal="center" vertical="center"/>
    </xf>
    <xf numFmtId="3" fontId="0" fillId="29" borderId="41" xfId="0" applyNumberFormat="1" applyFont="1" applyFill="1" applyBorder="1" applyAlignment="1">
      <alignment horizontal="center" vertical="center"/>
    </xf>
    <xf numFmtId="1" fontId="8" fillId="29" borderId="41" xfId="1" applyNumberFormat="1" applyFont="1" applyFill="1" applyBorder="1" applyAlignment="1">
      <alignment horizontal="center" vertical="center"/>
    </xf>
    <xf numFmtId="1" fontId="0" fillId="29" borderId="41" xfId="0" applyNumberFormat="1" applyFont="1" applyFill="1" applyBorder="1" applyAlignment="1">
      <alignment horizontal="center" vertical="center"/>
    </xf>
    <xf numFmtId="165" fontId="8" fillId="14" borderId="23" xfId="0" applyNumberFormat="1" applyFont="1" applyFill="1" applyBorder="1" applyAlignment="1">
      <alignment horizontal="center" vertical="center"/>
    </xf>
    <xf numFmtId="3" fontId="0" fillId="29" borderId="13" xfId="0" applyNumberFormat="1" applyFill="1" applyBorder="1" applyAlignment="1">
      <alignment horizontal="center"/>
    </xf>
    <xf numFmtId="3" fontId="33" fillId="31" borderId="41" xfId="1" applyNumberFormat="1" applyFont="1" applyFill="1" applyBorder="1" applyAlignment="1">
      <alignment horizontal="center" vertical="center" wrapText="1"/>
    </xf>
    <xf numFmtId="189" fontId="8" fillId="25" borderId="41" xfId="1" applyNumberFormat="1" applyFont="1" applyFill="1" applyBorder="1" applyAlignment="1">
      <alignment horizontal="center" vertical="center"/>
    </xf>
    <xf numFmtId="3" fontId="9" fillId="25" borderId="41" xfId="0" applyNumberFormat="1" applyFont="1" applyFill="1" applyBorder="1" applyAlignment="1">
      <alignment horizontal="center" vertical="center"/>
    </xf>
    <xf numFmtId="175" fontId="8" fillId="25" borderId="41" xfId="1" applyNumberFormat="1" applyFont="1" applyFill="1" applyBorder="1" applyAlignment="1">
      <alignment horizontal="center" vertical="center"/>
    </xf>
    <xf numFmtId="1" fontId="19" fillId="25" borderId="41" xfId="1" applyNumberFormat="1" applyFont="1" applyFill="1" applyBorder="1" applyAlignment="1">
      <alignment horizontal="center" vertical="center"/>
    </xf>
    <xf numFmtId="0" fontId="33" fillId="31" borderId="41" xfId="1" applyNumberFormat="1" applyFont="1" applyFill="1" applyBorder="1" applyAlignment="1">
      <alignment horizontal="center" vertical="center" wrapText="1"/>
    </xf>
    <xf numFmtId="164" fontId="9" fillId="12" borderId="37" xfId="1" applyNumberFormat="1" applyFont="1" applyFill="1" applyBorder="1" applyAlignment="1">
      <alignment horizontal="center" vertical="center"/>
    </xf>
    <xf numFmtId="164" fontId="9" fillId="12" borderId="23" xfId="1" applyNumberFormat="1" applyFont="1" applyFill="1" applyBorder="1" applyAlignment="1">
      <alignment horizontal="center" vertical="center"/>
    </xf>
    <xf numFmtId="164" fontId="9" fillId="12" borderId="37" xfId="0" applyNumberFormat="1" applyFont="1" applyFill="1" applyBorder="1" applyAlignment="1">
      <alignment horizontal="center" vertical="center"/>
    </xf>
    <xf numFmtId="164" fontId="8" fillId="29" borderId="37" xfId="1" applyNumberFormat="1" applyFont="1" applyFill="1" applyBorder="1" applyAlignment="1">
      <alignment horizontal="center" vertical="center" wrapText="1"/>
    </xf>
    <xf numFmtId="168" fontId="8" fillId="29" borderId="7" xfId="0" applyNumberFormat="1" applyFont="1" applyFill="1" applyBorder="1" applyAlignment="1">
      <alignment horizontal="center" vertical="center"/>
    </xf>
    <xf numFmtId="43" fontId="0" fillId="0" borderId="0" xfId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3" fontId="6" fillId="0" borderId="11" xfId="0" applyNumberFormat="1" applyFont="1" applyBorder="1" applyAlignment="1">
      <alignment horizontal="center"/>
    </xf>
    <xf numFmtId="3" fontId="6" fillId="29" borderId="11" xfId="0" applyNumberFormat="1" applyFont="1" applyFill="1" applyBorder="1" applyAlignment="1">
      <alignment horizontal="center"/>
    </xf>
    <xf numFmtId="3" fontId="6" fillId="0" borderId="11" xfId="0" applyNumberFormat="1" applyFont="1" applyBorder="1" applyAlignment="1">
      <alignment horizontal="center" vertical="center"/>
    </xf>
    <xf numFmtId="4" fontId="6" fillId="0" borderId="11" xfId="0" applyNumberFormat="1" applyFont="1" applyBorder="1" applyAlignment="1">
      <alignment horizontal="center" vertical="center"/>
    </xf>
    <xf numFmtId="3" fontId="0" fillId="55" borderId="15" xfId="0" applyNumberFormat="1" applyFont="1" applyFill="1" applyBorder="1" applyAlignment="1">
      <alignment horizontal="center" vertical="center"/>
    </xf>
    <xf numFmtId="10" fontId="0" fillId="55" borderId="7" xfId="2" applyNumberFormat="1" applyFont="1" applyFill="1" applyBorder="1" applyAlignment="1">
      <alignment horizontal="center" vertical="center"/>
    </xf>
    <xf numFmtId="10" fontId="0" fillId="29" borderId="7" xfId="2" applyNumberFormat="1" applyFont="1" applyFill="1" applyBorder="1" applyAlignment="1">
      <alignment horizontal="center" vertical="center"/>
    </xf>
    <xf numFmtId="14" fontId="38" fillId="29" borderId="7" xfId="10" applyNumberFormat="1" applyFont="1" applyFill="1" applyBorder="1" applyAlignment="1">
      <alignment horizontal="center" vertical="center" wrapText="1"/>
    </xf>
    <xf numFmtId="164" fontId="49" fillId="11" borderId="42" xfId="10" applyNumberFormat="1" applyFont="1" applyFill="1" applyBorder="1" applyAlignment="1">
      <alignment horizontal="center" vertical="center" wrapText="1"/>
    </xf>
    <xf numFmtId="3" fontId="50" fillId="21" borderId="7" xfId="10" applyNumberFormat="1" applyFont="1" applyFill="1" applyBorder="1" applyAlignment="1">
      <alignment horizontal="center" vertical="center" wrapText="1"/>
    </xf>
    <xf numFmtId="164" fontId="34" fillId="11" borderId="43" xfId="10" applyNumberFormat="1" applyFont="1" applyFill="1" applyBorder="1" applyAlignment="1">
      <alignment horizontal="center" vertical="center" wrapText="1"/>
    </xf>
    <xf numFmtId="164" fontId="51" fillId="11" borderId="42" xfId="10" applyNumberFormat="1" applyFont="1" applyFill="1" applyBorder="1" applyAlignment="1">
      <alignment horizontal="center" vertical="center" wrapText="1"/>
    </xf>
    <xf numFmtId="0" fontId="0" fillId="29" borderId="1" xfId="0" applyFont="1" applyFill="1" applyBorder="1" applyAlignment="1">
      <alignment horizontal="center" vertical="center"/>
    </xf>
    <xf numFmtId="0" fontId="6" fillId="27" borderId="7" xfId="0" applyFont="1" applyFill="1" applyBorder="1" applyAlignment="1">
      <alignment horizontal="center" vertical="center"/>
    </xf>
    <xf numFmtId="0" fontId="33" fillId="60" borderId="1" xfId="0" applyFont="1" applyFill="1" applyBorder="1" applyAlignment="1">
      <alignment horizontal="center" vertical="center" wrapText="1"/>
    </xf>
    <xf numFmtId="1" fontId="0" fillId="60" borderId="1" xfId="0" applyNumberFormat="1" applyFont="1" applyFill="1" applyBorder="1" applyAlignment="1">
      <alignment horizontal="center" vertical="center"/>
    </xf>
    <xf numFmtId="1" fontId="0" fillId="60" borderId="7" xfId="0" applyNumberFormat="1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 wrapText="1"/>
    </xf>
    <xf numFmtId="0" fontId="0" fillId="8" borderId="16" xfId="0" applyFont="1" applyFill="1" applyBorder="1" applyAlignment="1">
      <alignment horizontal="center" vertical="center"/>
    </xf>
    <xf numFmtId="164" fontId="8" fillId="29" borderId="14" xfId="1" applyNumberFormat="1" applyFont="1" applyFill="1" applyBorder="1" applyAlignment="1">
      <alignment horizontal="center" vertical="center"/>
    </xf>
    <xf numFmtId="189" fontId="8" fillId="29" borderId="41" xfId="1" applyNumberFormat="1" applyFont="1" applyFill="1" applyBorder="1" applyAlignment="1">
      <alignment horizontal="center" vertical="center"/>
    </xf>
    <xf numFmtId="164" fontId="9" fillId="12" borderId="14" xfId="0" applyNumberFormat="1" applyFont="1" applyFill="1" applyBorder="1" applyAlignment="1">
      <alignment horizontal="center" vertical="center"/>
    </xf>
    <xf numFmtId="43" fontId="0" fillId="0" borderId="0" xfId="0" applyNumberFormat="1"/>
    <xf numFmtId="3" fontId="33" fillId="11" borderId="7" xfId="1" applyNumberFormat="1" applyFont="1" applyFill="1" applyBorder="1" applyAlignment="1">
      <alignment horizontal="center" vertical="center" wrapText="1"/>
    </xf>
    <xf numFmtId="3" fontId="8" fillId="11" borderId="7" xfId="1" applyNumberFormat="1" applyFont="1" applyFill="1" applyBorder="1" applyAlignment="1">
      <alignment horizontal="center" vertical="center" wrapText="1"/>
    </xf>
    <xf numFmtId="175" fontId="8" fillId="29" borderId="41" xfId="1" applyNumberFormat="1" applyFont="1" applyFill="1" applyBorder="1" applyAlignment="1">
      <alignment horizontal="center" vertical="center"/>
    </xf>
    <xf numFmtId="14" fontId="8" fillId="29" borderId="7" xfId="0" applyNumberFormat="1" applyFont="1" applyFill="1" applyBorder="1" applyAlignment="1">
      <alignment horizontal="center" vertical="center" wrapText="1"/>
    </xf>
    <xf numFmtId="43" fontId="0" fillId="0" borderId="0" xfId="1" applyFont="1" applyBorder="1" applyAlignment="1">
      <alignment horizontal="center" vertical="center"/>
    </xf>
    <xf numFmtId="3" fontId="8" fillId="8" borderId="7" xfId="0" applyNumberFormat="1" applyFont="1" applyFill="1" applyBorder="1" applyAlignment="1">
      <alignment horizontal="center" vertical="center" wrapText="1"/>
    </xf>
    <xf numFmtId="3" fontId="0" fillId="8" borderId="7" xfId="1" applyNumberFormat="1" applyFont="1" applyFill="1" applyBorder="1" applyAlignment="1">
      <alignment horizontal="center" vertical="center"/>
    </xf>
    <xf numFmtId="166" fontId="0" fillId="8" borderId="7" xfId="1" applyNumberFormat="1" applyFont="1" applyFill="1" applyBorder="1" applyAlignment="1">
      <alignment horizontal="center" vertical="center"/>
    </xf>
    <xf numFmtId="43" fontId="33" fillId="8" borderId="7" xfId="1" applyFont="1" applyFill="1" applyBorder="1" applyAlignment="1">
      <alignment horizontal="center" vertical="center" wrapText="1"/>
    </xf>
    <xf numFmtId="43" fontId="0" fillId="8" borderId="7" xfId="1" applyFont="1" applyFill="1" applyBorder="1" applyAlignment="1">
      <alignment horizontal="center" vertical="center"/>
    </xf>
    <xf numFmtId="43" fontId="0" fillId="0" borderId="7" xfId="1" applyFont="1" applyBorder="1" applyAlignment="1">
      <alignment horizontal="center" vertical="center"/>
    </xf>
    <xf numFmtId="43" fontId="5" fillId="8" borderId="0" xfId="1" applyFont="1" applyFill="1" applyBorder="1" applyAlignment="1">
      <alignment horizontal="center"/>
    </xf>
    <xf numFmtId="3" fontId="8" fillId="29" borderId="7" xfId="1" applyNumberFormat="1" applyFont="1" applyFill="1" applyBorder="1" applyAlignment="1">
      <alignment horizontal="center" vertical="center"/>
    </xf>
    <xf numFmtId="164" fontId="8" fillId="30" borderId="37" xfId="0" applyNumberFormat="1" applyFont="1" applyFill="1" applyBorder="1" applyAlignment="1">
      <alignment horizontal="center" vertical="center"/>
    </xf>
    <xf numFmtId="0" fontId="8" fillId="60" borderId="7" xfId="7" applyFont="1" applyFill="1" applyBorder="1" applyAlignment="1">
      <alignment horizontal="center" vertical="center" wrapText="1"/>
    </xf>
    <xf numFmtId="0" fontId="8" fillId="60" borderId="1" xfId="7" applyFont="1" applyFill="1" applyBorder="1" applyAlignment="1">
      <alignment horizontal="center" vertical="center" wrapText="1"/>
    </xf>
    <xf numFmtId="0" fontId="8" fillId="60" borderId="7" xfId="6" applyFont="1" applyFill="1" applyBorder="1" applyAlignment="1">
      <alignment horizontal="center" vertical="center" wrapText="1"/>
    </xf>
    <xf numFmtId="164" fontId="8" fillId="60" borderId="7" xfId="6" applyNumberFormat="1" applyFont="1" applyFill="1" applyBorder="1" applyAlignment="1">
      <alignment horizontal="center" vertical="center"/>
    </xf>
    <xf numFmtId="0" fontId="5" fillId="60" borderId="7" xfId="7" applyFont="1" applyFill="1" applyBorder="1" applyAlignment="1">
      <alignment horizontal="center" vertical="center" wrapText="1"/>
    </xf>
    <xf numFmtId="0" fontId="5" fillId="60" borderId="7" xfId="6" applyFont="1" applyFill="1" applyBorder="1" applyAlignment="1">
      <alignment horizontal="center" vertical="center" wrapText="1"/>
    </xf>
    <xf numFmtId="14" fontId="8" fillId="60" borderId="7" xfId="7" applyNumberFormat="1" applyFont="1" applyFill="1" applyBorder="1" applyAlignment="1">
      <alignment horizontal="center" vertical="center"/>
    </xf>
    <xf numFmtId="164" fontId="8" fillId="60" borderId="7" xfId="7" applyNumberFormat="1" applyFont="1" applyFill="1" applyBorder="1" applyAlignment="1">
      <alignment horizontal="center" vertical="center"/>
    </xf>
    <xf numFmtId="164" fontId="8" fillId="60" borderId="7" xfId="6" applyNumberFormat="1" applyFont="1" applyFill="1" applyBorder="1" applyAlignment="1">
      <alignment horizontal="center" vertical="center" wrapText="1"/>
    </xf>
    <xf numFmtId="14" fontId="8" fillId="60" borderId="1" xfId="7" applyNumberFormat="1" applyFont="1" applyFill="1" applyBorder="1" applyAlignment="1">
      <alignment horizontal="center" vertical="center"/>
    </xf>
    <xf numFmtId="14" fontId="8" fillId="60" borderId="7" xfId="7" applyNumberFormat="1" applyFont="1" applyFill="1" applyBorder="1" applyAlignment="1">
      <alignment horizontal="center" vertical="center" wrapText="1"/>
    </xf>
    <xf numFmtId="164" fontId="8" fillId="60" borderId="7" xfId="7" applyNumberFormat="1" applyFont="1" applyFill="1" applyBorder="1" applyAlignment="1">
      <alignment horizontal="center" vertical="center" wrapText="1"/>
    </xf>
    <xf numFmtId="0" fontId="8" fillId="60" borderId="7" xfId="7" applyFont="1" applyFill="1" applyBorder="1" applyAlignment="1">
      <alignment horizontal="center" vertical="center"/>
    </xf>
    <xf numFmtId="164" fontId="8" fillId="30" borderId="37" xfId="1" applyNumberFormat="1" applyFont="1" applyFill="1" applyBorder="1" applyAlignment="1">
      <alignment horizontal="center" vertical="center" wrapText="1"/>
    </xf>
    <xf numFmtId="0" fontId="6" fillId="46" borderId="7" xfId="0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/>
    </xf>
    <xf numFmtId="0" fontId="5" fillId="8" borderId="0" xfId="0" applyFont="1" applyFill="1" applyAlignment="1">
      <alignment horizontal="center"/>
    </xf>
    <xf numFmtId="0" fontId="6" fillId="8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43" fontId="6" fillId="8" borderId="0" xfId="1" applyFont="1" applyFill="1" applyAlignment="1">
      <alignment horizontal="center" vertical="center"/>
    </xf>
    <xf numFmtId="43" fontId="5" fillId="0" borderId="0" xfId="1" applyFont="1" applyAlignment="1">
      <alignment horizontal="right" vertical="center"/>
    </xf>
    <xf numFmtId="43" fontId="6" fillId="0" borderId="0" xfId="1" applyFont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43" fontId="8" fillId="0" borderId="0" xfId="1" applyFont="1" applyAlignment="1">
      <alignment horizontal="center"/>
    </xf>
    <xf numFmtId="43" fontId="8" fillId="0" borderId="0" xfId="1" applyFont="1" applyAlignment="1">
      <alignment horizontal="center" vertical="center"/>
    </xf>
    <xf numFmtId="43" fontId="0" fillId="0" borderId="0" xfId="1" applyFont="1" applyAlignment="1">
      <alignment horizontal="center"/>
    </xf>
    <xf numFmtId="43" fontId="6" fillId="0" borderId="0" xfId="1" applyFont="1" applyAlignment="1">
      <alignment horizontal="center"/>
    </xf>
    <xf numFmtId="43" fontId="5" fillId="8" borderId="0" xfId="1" applyFont="1" applyFill="1" applyAlignment="1">
      <alignment horizontal="center" vertical="center" wrapText="1"/>
    </xf>
    <xf numFmtId="166" fontId="0" fillId="14" borderId="1" xfId="1" applyNumberFormat="1" applyFont="1" applyFill="1" applyBorder="1" applyAlignment="1">
      <alignment horizontal="center" vertical="center"/>
    </xf>
    <xf numFmtId="165" fontId="0" fillId="14" borderId="23" xfId="0" applyNumberFormat="1" applyFont="1" applyFill="1" applyBorder="1" applyAlignment="1">
      <alignment horizontal="center" vertical="center"/>
    </xf>
    <xf numFmtId="166" fontId="0" fillId="0" borderId="2" xfId="1" applyNumberFormat="1" applyFont="1" applyBorder="1" applyAlignment="1">
      <alignment horizontal="center" vertical="center"/>
    </xf>
    <xf numFmtId="1" fontId="0" fillId="8" borderId="7" xfId="2" applyNumberFormat="1" applyFont="1" applyFill="1" applyBorder="1" applyAlignment="1">
      <alignment horizontal="center" vertical="center"/>
    </xf>
    <xf numFmtId="0" fontId="8" fillId="24" borderId="7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left" vertical="center"/>
    </xf>
    <xf numFmtId="2" fontId="0" fillId="9" borderId="7" xfId="2" applyNumberFormat="1" applyFont="1" applyFill="1" applyBorder="1" applyAlignment="1">
      <alignment horizontal="center" vertical="center"/>
    </xf>
    <xf numFmtId="2" fontId="0" fillId="9" borderId="7" xfId="2" applyNumberFormat="1" applyFont="1" applyFill="1" applyBorder="1" applyAlignment="1">
      <alignment horizontal="center" vertical="center" wrapText="1"/>
    </xf>
    <xf numFmtId="2" fontId="8" fillId="9" borderId="7" xfId="2" applyNumberFormat="1" applyFont="1" applyFill="1" applyBorder="1" applyAlignment="1">
      <alignment horizontal="center" vertical="center" wrapText="1"/>
    </xf>
    <xf numFmtId="2" fontId="8" fillId="9" borderId="7" xfId="2" applyNumberFormat="1" applyFont="1" applyFill="1" applyBorder="1" applyAlignment="1">
      <alignment horizontal="center" vertical="center"/>
    </xf>
    <xf numFmtId="164" fontId="9" fillId="12" borderId="7" xfId="1" applyNumberFormat="1" applyFont="1" applyFill="1" applyBorder="1" applyAlignment="1">
      <alignment horizontal="center" vertical="center"/>
    </xf>
    <xf numFmtId="164" fontId="8" fillId="29" borderId="7" xfId="7" applyNumberFormat="1" applyFont="1" applyFill="1" applyBorder="1" applyAlignment="1">
      <alignment horizontal="center" vertical="center"/>
    </xf>
    <xf numFmtId="164" fontId="8" fillId="29" borderId="7" xfId="6" applyNumberFormat="1" applyFont="1" applyFill="1" applyBorder="1" applyAlignment="1">
      <alignment horizontal="center" vertical="center"/>
    </xf>
    <xf numFmtId="1" fontId="8" fillId="30" borderId="16" xfId="0" applyNumberFormat="1" applyFont="1" applyFill="1" applyBorder="1" applyAlignment="1">
      <alignment horizontal="center" vertical="center"/>
    </xf>
    <xf numFmtId="43" fontId="8" fillId="8" borderId="7" xfId="3" applyNumberFormat="1" applyFont="1" applyFill="1" applyBorder="1" applyAlignment="1">
      <alignment horizontal="center" vertical="center" wrapText="1"/>
    </xf>
    <xf numFmtId="0" fontId="8" fillId="8" borderId="7" xfId="3" applyFont="1" applyFill="1" applyBorder="1" applyAlignment="1">
      <alignment horizontal="center" vertical="center"/>
    </xf>
    <xf numFmtId="43" fontId="5" fillId="8" borderId="7" xfId="3" applyNumberFormat="1" applyFont="1" applyFill="1" applyBorder="1" applyAlignment="1">
      <alignment horizontal="center" vertical="center" wrapText="1"/>
    </xf>
    <xf numFmtId="0" fontId="33" fillId="33" borderId="36" xfId="1" applyNumberFormat="1" applyFont="1" applyFill="1" applyBorder="1" applyAlignment="1">
      <alignment horizontal="center" vertical="center" wrapText="1"/>
    </xf>
    <xf numFmtId="164" fontId="34" fillId="11" borderId="44" xfId="10" applyNumberFormat="1" applyFont="1" applyFill="1" applyBorder="1" applyAlignment="1">
      <alignment horizontal="center" vertical="center" wrapText="1"/>
    </xf>
    <xf numFmtId="164" fontId="8" fillId="29" borderId="45" xfId="1" applyNumberFormat="1" applyFont="1" applyFill="1" applyBorder="1" applyAlignment="1">
      <alignment horizontal="center" vertical="center"/>
    </xf>
    <xf numFmtId="164" fontId="9" fillId="12" borderId="45" xfId="1" applyNumberFormat="1" applyFont="1" applyFill="1" applyBorder="1" applyAlignment="1">
      <alignment horizontal="center" vertical="center"/>
    </xf>
    <xf numFmtId="164" fontId="9" fillId="12" borderId="46" xfId="1" applyNumberFormat="1" applyFont="1" applyFill="1" applyBorder="1" applyAlignment="1">
      <alignment horizontal="center" vertical="center"/>
    </xf>
    <xf numFmtId="164" fontId="9" fillId="12" borderId="16" xfId="1" applyNumberFormat="1" applyFont="1" applyFill="1" applyBorder="1" applyAlignment="1">
      <alignment horizontal="center" vertical="center"/>
    </xf>
    <xf numFmtId="164" fontId="9" fillId="29" borderId="23" xfId="1" applyNumberFormat="1" applyFont="1" applyFill="1" applyBorder="1" applyAlignment="1">
      <alignment horizontal="center" vertical="center"/>
    </xf>
    <xf numFmtId="14" fontId="0" fillId="29" borderId="7" xfId="2" applyNumberFormat="1" applyFont="1" applyFill="1" applyBorder="1" applyAlignment="1">
      <alignment horizontal="center" vertical="center"/>
    </xf>
    <xf numFmtId="43" fontId="8" fillId="8" borderId="7" xfId="1" applyFont="1" applyFill="1" applyBorder="1" applyAlignment="1">
      <alignment horizontal="center" vertical="center" wrapText="1"/>
    </xf>
    <xf numFmtId="43" fontId="52" fillId="29" borderId="7" xfId="1" applyFont="1" applyFill="1" applyBorder="1" applyAlignment="1">
      <alignment horizontal="center" vertical="center" wrapText="1"/>
    </xf>
    <xf numFmtId="164" fontId="8" fillId="12" borderId="14" xfId="0" applyNumberFormat="1" applyFont="1" applyFill="1" applyBorder="1" applyAlignment="1">
      <alignment horizontal="center" vertical="center"/>
    </xf>
    <xf numFmtId="0" fontId="41" fillId="21" borderId="7" xfId="0" applyFont="1" applyFill="1" applyBorder="1" applyAlignment="1">
      <alignment horizontal="left" vertical="top" wrapText="1"/>
    </xf>
    <xf numFmtId="0" fontId="0" fillId="21" borderId="7" xfId="0" applyFont="1" applyFill="1" applyBorder="1" applyAlignment="1">
      <alignment horizontal="left" vertical="center" wrapText="1"/>
    </xf>
    <xf numFmtId="0" fontId="0" fillId="21" borderId="7" xfId="0" applyFont="1" applyFill="1" applyBorder="1" applyAlignment="1">
      <alignment horizontal="left" vertical="center"/>
    </xf>
    <xf numFmtId="0" fontId="41" fillId="21" borderId="7" xfId="0" applyFont="1" applyFill="1" applyBorder="1" applyAlignment="1">
      <alignment horizontal="left" vertical="center" wrapText="1"/>
    </xf>
    <xf numFmtId="0" fontId="0" fillId="0" borderId="0" xfId="0" applyFont="1" applyAlignment="1">
      <alignment horizontal="left" wrapText="1"/>
    </xf>
    <xf numFmtId="43" fontId="0" fillId="0" borderId="2" xfId="1" applyFont="1" applyBorder="1" applyAlignment="1">
      <alignment horizontal="left" vertical="center"/>
    </xf>
    <xf numFmtId="0" fontId="5" fillId="8" borderId="0" xfId="0" applyFont="1" applyFill="1" applyAlignment="1">
      <alignment horizontal="left" vertical="center" wrapText="1"/>
    </xf>
    <xf numFmtId="0" fontId="13" fillId="0" borderId="0" xfId="0" applyFont="1" applyAlignment="1">
      <alignment horizontal="left" vertical="center" wrapText="1"/>
    </xf>
    <xf numFmtId="3" fontId="0" fillId="40" borderId="7" xfId="0" applyNumberFormat="1" applyFont="1" applyFill="1" applyBorder="1" applyAlignment="1">
      <alignment horizontal="center" vertical="center"/>
    </xf>
    <xf numFmtId="164" fontId="53" fillId="46" borderId="0" xfId="10" applyNumberFormat="1" applyFont="1" applyFill="1" applyAlignment="1">
      <alignment horizontal="center" vertical="center" wrapText="1"/>
    </xf>
    <xf numFmtId="164" fontId="51" fillId="46" borderId="0" xfId="10" applyNumberFormat="1" applyFont="1" applyFill="1" applyAlignment="1">
      <alignment horizontal="center" vertical="center" wrapText="1"/>
    </xf>
    <xf numFmtId="0" fontId="5" fillId="15" borderId="1" xfId="7" applyFont="1" applyFill="1" applyBorder="1" applyAlignment="1">
      <alignment horizontal="center" vertical="center" wrapText="1"/>
    </xf>
    <xf numFmtId="0" fontId="5" fillId="60" borderId="1" xfId="7" applyFont="1" applyFill="1" applyBorder="1" applyAlignment="1">
      <alignment horizontal="center" vertical="center" wrapText="1"/>
    </xf>
    <xf numFmtId="0" fontId="6" fillId="40" borderId="7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 wrapText="1"/>
    </xf>
    <xf numFmtId="0" fontId="8" fillId="15" borderId="1" xfId="7" applyFont="1" applyFill="1" applyBorder="1" applyAlignment="1">
      <alignment horizontal="center" vertical="center" wrapText="1"/>
    </xf>
    <xf numFmtId="0" fontId="8" fillId="35" borderId="1" xfId="7" applyFont="1" applyFill="1" applyBorder="1" applyAlignment="1">
      <alignment horizontal="center" vertical="center" wrapText="1"/>
    </xf>
    <xf numFmtId="3" fontId="8" fillId="11" borderId="1" xfId="1" applyNumberFormat="1" applyFont="1" applyFill="1" applyBorder="1" applyAlignment="1">
      <alignment horizontal="center" vertical="center" wrapText="1"/>
    </xf>
    <xf numFmtId="165" fontId="6" fillId="21" borderId="1" xfId="0" applyNumberFormat="1" applyFont="1" applyFill="1" applyBorder="1" applyAlignment="1">
      <alignment horizontal="center" vertical="center"/>
    </xf>
    <xf numFmtId="3" fontId="7" fillId="40" borderId="7" xfId="0" applyNumberFormat="1" applyFont="1" applyFill="1" applyBorder="1" applyAlignment="1">
      <alignment horizontal="center" vertical="center"/>
    </xf>
    <xf numFmtId="164" fontId="0" fillId="12" borderId="46" xfId="0" applyNumberFormat="1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 wrapText="1"/>
    </xf>
    <xf numFmtId="14" fontId="9" fillId="35" borderId="7" xfId="7" applyNumberFormat="1" applyFont="1" applyFill="1" applyBorder="1" applyAlignment="1">
      <alignment horizontal="center" vertical="center"/>
    </xf>
    <xf numFmtId="0" fontId="5" fillId="31" borderId="7" xfId="0" applyFont="1" applyFill="1" applyBorder="1" applyAlignment="1">
      <alignment horizontal="center" vertical="center" wrapText="1"/>
    </xf>
    <xf numFmtId="0" fontId="6" fillId="33" borderId="5" xfId="0" applyFont="1" applyFill="1" applyBorder="1" applyAlignment="1">
      <alignment horizontal="center"/>
    </xf>
    <xf numFmtId="0" fontId="6" fillId="37" borderId="11" xfId="0" applyFont="1" applyFill="1" applyBorder="1" applyAlignment="1">
      <alignment horizontal="center"/>
    </xf>
    <xf numFmtId="0" fontId="6" fillId="26" borderId="13" xfId="0" applyFont="1" applyFill="1" applyBorder="1" applyAlignment="1">
      <alignment horizontal="center"/>
    </xf>
    <xf numFmtId="164" fontId="8" fillId="29" borderId="7" xfId="7" applyNumberFormat="1" applyFont="1" applyFill="1" applyBorder="1" applyAlignment="1">
      <alignment horizontal="center" vertical="center" wrapText="1"/>
    </xf>
    <xf numFmtId="3" fontId="8" fillId="29" borderId="7" xfId="7" applyNumberFormat="1" applyFont="1" applyFill="1" applyBorder="1" applyAlignment="1">
      <alignment horizontal="center" vertical="center" wrapText="1"/>
    </xf>
    <xf numFmtId="2" fontId="8" fillId="40" borderId="7" xfId="7" applyNumberFormat="1" applyFont="1" applyFill="1" applyBorder="1" applyAlignment="1">
      <alignment horizontal="center" vertical="center" wrapText="1"/>
    </xf>
    <xf numFmtId="164" fontId="5" fillId="35" borderId="1" xfId="7" applyNumberFormat="1" applyFont="1" applyFill="1" applyBorder="1" applyAlignment="1">
      <alignment horizontal="center" vertical="center" wrapText="1"/>
    </xf>
    <xf numFmtId="3" fontId="8" fillId="0" borderId="0" xfId="0" applyNumberFormat="1" applyFont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7" fillId="40" borderId="0" xfId="0" applyFont="1" applyFill="1" applyBorder="1" applyAlignment="1">
      <alignment horizontal="center" wrapText="1"/>
    </xf>
    <xf numFmtId="0" fontId="7" fillId="40" borderId="0" xfId="0" applyFont="1" applyFill="1" applyBorder="1" applyAlignment="1">
      <alignment horizontal="center"/>
    </xf>
    <xf numFmtId="0" fontId="7" fillId="40" borderId="22" xfId="0" applyFont="1" applyFill="1" applyBorder="1" applyAlignment="1">
      <alignment horizontal="center"/>
    </xf>
    <xf numFmtId="0" fontId="23" fillId="15" borderId="21" xfId="0" applyFont="1" applyFill="1" applyBorder="1" applyAlignment="1">
      <alignment horizontal="center" vertical="center"/>
    </xf>
    <xf numFmtId="0" fontId="7" fillId="29" borderId="0" xfId="0" applyFont="1" applyFill="1" applyBorder="1" applyAlignment="1">
      <alignment horizontal="center"/>
    </xf>
    <xf numFmtId="0" fontId="7" fillId="29" borderId="0" xfId="0" applyFont="1" applyFill="1" applyAlignment="1">
      <alignment horizontal="center"/>
    </xf>
    <xf numFmtId="165" fontId="8" fillId="29" borderId="23" xfId="0" applyNumberFormat="1" applyFont="1" applyFill="1" applyBorder="1" applyAlignment="1">
      <alignment horizontal="center" vertical="center"/>
    </xf>
    <xf numFmtId="0" fontId="22" fillId="36" borderId="2" xfId="0" applyFont="1" applyFill="1" applyBorder="1" applyAlignment="1">
      <alignment horizontal="center" vertical="center" wrapText="1"/>
    </xf>
    <xf numFmtId="1" fontId="6" fillId="0" borderId="11" xfId="0" applyNumberFormat="1" applyFont="1" applyBorder="1" applyAlignment="1">
      <alignment horizontal="center"/>
    </xf>
    <xf numFmtId="1" fontId="0" fillId="0" borderId="13" xfId="0" applyNumberFormat="1" applyBorder="1" applyAlignment="1">
      <alignment horizontal="center"/>
    </xf>
    <xf numFmtId="0" fontId="0" fillId="8" borderId="1" xfId="0" applyFont="1" applyFill="1" applyBorder="1" applyAlignment="1">
      <alignment horizontal="center" vertical="center" wrapText="1"/>
    </xf>
    <xf numFmtId="41" fontId="6" fillId="27" borderId="6" xfId="0" applyNumberFormat="1" applyFont="1" applyFill="1" applyBorder="1" applyAlignment="1"/>
    <xf numFmtId="41" fontId="6" fillId="27" borderId="11" xfId="0" applyNumberFormat="1" applyFont="1" applyFill="1" applyBorder="1" applyAlignment="1"/>
    <xf numFmtId="0" fontId="6" fillId="0" borderId="25" xfId="0" applyFont="1" applyBorder="1" applyAlignment="1">
      <alignment horizontal="center" vertical="center"/>
    </xf>
    <xf numFmtId="1" fontId="37" fillId="56" borderId="14" xfId="0" applyNumberFormat="1" applyFont="1" applyFill="1" applyBorder="1" applyAlignment="1">
      <alignment horizontal="center" vertical="center"/>
    </xf>
    <xf numFmtId="1" fontId="23" fillId="56" borderId="14" xfId="0" applyNumberFormat="1" applyFont="1" applyFill="1" applyBorder="1" applyAlignment="1">
      <alignment horizontal="center" vertical="center"/>
    </xf>
    <xf numFmtId="1" fontId="19" fillId="25" borderId="23" xfId="1" applyNumberFormat="1" applyFont="1" applyFill="1" applyBorder="1" applyAlignment="1">
      <alignment horizontal="center" vertical="center"/>
    </xf>
    <xf numFmtId="164" fontId="9" fillId="12" borderId="41" xfId="1" applyNumberFormat="1" applyFont="1" applyFill="1" applyBorder="1" applyAlignment="1">
      <alignment horizontal="center" vertical="center"/>
    </xf>
    <xf numFmtId="0" fontId="9" fillId="0" borderId="23" xfId="0" applyNumberFormat="1" applyFont="1" applyBorder="1" applyAlignment="1">
      <alignment horizontal="center" vertical="center"/>
    </xf>
    <xf numFmtId="189" fontId="8" fillId="25" borderId="16" xfId="1" applyNumberFormat="1" applyFont="1" applyFill="1" applyBorder="1" applyAlignment="1">
      <alignment horizontal="center" vertical="center"/>
    </xf>
    <xf numFmtId="3" fontId="19" fillId="8" borderId="41" xfId="0" applyNumberFormat="1" applyFont="1" applyFill="1" applyBorder="1" applyAlignment="1">
      <alignment horizontal="center" vertical="center"/>
    </xf>
    <xf numFmtId="165" fontId="0" fillId="17" borderId="23" xfId="0" applyNumberFormat="1" applyFont="1" applyFill="1" applyBorder="1" applyAlignment="1">
      <alignment horizontal="center" vertical="center"/>
    </xf>
    <xf numFmtId="165" fontId="8" fillId="19" borderId="1" xfId="0" applyNumberFormat="1" applyFont="1" applyFill="1" applyBorder="1" applyAlignment="1">
      <alignment horizontal="center" vertical="center"/>
    </xf>
    <xf numFmtId="0" fontId="6" fillId="29" borderId="1" xfId="0" applyFont="1" applyFill="1" applyBorder="1" applyAlignment="1">
      <alignment horizontal="center" vertical="center"/>
    </xf>
    <xf numFmtId="3" fontId="6" fillId="29" borderId="11" xfId="0" applyNumberFormat="1" applyFont="1" applyFill="1" applyBorder="1" applyAlignment="1">
      <alignment horizontal="center" vertical="center"/>
    </xf>
    <xf numFmtId="3" fontId="6" fillId="29" borderId="13" xfId="0" applyNumberFormat="1" applyFont="1" applyFill="1" applyBorder="1" applyAlignment="1">
      <alignment horizontal="center" vertical="center"/>
    </xf>
    <xf numFmtId="0" fontId="6" fillId="0" borderId="0" xfId="0" applyFont="1" applyBorder="1"/>
    <xf numFmtId="0" fontId="0" fillId="8" borderId="11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14" fontId="8" fillId="60" borderId="1" xfId="7" applyNumberFormat="1" applyFont="1" applyFill="1" applyBorder="1" applyAlignment="1">
      <alignment horizontal="center" vertical="center" wrapText="1"/>
    </xf>
    <xf numFmtId="0" fontId="8" fillId="28" borderId="1" xfId="8" applyFont="1" applyFill="1" applyBorder="1" applyAlignment="1">
      <alignment horizontal="center" vertical="center"/>
    </xf>
    <xf numFmtId="14" fontId="8" fillId="9" borderId="1" xfId="3" applyNumberFormat="1" applyFont="1" applyFill="1" applyBorder="1" applyAlignment="1">
      <alignment horizontal="center" vertical="center" wrapText="1"/>
    </xf>
    <xf numFmtId="0" fontId="8" fillId="35" borderId="7" xfId="7" applyFont="1" applyFill="1" applyBorder="1" applyAlignment="1">
      <alignment horizontal="center" vertical="center" wrapText="1"/>
    </xf>
    <xf numFmtId="164" fontId="9" fillId="29" borderId="7" xfId="1" applyNumberFormat="1" applyFont="1" applyFill="1" applyBorder="1" applyAlignment="1">
      <alignment horizontal="center" vertical="center"/>
    </xf>
    <xf numFmtId="3" fontId="9" fillId="55" borderId="7" xfId="0" applyNumberFormat="1" applyFont="1" applyFill="1" applyBorder="1" applyAlignment="1">
      <alignment horizontal="center" vertical="center"/>
    </xf>
    <xf numFmtId="43" fontId="0" fillId="14" borderId="7" xfId="1" applyFont="1" applyFill="1" applyBorder="1" applyAlignment="1">
      <alignment horizontal="center" vertical="center"/>
    </xf>
    <xf numFmtId="14" fontId="8" fillId="29" borderId="7" xfId="7" applyNumberFormat="1" applyFont="1" applyFill="1" applyBorder="1" applyAlignment="1">
      <alignment horizontal="center" vertical="center"/>
    </xf>
    <xf numFmtId="164" fontId="38" fillId="29" borderId="7" xfId="10" applyNumberFormat="1" applyFont="1" applyFill="1" applyBorder="1" applyAlignment="1">
      <alignment horizontal="center" vertical="center" wrapText="1"/>
    </xf>
    <xf numFmtId="182" fontId="0" fillId="12" borderId="7" xfId="0" applyNumberFormat="1" applyFont="1" applyFill="1" applyBorder="1" applyAlignment="1">
      <alignment horizontal="center" vertical="center"/>
    </xf>
    <xf numFmtId="3" fontId="29" fillId="21" borderId="7" xfId="10" applyNumberFormat="1" applyFont="1" applyFill="1" applyBorder="1" applyAlignment="1">
      <alignment horizontal="center" vertical="center" wrapText="1"/>
    </xf>
    <xf numFmtId="3" fontId="29" fillId="21" borderId="7" xfId="10" applyNumberFormat="1" applyFont="1" applyFill="1" applyBorder="1" applyAlignment="1">
      <alignment horizontal="left" vertical="top" wrapText="1"/>
    </xf>
    <xf numFmtId="3" fontId="27" fillId="21" borderId="7" xfId="10" applyNumberFormat="1" applyFont="1" applyFill="1" applyBorder="1" applyAlignment="1">
      <alignment horizontal="right" vertical="center" wrapText="1"/>
    </xf>
    <xf numFmtId="0" fontId="5" fillId="60" borderId="1" xfId="6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/>
    </xf>
    <xf numFmtId="0" fontId="8" fillId="29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9" fontId="8" fillId="9" borderId="1" xfId="2" applyFont="1" applyFill="1" applyBorder="1" applyAlignment="1">
      <alignment horizontal="center" vertical="center"/>
    </xf>
    <xf numFmtId="1" fontId="0" fillId="9" borderId="1" xfId="2" applyNumberFormat="1" applyFont="1" applyFill="1" applyBorder="1" applyAlignment="1">
      <alignment horizontal="center" vertical="center"/>
    </xf>
    <xf numFmtId="3" fontId="0" fillId="8" borderId="1" xfId="0" applyNumberFormat="1" applyFont="1" applyFill="1" applyBorder="1" applyAlignment="1">
      <alignment horizontal="center" vertical="center"/>
    </xf>
    <xf numFmtId="4" fontId="8" fillId="8" borderId="1" xfId="0" applyNumberFormat="1" applyFont="1" applyFill="1" applyBorder="1" applyAlignment="1">
      <alignment horizontal="center" vertical="center"/>
    </xf>
    <xf numFmtId="14" fontId="8" fillId="35" borderId="1" xfId="7" applyNumberFormat="1" applyFont="1" applyFill="1" applyBorder="1" applyAlignment="1">
      <alignment horizontal="center" vertical="center" wrapText="1"/>
    </xf>
    <xf numFmtId="164" fontId="8" fillId="14" borderId="1" xfId="6" applyNumberFormat="1" applyFont="1" applyFill="1" applyBorder="1" applyAlignment="1">
      <alignment horizontal="center" vertical="center"/>
    </xf>
    <xf numFmtId="9" fontId="19" fillId="30" borderId="7" xfId="2" applyFont="1" applyFill="1" applyBorder="1" applyAlignment="1">
      <alignment horizontal="center" vertical="center"/>
    </xf>
    <xf numFmtId="164" fontId="9" fillId="12" borderId="23" xfId="0" applyNumberFormat="1" applyFont="1" applyFill="1" applyBorder="1" applyAlignment="1">
      <alignment horizontal="center" vertical="center"/>
    </xf>
    <xf numFmtId="164" fontId="9" fillId="8" borderId="16" xfId="0" applyNumberFormat="1" applyFont="1" applyFill="1" applyBorder="1" applyAlignment="1">
      <alignment horizontal="center" vertical="center"/>
    </xf>
    <xf numFmtId="0" fontId="8" fillId="30" borderId="16" xfId="0" applyNumberFormat="1" applyFont="1" applyFill="1" applyBorder="1" applyAlignment="1">
      <alignment horizontal="center" vertical="center"/>
    </xf>
    <xf numFmtId="1" fontId="0" fillId="12" borderId="14" xfId="0" applyNumberFormat="1" applyFont="1" applyFill="1" applyBorder="1" applyAlignment="1">
      <alignment horizontal="center" vertical="center"/>
    </xf>
    <xf numFmtId="164" fontId="0" fillId="12" borderId="37" xfId="0" applyNumberFormat="1" applyFont="1" applyFill="1" applyBorder="1" applyAlignment="1">
      <alignment horizontal="center" vertical="center"/>
    </xf>
    <xf numFmtId="168" fontId="8" fillId="29" borderId="37" xfId="1" applyNumberFormat="1" applyFont="1" applyFill="1" applyBorder="1" applyAlignment="1">
      <alignment horizontal="center" vertical="center"/>
    </xf>
    <xf numFmtId="14" fontId="8" fillId="29" borderId="37" xfId="0" applyNumberFormat="1" applyFont="1" applyFill="1" applyBorder="1" applyAlignment="1">
      <alignment horizontal="center" vertical="center" wrapText="1"/>
    </xf>
    <xf numFmtId="164" fontId="9" fillId="12" borderId="14" xfId="1" applyNumberFormat="1" applyFont="1" applyFill="1" applyBorder="1" applyAlignment="1">
      <alignment horizontal="center" vertical="center"/>
    </xf>
    <xf numFmtId="14" fontId="8" fillId="29" borderId="7" xfId="1" applyNumberFormat="1" applyFont="1" applyFill="1" applyBorder="1" applyAlignment="1">
      <alignment horizontal="center" vertical="center"/>
    </xf>
    <xf numFmtId="164" fontId="9" fillId="8" borderId="45" xfId="1" applyNumberFormat="1" applyFont="1" applyFill="1" applyBorder="1" applyAlignment="1">
      <alignment horizontal="center" vertical="center"/>
    </xf>
    <xf numFmtId="164" fontId="8" fillId="29" borderId="14" xfId="1" applyNumberFormat="1" applyFont="1" applyFill="1" applyBorder="1" applyAlignment="1">
      <alignment horizontal="center" vertical="center" wrapText="1"/>
    </xf>
    <xf numFmtId="0" fontId="9" fillId="0" borderId="41" xfId="0" applyNumberFormat="1" applyFont="1" applyBorder="1" applyAlignment="1">
      <alignment horizontal="center" vertical="center"/>
    </xf>
    <xf numFmtId="0" fontId="41" fillId="29" borderId="7" xfId="0" applyFont="1" applyFill="1" applyBorder="1" applyAlignment="1">
      <alignment horizontal="center" vertical="center" wrapText="1"/>
    </xf>
    <xf numFmtId="0" fontId="41" fillId="29" borderId="7" xfId="0" applyFont="1" applyFill="1" applyBorder="1" applyAlignment="1">
      <alignment horizontal="left" vertical="center" wrapText="1"/>
    </xf>
    <xf numFmtId="165" fontId="8" fillId="11" borderId="1" xfId="0" applyNumberFormat="1" applyFont="1" applyFill="1" applyBorder="1" applyAlignment="1">
      <alignment horizontal="center" vertical="center"/>
    </xf>
    <xf numFmtId="165" fontId="0" fillId="11" borderId="23" xfId="0" applyNumberFormat="1" applyFont="1" applyFill="1" applyBorder="1" applyAlignment="1">
      <alignment horizontal="center" vertical="center"/>
    </xf>
    <xf numFmtId="165" fontId="8" fillId="12" borderId="1" xfId="0" applyNumberFormat="1" applyFont="1" applyFill="1" applyBorder="1" applyAlignment="1">
      <alignment horizontal="center" vertical="center"/>
    </xf>
    <xf numFmtId="165" fontId="8" fillId="21" borderId="1" xfId="0" applyNumberFormat="1" applyFont="1" applyFill="1" applyBorder="1" applyAlignment="1">
      <alignment horizontal="center" vertical="center"/>
    </xf>
    <xf numFmtId="0" fontId="9" fillId="0" borderId="16" xfId="0" applyNumberFormat="1" applyFont="1" applyBorder="1" applyAlignment="1">
      <alignment horizontal="center" vertical="center" wrapText="1"/>
    </xf>
    <xf numFmtId="165" fontId="9" fillId="29" borderId="7" xfId="0" applyNumberFormat="1" applyFont="1" applyFill="1" applyBorder="1" applyAlignment="1">
      <alignment horizontal="center" vertical="center"/>
    </xf>
    <xf numFmtId="3" fontId="8" fillId="8" borderId="7" xfId="3" applyNumberFormat="1" applyFont="1" applyFill="1" applyBorder="1" applyAlignment="1">
      <alignment horizontal="center" vertical="center"/>
    </xf>
    <xf numFmtId="166" fontId="8" fillId="11" borderId="7" xfId="1" applyNumberFormat="1" applyFont="1" applyFill="1" applyBorder="1" applyAlignment="1">
      <alignment horizontal="center" vertical="center" wrapText="1"/>
    </xf>
    <xf numFmtId="165" fontId="9" fillId="11" borderId="1" xfId="0" applyNumberFormat="1" applyFont="1" applyFill="1" applyBorder="1" applyAlignment="1">
      <alignment horizontal="center" vertical="center"/>
    </xf>
    <xf numFmtId="164" fontId="8" fillId="60" borderId="1" xfId="6" applyNumberFormat="1" applyFont="1" applyFill="1" applyBorder="1" applyAlignment="1">
      <alignment horizontal="center" vertical="center"/>
    </xf>
    <xf numFmtId="3" fontId="0" fillId="55" borderId="0" xfId="0" applyNumberFormat="1" applyFont="1" applyFill="1" applyBorder="1" applyAlignment="1">
      <alignment horizontal="center" vertical="center"/>
    </xf>
    <xf numFmtId="0" fontId="33" fillId="8" borderId="7" xfId="5" applyFont="1" applyFill="1" applyBorder="1" applyAlignment="1">
      <alignment horizontal="center" vertical="center" wrapText="1"/>
    </xf>
    <xf numFmtId="14" fontId="8" fillId="8" borderId="7" xfId="5" applyNumberFormat="1" applyFont="1" applyFill="1" applyBorder="1" applyAlignment="1">
      <alignment horizontal="center" vertical="center"/>
    </xf>
    <xf numFmtId="4" fontId="0" fillId="0" borderId="0" xfId="0" applyNumberFormat="1" applyFont="1" applyBorder="1" applyAlignment="1">
      <alignment horizontal="center" vertical="center"/>
    </xf>
    <xf numFmtId="0" fontId="8" fillId="8" borderId="0" xfId="0" applyFont="1" applyFill="1" applyBorder="1" applyAlignment="1">
      <alignment horizontal="center"/>
    </xf>
    <xf numFmtId="4" fontId="8" fillId="0" borderId="0" xfId="0" applyNumberFormat="1" applyFont="1" applyAlignment="1">
      <alignment horizontal="center"/>
    </xf>
    <xf numFmtId="43" fontId="8" fillId="0" borderId="2" xfId="1" applyFont="1" applyBorder="1" applyAlignment="1">
      <alignment horizontal="center" vertical="center"/>
    </xf>
    <xf numFmtId="4" fontId="8" fillId="0" borderId="0" xfId="0" applyNumberFormat="1" applyFont="1" applyBorder="1" applyAlignment="1">
      <alignment horizontal="center" vertical="center"/>
    </xf>
    <xf numFmtId="14" fontId="8" fillId="8" borderId="7" xfId="5" applyNumberFormat="1" applyFont="1" applyFill="1" applyBorder="1" applyAlignment="1">
      <alignment horizontal="center" vertical="center" wrapText="1"/>
    </xf>
    <xf numFmtId="0" fontId="33" fillId="0" borderId="7" xfId="0" applyFont="1" applyFill="1" applyBorder="1" applyAlignment="1">
      <alignment horizontal="center" vertical="center" wrapText="1"/>
    </xf>
    <xf numFmtId="4" fontId="8" fillId="0" borderId="7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4" fontId="8" fillId="0" borderId="0" xfId="0" applyNumberFormat="1" applyFont="1" applyFill="1" applyAlignment="1">
      <alignment horizontal="center"/>
    </xf>
    <xf numFmtId="43" fontId="8" fillId="0" borderId="2" xfId="1" applyFont="1" applyFill="1" applyBorder="1" applyAlignment="1">
      <alignment horizontal="center" vertical="center"/>
    </xf>
    <xf numFmtId="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3" fontId="47" fillId="55" borderId="7" xfId="10" applyNumberFormat="1" applyFont="1" applyFill="1" applyBorder="1" applyAlignment="1">
      <alignment horizontal="center" vertical="center" wrapText="1"/>
    </xf>
    <xf numFmtId="0" fontId="0" fillId="55" borderId="0" xfId="0" applyFont="1" applyFill="1" applyBorder="1" applyAlignment="1">
      <alignment horizontal="center" vertical="center"/>
    </xf>
    <xf numFmtId="3" fontId="39" fillId="58" borderId="7" xfId="10" applyNumberFormat="1" applyFont="1" applyFill="1" applyBorder="1" applyAlignment="1">
      <alignment horizontal="center" vertical="center" wrapText="1"/>
    </xf>
    <xf numFmtId="0" fontId="0" fillId="21" borderId="0" xfId="0" applyFont="1" applyFill="1" applyBorder="1" applyAlignment="1">
      <alignment horizontal="center" vertical="center"/>
    </xf>
    <xf numFmtId="3" fontId="39" fillId="58" borderId="7" xfId="10" applyNumberFormat="1" applyFont="1" applyFill="1" applyBorder="1" applyAlignment="1">
      <alignment horizontal="right" vertical="center" wrapText="1"/>
    </xf>
    <xf numFmtId="0" fontId="0" fillId="21" borderId="0" xfId="0" applyFont="1" applyFill="1" applyBorder="1" applyAlignment="1">
      <alignment horizontal="center" vertical="center" wrapText="1"/>
    </xf>
    <xf numFmtId="0" fontId="8" fillId="28" borderId="7" xfId="8" applyFont="1" applyFill="1" applyBorder="1" applyAlignment="1">
      <alignment horizontal="center" vertical="center"/>
    </xf>
    <xf numFmtId="182" fontId="0" fillId="11" borderId="7" xfId="0" applyNumberFormat="1" applyFont="1" applyFill="1" applyBorder="1" applyAlignment="1">
      <alignment horizontal="center" vertical="center"/>
    </xf>
    <xf numFmtId="164" fontId="8" fillId="30" borderId="14" xfId="0" applyNumberFormat="1" applyFont="1" applyFill="1" applyBorder="1" applyAlignment="1">
      <alignment horizontal="center" vertical="center"/>
    </xf>
    <xf numFmtId="1" fontId="23" fillId="61" borderId="7" xfId="0" applyNumberFormat="1" applyFont="1" applyFill="1" applyBorder="1" applyAlignment="1">
      <alignment horizontal="center" vertical="center"/>
    </xf>
    <xf numFmtId="182" fontId="0" fillId="12" borderId="1" xfId="0" applyNumberFormat="1" applyFont="1" applyFill="1" applyBorder="1" applyAlignment="1">
      <alignment horizontal="center" vertical="center"/>
    </xf>
    <xf numFmtId="1" fontId="23" fillId="30" borderId="7" xfId="0" applyNumberFormat="1" applyFont="1" applyFill="1" applyBorder="1" applyAlignment="1">
      <alignment horizontal="center" vertical="center"/>
    </xf>
    <xf numFmtId="1" fontId="45" fillId="61" borderId="7" xfId="0" applyNumberFormat="1" applyFont="1" applyFill="1" applyBorder="1" applyAlignment="1">
      <alignment horizontal="center" vertical="center"/>
    </xf>
    <xf numFmtId="164" fontId="38" fillId="29" borderId="7" xfId="0" applyNumberFormat="1" applyFont="1" applyFill="1" applyBorder="1" applyAlignment="1">
      <alignment horizontal="center" vertical="center"/>
    </xf>
    <xf numFmtId="165" fontId="8" fillId="11" borderId="14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3" fontId="33" fillId="18" borderId="7" xfId="1" applyNumberFormat="1" applyFont="1" applyFill="1" applyBorder="1" applyAlignment="1">
      <alignment horizontal="center" vertical="center" wrapText="1"/>
    </xf>
    <xf numFmtId="165" fontId="0" fillId="18" borderId="7" xfId="0" applyNumberFormat="1" applyFont="1" applyFill="1" applyBorder="1" applyAlignment="1">
      <alignment horizontal="center" vertical="center"/>
    </xf>
    <xf numFmtId="165" fontId="8" fillId="18" borderId="7" xfId="0" applyNumberFormat="1" applyFont="1" applyFill="1" applyBorder="1" applyAlignment="1">
      <alignment horizontal="center" vertical="center"/>
    </xf>
    <xf numFmtId="0" fontId="8" fillId="29" borderId="7" xfId="7" applyFont="1" applyFill="1" applyBorder="1" applyAlignment="1">
      <alignment horizontal="center" vertical="center"/>
    </xf>
    <xf numFmtId="3" fontId="8" fillId="29" borderId="14" xfId="1" applyNumberFormat="1" applyFont="1" applyFill="1" applyBorder="1" applyAlignment="1">
      <alignment horizontal="center" vertical="center"/>
    </xf>
    <xf numFmtId="164" fontId="9" fillId="0" borderId="14" xfId="0" applyNumberFormat="1" applyFont="1" applyBorder="1" applyAlignment="1">
      <alignment horizontal="center" vertical="center"/>
    </xf>
    <xf numFmtId="0" fontId="33" fillId="31" borderId="37" xfId="1" applyNumberFormat="1" applyFont="1" applyFill="1" applyBorder="1" applyAlignment="1">
      <alignment horizontal="center" vertical="center" wrapText="1"/>
    </xf>
    <xf numFmtId="1" fontId="19" fillId="25" borderId="46" xfId="1" applyNumberFormat="1" applyFont="1" applyFill="1" applyBorder="1" applyAlignment="1">
      <alignment horizontal="center" vertical="center"/>
    </xf>
    <xf numFmtId="43" fontId="8" fillId="0" borderId="0" xfId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9" fontId="0" fillId="18" borderId="7" xfId="2" applyFont="1" applyFill="1" applyBorder="1" applyAlignment="1">
      <alignment horizontal="center" vertical="center"/>
    </xf>
    <xf numFmtId="9" fontId="8" fillId="18" borderId="7" xfId="2" applyFont="1" applyFill="1" applyBorder="1" applyAlignment="1">
      <alignment horizontal="center" vertical="center"/>
    </xf>
    <xf numFmtId="165" fontId="6" fillId="18" borderId="7" xfId="0" applyNumberFormat="1" applyFont="1" applyFill="1" applyBorder="1" applyAlignment="1">
      <alignment horizontal="center" vertical="center"/>
    </xf>
    <xf numFmtId="165" fontId="5" fillId="18" borderId="7" xfId="0" applyNumberFormat="1" applyFont="1" applyFill="1" applyBorder="1" applyAlignment="1">
      <alignment horizontal="center" vertical="center"/>
    </xf>
    <xf numFmtId="165" fontId="6" fillId="0" borderId="0" xfId="0" applyNumberFormat="1" applyFont="1" applyBorder="1" applyAlignment="1">
      <alignment horizontal="center"/>
    </xf>
    <xf numFmtId="43" fontId="6" fillId="0" borderId="2" xfId="1" applyFont="1" applyBorder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9" fontId="0" fillId="0" borderId="2" xfId="2" applyFont="1" applyBorder="1" applyAlignment="1">
      <alignment horizontal="center" vertical="center"/>
    </xf>
    <xf numFmtId="3" fontId="0" fillId="18" borderId="7" xfId="2" applyNumberFormat="1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vertical="center" wrapText="1"/>
    </xf>
    <xf numFmtId="3" fontId="36" fillId="21" borderId="15" xfId="10" applyNumberFormat="1" applyFont="1" applyFill="1" applyBorder="1" applyAlignment="1">
      <alignment horizontal="center" vertical="center" wrapText="1"/>
    </xf>
    <xf numFmtId="3" fontId="50" fillId="21" borderId="15" xfId="10" applyNumberFormat="1" applyFont="1" applyFill="1" applyBorder="1" applyAlignment="1">
      <alignment horizontal="center" vertical="center" wrapText="1"/>
    </xf>
    <xf numFmtId="3" fontId="36" fillId="21" borderId="15" xfId="10" applyNumberFormat="1" applyFont="1" applyFill="1" applyBorder="1" applyAlignment="1">
      <alignment horizontal="right" vertical="center" wrapText="1"/>
    </xf>
    <xf numFmtId="182" fontId="0" fillId="11" borderId="1" xfId="0" applyNumberFormat="1" applyFont="1" applyFill="1" applyBorder="1" applyAlignment="1">
      <alignment horizontal="center" vertical="center"/>
    </xf>
    <xf numFmtId="182" fontId="8" fillId="11" borderId="1" xfId="0" applyNumberFormat="1" applyFont="1" applyFill="1" applyBorder="1" applyAlignment="1">
      <alignment horizontal="center" vertical="center"/>
    </xf>
    <xf numFmtId="182" fontId="8" fillId="12" borderId="1" xfId="0" applyNumberFormat="1" applyFont="1" applyFill="1" applyBorder="1" applyAlignment="1">
      <alignment horizontal="center" vertical="center"/>
    </xf>
    <xf numFmtId="190" fontId="33" fillId="18" borderId="7" xfId="1" applyNumberFormat="1" applyFont="1" applyFill="1" applyBorder="1" applyAlignment="1">
      <alignment horizontal="center" vertical="center" wrapText="1"/>
    </xf>
    <xf numFmtId="164" fontId="9" fillId="29" borderId="37" xfId="1" applyNumberFormat="1" applyFont="1" applyFill="1" applyBorder="1" applyAlignment="1">
      <alignment horizontal="center" vertical="center"/>
    </xf>
    <xf numFmtId="182" fontId="0" fillId="11" borderId="14" xfId="0" applyNumberFormat="1" applyFont="1" applyFill="1" applyBorder="1" applyAlignment="1">
      <alignment horizontal="center" vertical="center"/>
    </xf>
    <xf numFmtId="164" fontId="9" fillId="12" borderId="48" xfId="1" applyNumberFormat="1" applyFont="1" applyFill="1" applyBorder="1" applyAlignment="1">
      <alignment horizontal="center" vertical="center"/>
    </xf>
    <xf numFmtId="164" fontId="9" fillId="29" borderId="48" xfId="1" applyNumberFormat="1" applyFont="1" applyFill="1" applyBorder="1" applyAlignment="1">
      <alignment horizontal="center" vertical="center"/>
    </xf>
    <xf numFmtId="1" fontId="0" fillId="29" borderId="47" xfId="0" applyNumberFormat="1" applyFont="1" applyFill="1" applyBorder="1" applyAlignment="1">
      <alignment horizontal="center" vertical="center"/>
    </xf>
    <xf numFmtId="1" fontId="8" fillId="29" borderId="47" xfId="1" applyNumberFormat="1" applyFont="1" applyFill="1" applyBorder="1" applyAlignment="1">
      <alignment horizontal="center" vertical="center"/>
    </xf>
    <xf numFmtId="175" fontId="8" fillId="29" borderId="47" xfId="1" applyNumberFormat="1" applyFont="1" applyFill="1" applyBorder="1" applyAlignment="1">
      <alignment horizontal="center" vertical="center"/>
    </xf>
    <xf numFmtId="175" fontId="8" fillId="25" borderId="47" xfId="1" applyNumberFormat="1" applyFont="1" applyFill="1" applyBorder="1" applyAlignment="1">
      <alignment horizontal="center" vertical="center"/>
    </xf>
    <xf numFmtId="1" fontId="8" fillId="25" borderId="47" xfId="1" applyNumberFormat="1" applyFont="1" applyFill="1" applyBorder="1" applyAlignment="1">
      <alignment horizontal="center" vertical="center"/>
    </xf>
    <xf numFmtId="1" fontId="19" fillId="25" borderId="47" xfId="1" applyNumberFormat="1" applyFont="1" applyFill="1" applyBorder="1" applyAlignment="1">
      <alignment horizontal="center" vertical="center"/>
    </xf>
    <xf numFmtId="165" fontId="9" fillId="11" borderId="7" xfId="0" applyNumberFormat="1" applyFont="1" applyFill="1" applyBorder="1" applyAlignment="1">
      <alignment horizontal="center" vertical="center"/>
    </xf>
    <xf numFmtId="165" fontId="9" fillId="14" borderId="7" xfId="0" applyNumberFormat="1" applyFont="1" applyFill="1" applyBorder="1" applyAlignment="1">
      <alignment horizontal="center" vertical="center"/>
    </xf>
    <xf numFmtId="165" fontId="9" fillId="12" borderId="7" xfId="0" applyNumberFormat="1" applyFont="1" applyFill="1" applyBorder="1" applyAlignment="1">
      <alignment horizontal="center" vertical="center"/>
    </xf>
    <xf numFmtId="0" fontId="9" fillId="8" borderId="16" xfId="1" applyNumberFormat="1" applyFont="1" applyFill="1" applyBorder="1" applyAlignment="1">
      <alignment horizontal="center" vertical="center"/>
    </xf>
    <xf numFmtId="0" fontId="8" fillId="25" borderId="16" xfId="1" applyNumberFormat="1" applyFont="1" applyFill="1" applyBorder="1" applyAlignment="1">
      <alignment horizontal="center" vertical="center"/>
    </xf>
    <xf numFmtId="164" fontId="1" fillId="29" borderId="7" xfId="1" applyNumberFormat="1" applyFont="1" applyFill="1" applyBorder="1" applyAlignment="1">
      <alignment horizontal="center" vertical="center"/>
    </xf>
    <xf numFmtId="164" fontId="1" fillId="29" borderId="37" xfId="1" applyNumberFormat="1" applyFont="1" applyFill="1" applyBorder="1" applyAlignment="1">
      <alignment horizontal="center" vertical="center"/>
    </xf>
    <xf numFmtId="164" fontId="1" fillId="29" borderId="45" xfId="1" applyNumberFormat="1" applyFont="1" applyFill="1" applyBorder="1" applyAlignment="1">
      <alignment horizontal="center" vertical="center"/>
    </xf>
    <xf numFmtId="164" fontId="1" fillId="29" borderId="23" xfId="1" applyNumberFormat="1" applyFont="1" applyFill="1" applyBorder="1" applyAlignment="1">
      <alignment horizontal="center" vertical="center"/>
    </xf>
    <xf numFmtId="0" fontId="1" fillId="29" borderId="16" xfId="1" applyNumberFormat="1" applyFont="1" applyFill="1" applyBorder="1" applyAlignment="1">
      <alignment horizontal="center" vertical="center" wrapText="1"/>
    </xf>
    <xf numFmtId="189" fontId="1" fillId="29" borderId="41" xfId="1" applyNumberFormat="1" applyFont="1" applyFill="1" applyBorder="1" applyAlignment="1">
      <alignment horizontal="center" vertical="center"/>
    </xf>
    <xf numFmtId="3" fontId="1" fillId="29" borderId="16" xfId="0" applyNumberFormat="1" applyFont="1" applyFill="1" applyBorder="1" applyAlignment="1">
      <alignment horizontal="center" vertical="center"/>
    </xf>
    <xf numFmtId="3" fontId="1" fillId="29" borderId="7" xfId="0" applyNumberFormat="1" applyFont="1" applyFill="1" applyBorder="1" applyAlignment="1">
      <alignment horizontal="center" vertical="center"/>
    </xf>
    <xf numFmtId="164" fontId="1" fillId="29" borderId="7" xfId="0" applyNumberFormat="1" applyFont="1" applyFill="1" applyBorder="1" applyAlignment="1">
      <alignment horizontal="center" vertical="center"/>
    </xf>
    <xf numFmtId="0" fontId="1" fillId="29" borderId="16" xfId="0" applyNumberFormat="1" applyFont="1" applyFill="1" applyBorder="1" applyAlignment="1">
      <alignment horizontal="center" vertical="center"/>
    </xf>
    <xf numFmtId="3" fontId="1" fillId="29" borderId="7" xfId="1" applyNumberFormat="1" applyFont="1" applyFill="1" applyBorder="1" applyAlignment="1">
      <alignment horizontal="center" vertical="center"/>
    </xf>
    <xf numFmtId="164" fontId="5" fillId="35" borderId="7" xfId="7" applyNumberFormat="1" applyFont="1" applyFill="1" applyBorder="1" applyAlignment="1">
      <alignment horizontal="center" vertical="center" wrapText="1"/>
    </xf>
    <xf numFmtId="14" fontId="8" fillId="35" borderId="7" xfId="7" applyNumberFormat="1" applyFont="1" applyFill="1" applyBorder="1" applyAlignment="1">
      <alignment horizontal="center" vertical="center" wrapText="1"/>
    </xf>
    <xf numFmtId="0" fontId="33" fillId="35" borderId="7" xfId="7" applyNumberFormat="1" applyFont="1" applyFill="1" applyBorder="1" applyAlignment="1">
      <alignment horizontal="center" vertical="center" wrapText="1"/>
    </xf>
    <xf numFmtId="0" fontId="8" fillId="35" borderId="7" xfId="7" applyNumberFormat="1" applyFont="1" applyFill="1" applyBorder="1" applyAlignment="1">
      <alignment horizontal="center" vertical="center" wrapText="1"/>
    </xf>
    <xf numFmtId="0" fontId="8" fillId="35" borderId="7" xfId="7" applyNumberFormat="1" applyFont="1" applyFill="1" applyBorder="1" applyAlignment="1">
      <alignment horizontal="center" vertical="center"/>
    </xf>
    <xf numFmtId="0" fontId="9" fillId="35" borderId="7" xfId="7" applyNumberFormat="1" applyFont="1" applyFill="1" applyBorder="1" applyAlignment="1">
      <alignment horizontal="center" vertical="center"/>
    </xf>
    <xf numFmtId="0" fontId="8" fillId="15" borderId="7" xfId="7" applyNumberFormat="1" applyFont="1" applyFill="1" applyBorder="1" applyAlignment="1">
      <alignment horizontal="center" vertical="center"/>
    </xf>
    <xf numFmtId="0" fontId="8" fillId="8" borderId="0" xfId="7" applyNumberFormat="1" applyFont="1" applyFill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8" fillId="0" borderId="0" xfId="1" applyNumberFormat="1" applyFont="1" applyAlignment="1">
      <alignment horizontal="center"/>
    </xf>
    <xf numFmtId="0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 wrapText="1"/>
    </xf>
    <xf numFmtId="9" fontId="0" fillId="18" borderId="7" xfId="2" applyFont="1" applyFill="1" applyBorder="1" applyAlignment="1">
      <alignment horizontal="center" vertical="center" wrapText="1"/>
    </xf>
    <xf numFmtId="9" fontId="0" fillId="18" borderId="7" xfId="2" quotePrefix="1" applyFont="1" applyFill="1" applyBorder="1" applyAlignment="1">
      <alignment horizontal="center" vertical="center"/>
    </xf>
    <xf numFmtId="9" fontId="6" fillId="0" borderId="2" xfId="2" applyFont="1" applyBorder="1" applyAlignment="1">
      <alignment horizontal="center" vertical="center"/>
    </xf>
    <xf numFmtId="164" fontId="0" fillId="29" borderId="16" xfId="0" applyNumberFormat="1" applyFont="1" applyFill="1" applyBorder="1" applyAlignment="1">
      <alignment horizontal="center" vertical="center"/>
    </xf>
    <xf numFmtId="9" fontId="19" fillId="8" borderId="35" xfId="2" applyFont="1" applyFill="1" applyBorder="1" applyAlignment="1">
      <alignment horizontal="center" vertical="center"/>
    </xf>
    <xf numFmtId="3" fontId="9" fillId="39" borderId="16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4" fontId="0" fillId="0" borderId="11" xfId="0" applyNumberFormat="1" applyFont="1" applyBorder="1" applyAlignment="1">
      <alignment horizontal="center" vertical="center"/>
    </xf>
    <xf numFmtId="0" fontId="54" fillId="40" borderId="0" xfId="0" applyFont="1" applyFill="1" applyBorder="1" applyAlignment="1">
      <alignment horizontal="center" vertical="center" wrapText="1"/>
    </xf>
    <xf numFmtId="0" fontId="17" fillId="40" borderId="0" xfId="0" applyFont="1" applyFill="1" applyBorder="1" applyAlignment="1">
      <alignment horizontal="center"/>
    </xf>
    <xf numFmtId="166" fontId="33" fillId="11" borderId="7" xfId="1" applyNumberFormat="1" applyFont="1" applyFill="1" applyBorder="1" applyAlignment="1">
      <alignment horizontal="center" vertical="center" wrapText="1"/>
    </xf>
    <xf numFmtId="3" fontId="8" fillId="11" borderId="7" xfId="3" applyNumberFormat="1" applyFont="1" applyFill="1" applyBorder="1" applyAlignment="1">
      <alignment horizontal="center" vertical="center"/>
    </xf>
    <xf numFmtId="0" fontId="6" fillId="46" borderId="1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0" fontId="8" fillId="60" borderId="1" xfId="7" applyFont="1" applyFill="1" applyBorder="1" applyAlignment="1">
      <alignment horizontal="center" vertical="center"/>
    </xf>
    <xf numFmtId="14" fontId="38" fillId="29" borderId="14" xfId="10" applyNumberFormat="1" applyFont="1" applyFill="1" applyBorder="1" applyAlignment="1">
      <alignment horizontal="center" vertical="center" wrapText="1"/>
    </xf>
    <xf numFmtId="164" fontId="8" fillId="29" borderId="48" xfId="1" applyNumberFormat="1" applyFont="1" applyFill="1" applyBorder="1" applyAlignment="1">
      <alignment horizontal="center" vertical="center"/>
    </xf>
    <xf numFmtId="164" fontId="9" fillId="8" borderId="48" xfId="1" applyNumberFormat="1" applyFont="1" applyFill="1" applyBorder="1" applyAlignment="1">
      <alignment horizontal="center" vertical="center"/>
    </xf>
    <xf numFmtId="164" fontId="8" fillId="29" borderId="46" xfId="1" applyNumberFormat="1" applyFont="1" applyFill="1" applyBorder="1" applyAlignment="1">
      <alignment horizontal="center" vertical="center"/>
    </xf>
    <xf numFmtId="14" fontId="8" fillId="30" borderId="46" xfId="0" applyNumberFormat="1" applyFont="1" applyFill="1" applyBorder="1" applyAlignment="1">
      <alignment horizontal="center" vertical="center"/>
    </xf>
    <xf numFmtId="0" fontId="0" fillId="21" borderId="15" xfId="0" applyFont="1" applyFill="1" applyBorder="1" applyAlignment="1">
      <alignment horizontal="left" vertical="top" wrapText="1"/>
    </xf>
    <xf numFmtId="0" fontId="41" fillId="21" borderId="15" xfId="0" applyFont="1" applyFill="1" applyBorder="1" applyAlignment="1">
      <alignment horizontal="center" vertical="center" wrapText="1"/>
    </xf>
    <xf numFmtId="0" fontId="22" fillId="36" borderId="24" xfId="0" applyFont="1" applyFill="1" applyBorder="1" applyAlignment="1">
      <alignment horizontal="center" vertical="center" wrapText="1"/>
    </xf>
    <xf numFmtId="0" fontId="22" fillId="36" borderId="4" xfId="0" applyFont="1" applyFill="1" applyBorder="1" applyAlignment="1">
      <alignment horizontal="center" vertical="center" wrapText="1"/>
    </xf>
    <xf numFmtId="0" fontId="6" fillId="26" borderId="0" xfId="0" applyFont="1" applyFill="1" applyAlignment="1">
      <alignment horizontal="center"/>
    </xf>
    <xf numFmtId="0" fontId="26" fillId="41" borderId="0" xfId="0" applyFont="1" applyFill="1" applyBorder="1" applyAlignment="1">
      <alignment horizontal="center" vertical="center"/>
    </xf>
    <xf numFmtId="0" fontId="25" fillId="32" borderId="24" xfId="9" applyFont="1" applyFill="1" applyBorder="1" applyAlignment="1">
      <alignment horizontal="center" vertical="center"/>
    </xf>
    <xf numFmtId="0" fontId="25" fillId="32" borderId="4" xfId="9" applyFont="1" applyFill="1" applyBorder="1" applyAlignment="1">
      <alignment horizontal="center" vertical="center"/>
    </xf>
    <xf numFmtId="0" fontId="6" fillId="40" borderId="24" xfId="0" applyFont="1" applyFill="1" applyBorder="1" applyAlignment="1">
      <alignment horizontal="center" vertical="center" wrapText="1"/>
    </xf>
    <xf numFmtId="0" fontId="6" fillId="40" borderId="4" xfId="0" applyFont="1" applyFill="1" applyBorder="1" applyAlignment="1">
      <alignment horizontal="center" vertical="center" wrapText="1"/>
    </xf>
    <xf numFmtId="0" fontId="25" fillId="49" borderId="24" xfId="9" applyFont="1" applyFill="1" applyBorder="1" applyAlignment="1">
      <alignment horizontal="center" vertical="center"/>
    </xf>
    <xf numFmtId="0" fontId="25" fillId="49" borderId="4" xfId="9" applyFont="1" applyFill="1" applyBorder="1" applyAlignment="1">
      <alignment horizontal="center" vertical="center"/>
    </xf>
    <xf numFmtId="0" fontId="25" fillId="46" borderId="24" xfId="9" applyFont="1" applyFill="1" applyBorder="1" applyAlignment="1">
      <alignment horizontal="center" vertical="center"/>
    </xf>
    <xf numFmtId="0" fontId="25" fillId="46" borderId="4" xfId="9" applyFont="1" applyFill="1" applyBorder="1" applyAlignment="1">
      <alignment horizontal="center" vertical="center"/>
    </xf>
    <xf numFmtId="0" fontId="25" fillId="48" borderId="24" xfId="9" applyFont="1" applyFill="1" applyBorder="1" applyAlignment="1">
      <alignment horizontal="center" vertical="center"/>
    </xf>
    <xf numFmtId="0" fontId="25" fillId="48" borderId="4" xfId="9" applyFont="1" applyFill="1" applyBorder="1" applyAlignment="1">
      <alignment horizontal="center" vertical="center"/>
    </xf>
    <xf numFmtId="0" fontId="25" fillId="35" borderId="24" xfId="9" applyFont="1" applyFill="1" applyBorder="1" applyAlignment="1">
      <alignment horizontal="center" vertical="center"/>
    </xf>
    <xf numFmtId="0" fontId="25" fillId="35" borderId="4" xfId="9" applyFont="1" applyFill="1" applyBorder="1" applyAlignment="1">
      <alignment horizontal="center" vertical="center"/>
    </xf>
    <xf numFmtId="0" fontId="33" fillId="35" borderId="7" xfId="7" applyFont="1" applyFill="1" applyBorder="1" applyAlignment="1">
      <alignment horizontal="center" vertical="center" wrapText="1"/>
    </xf>
    <xf numFmtId="1" fontId="5" fillId="35" borderId="7" xfId="7" applyNumberFormat="1" applyFont="1" applyFill="1" applyBorder="1" applyAlignment="1">
      <alignment horizontal="center" vertical="center" wrapText="1"/>
    </xf>
    <xf numFmtId="2" fontId="0" fillId="0" borderId="0" xfId="0" applyNumberFormat="1"/>
    <xf numFmtId="0" fontId="0" fillId="0" borderId="49" xfId="0" applyBorder="1" applyAlignment="1">
      <alignment horizontal="center"/>
    </xf>
    <xf numFmtId="2" fontId="0" fillId="0" borderId="49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2" fontId="0" fillId="0" borderId="15" xfId="0" applyNumberFormat="1" applyBorder="1" applyAlignment="1">
      <alignment horizontal="center"/>
    </xf>
  </cellXfs>
  <cellStyles count="22">
    <cellStyle name="40 % - Accent2" xfId="6" builtinId="35"/>
    <cellStyle name="60 % - Accent1" xfId="5" builtinId="32"/>
    <cellStyle name="60 % - Accent2" xfId="7" builtinId="36"/>
    <cellStyle name="60 % - Accent3" xfId="8" builtinId="40"/>
    <cellStyle name="Excel Built-in RowLevel_0" xfId="16"/>
    <cellStyle name="Excel_BuiltIn_RowLevel_1" xfId="18"/>
    <cellStyle name="Milliers" xfId="1" builtinId="3"/>
    <cellStyle name="Milliers 2" xfId="11"/>
    <cellStyle name="Milliers 3" xfId="20"/>
    <cellStyle name="Neutre" xfId="4" builtinId="28"/>
    <cellStyle name="NiveauLigne_8" xfId="17"/>
    <cellStyle name="Normal" xfId="0" builtinId="0"/>
    <cellStyle name="Normal 2" xfId="10"/>
    <cellStyle name="Normal 2 2" xfId="21"/>
    <cellStyle name="Normal 3" xfId="13"/>
    <cellStyle name="Normal 4" xfId="14"/>
    <cellStyle name="Normal 5" xfId="19"/>
    <cellStyle name="Normal_Liste programmation logts PCA NBL v2014" xfId="9"/>
    <cellStyle name="Normal_Prévisionnel HONO PAC 2012 V4 fev 2012" xfId="12"/>
    <cellStyle name="Pourcentage" xfId="2" builtinId="5"/>
    <cellStyle name="Pourcentage 2" xfId="15"/>
    <cellStyle name="Satisfaisant" xfId="3" builtinId="26"/>
  </cellStyles>
  <dxfs count="69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vertical="center" textRotation="0" indent="0" justifyLastLine="0" shrinkToFit="0" readingOrder="0"/>
    </dxf>
    <dxf>
      <numFmt numFmtId="166" formatCode="_-* #,##0\ _€_-;\-* #,##0\ _€_-;_-* &quot;-&quot;??\ _€_-;_-@_-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5" formatCode="_-* #,##0.00\ _€_-;\-* #,##0.00\ _€_-;_-* &quot;-&quot;??\ _€_-;_-@_-"/>
    </dxf>
  </dxfs>
  <tableStyles count="0" defaultTableStyle="TableStyleMedium2" defaultPivotStyle="PivotStyleLight16"/>
  <colors>
    <mruColors>
      <color rgb="FFFFFF99"/>
      <color rgb="FF0099FF"/>
      <color rgb="FF08E61D"/>
      <color rgb="FFFF0066"/>
      <color rgb="FFFF5050"/>
      <color rgb="FF006600"/>
      <color rgb="FFDA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Mises en chantier -</a:t>
            </a:r>
            <a:r>
              <a:rPr lang="fr-FR" baseline="0"/>
              <a:t> Livraisons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SYNTHESE!$B$3</c:f>
              <c:strCache>
                <c:ptCount val="1"/>
                <c:pt idx="0">
                  <c:v>Mises en chantier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SYNTHESE!$A$4:$A$13</c:f>
              <c:numCache>
                <c:formatCode>General</c:formatCode>
                <c:ptCount val="10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</c:numCache>
            </c:numRef>
          </c:cat>
          <c:val>
            <c:numRef>
              <c:f>SYNTHESE!$B$4:$B$13</c:f>
              <c:numCache>
                <c:formatCode>General</c:formatCode>
                <c:ptCount val="10"/>
                <c:pt idx="0">
                  <c:v>127</c:v>
                </c:pt>
                <c:pt idx="1">
                  <c:v>64</c:v>
                </c:pt>
                <c:pt idx="2">
                  <c:v>400</c:v>
                </c:pt>
                <c:pt idx="3">
                  <c:v>278</c:v>
                </c:pt>
                <c:pt idx="4">
                  <c:v>222</c:v>
                </c:pt>
                <c:pt idx="5">
                  <c:v>48</c:v>
                </c:pt>
                <c:pt idx="6">
                  <c:v>481</c:v>
                </c:pt>
                <c:pt idx="7">
                  <c:v>462</c:v>
                </c:pt>
                <c:pt idx="8">
                  <c:v>570</c:v>
                </c:pt>
                <c:pt idx="9">
                  <c:v>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F3-425B-B26D-BA9A8CC9981D}"/>
            </c:ext>
          </c:extLst>
        </c:ser>
        <c:ser>
          <c:idx val="2"/>
          <c:order val="2"/>
          <c:tx>
            <c:strRef>
              <c:f>SYNTHESE!$F$3</c:f>
              <c:strCache>
                <c:ptCount val="1"/>
                <c:pt idx="0">
                  <c:v>Livraisons</c:v>
                </c:pt>
              </c:strCache>
            </c:strRef>
          </c:tx>
          <c:spPr>
            <a:solidFill>
              <a:schemeClr val="accent2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SYNTHESE!$A$4:$A$13</c:f>
              <c:numCache>
                <c:formatCode>General</c:formatCode>
                <c:ptCount val="10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</c:numCache>
            </c:numRef>
          </c:cat>
          <c:val>
            <c:numRef>
              <c:f>SYNTHESE!$F$4:$F$13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70</c:v>
                </c:pt>
                <c:pt idx="3">
                  <c:v>226</c:v>
                </c:pt>
                <c:pt idx="4">
                  <c:v>181</c:v>
                </c:pt>
                <c:pt idx="5">
                  <c:v>244</c:v>
                </c:pt>
                <c:pt idx="6">
                  <c:v>336</c:v>
                </c:pt>
                <c:pt idx="7">
                  <c:v>180</c:v>
                </c:pt>
                <c:pt idx="8">
                  <c:v>718</c:v>
                </c:pt>
                <c:pt idx="9">
                  <c:v>356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6E-4645-BC6A-C9A3CB7F86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-197678864"/>
        <c:axId val="-2115287104"/>
      </c:barChart>
      <c:lineChart>
        <c:grouping val="standard"/>
        <c:varyColors val="0"/>
        <c:ser>
          <c:idx val="1"/>
          <c:order val="1"/>
          <c:tx>
            <c:strRef>
              <c:f>SYNTHESE!$D$3</c:f>
              <c:strCache>
                <c:ptCount val="1"/>
                <c:pt idx="0">
                  <c:v>Avancement 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numRef>
              <c:f>SYNTHESE!$A$4:$A$13</c:f>
              <c:numCache>
                <c:formatCode>General</c:formatCode>
                <c:ptCount val="10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</c:numCache>
            </c:numRef>
          </c:cat>
          <c:val>
            <c:numRef>
              <c:f>SYNTHESE!$D$4:$D$13</c:f>
              <c:numCache>
                <c:formatCode>General</c:formatCode>
                <c:ptCount val="10"/>
                <c:pt idx="0">
                  <c:v>127</c:v>
                </c:pt>
                <c:pt idx="1">
                  <c:v>64</c:v>
                </c:pt>
                <c:pt idx="2">
                  <c:v>400</c:v>
                </c:pt>
                <c:pt idx="3">
                  <c:v>278</c:v>
                </c:pt>
                <c:pt idx="4">
                  <c:v>222</c:v>
                </c:pt>
                <c:pt idx="5">
                  <c:v>48</c:v>
                </c:pt>
                <c:pt idx="6">
                  <c:v>481</c:v>
                </c:pt>
                <c:pt idx="7">
                  <c:v>462</c:v>
                </c:pt>
                <c:pt idx="8">
                  <c:v>79</c:v>
                </c:pt>
                <c:pt idx="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9F3-425B-B26D-BA9A8CC9981D}"/>
            </c:ext>
          </c:extLst>
        </c:ser>
        <c:ser>
          <c:idx val="3"/>
          <c:order val="3"/>
          <c:tx>
            <c:strRef>
              <c:f>SYNTHESE!$H$3</c:f>
              <c:strCache>
                <c:ptCount val="1"/>
                <c:pt idx="0">
                  <c:v>Avancement </c:v>
                </c:pt>
              </c:strCache>
            </c:strRef>
          </c:tx>
          <c:spPr>
            <a:ln w="28575" cap="rnd">
              <a:solidFill>
                <a:schemeClr val="accent2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SYNTHESE!$A$4:$A$13</c:f>
              <c:numCache>
                <c:formatCode>General</c:formatCode>
                <c:ptCount val="10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</c:numCache>
            </c:numRef>
          </c:cat>
          <c:val>
            <c:numRef>
              <c:f>SYNTHESE!$H$4:$H$13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70</c:v>
                </c:pt>
                <c:pt idx="3">
                  <c:v>226</c:v>
                </c:pt>
                <c:pt idx="4">
                  <c:v>181</c:v>
                </c:pt>
                <c:pt idx="5">
                  <c:v>244</c:v>
                </c:pt>
                <c:pt idx="6">
                  <c:v>336</c:v>
                </c:pt>
                <c:pt idx="7">
                  <c:v>180</c:v>
                </c:pt>
                <c:pt idx="8">
                  <c:v>153</c:v>
                </c:pt>
                <c:pt idx="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6E-4645-BC6A-C9A3CB7F86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97678864"/>
        <c:axId val="-2115287104"/>
      </c:lineChart>
      <c:catAx>
        <c:axId val="-19767886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Années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15287104"/>
        <c:crosses val="autoZero"/>
        <c:auto val="1"/>
        <c:lblAlgn val="ctr"/>
        <c:lblOffset val="100"/>
        <c:noMultiLvlLbl val="0"/>
      </c:catAx>
      <c:valAx>
        <c:axId val="-2115287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Logements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7678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Taille des opérations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965963659687233"/>
          <c:y val="0.39984818251693788"/>
          <c:w val="0.78068072680625533"/>
          <c:h val="0.4954957419840878"/>
        </c:manualLayout>
      </c:layout>
      <c:pie3DChart>
        <c:varyColors val="1"/>
        <c:ser>
          <c:idx val="1"/>
          <c:order val="1"/>
          <c:tx>
            <c:strRef>
              <c:f>SYNTHESE!$B$113</c:f>
              <c:strCache>
                <c:ptCount val="1"/>
                <c:pt idx="0">
                  <c:v>Logements</c:v>
                </c:pt>
              </c:strCache>
            </c:strRef>
          </c:tx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A-EB9C-4A47-9B4A-10913251C686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C-EB9C-4A47-9B4A-10913251C686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E-EB9C-4A47-9B4A-10913251C686}"/>
              </c:ext>
            </c:extLst>
          </c:dPt>
          <c:dPt>
            <c:idx val="3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0-EB9C-4A47-9B4A-10913251C686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A-EB9C-4A47-9B4A-10913251C686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C-EB9C-4A47-9B4A-10913251C686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E-EB9C-4A47-9B4A-10913251C686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10-EB9C-4A47-9B4A-10913251C686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SYNTHESE!$A$114:$A$117</c:f>
              <c:strCache>
                <c:ptCount val="4"/>
                <c:pt idx="0">
                  <c:v>0-19</c:v>
                </c:pt>
                <c:pt idx="1">
                  <c:v>20-39</c:v>
                </c:pt>
                <c:pt idx="2">
                  <c:v>40-59</c:v>
                </c:pt>
                <c:pt idx="3">
                  <c:v>&gt;60</c:v>
                </c:pt>
              </c:strCache>
            </c:strRef>
          </c:cat>
          <c:val>
            <c:numRef>
              <c:f>SYNTHESE!$B$114:$B$117</c:f>
              <c:numCache>
                <c:formatCode>#,##0</c:formatCode>
                <c:ptCount val="4"/>
                <c:pt idx="0">
                  <c:v>372</c:v>
                </c:pt>
                <c:pt idx="1">
                  <c:v>1267</c:v>
                </c:pt>
                <c:pt idx="2">
                  <c:v>987</c:v>
                </c:pt>
                <c:pt idx="3">
                  <c:v>2144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EB9C-4A47-9B4A-10913251C686}"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SYNTHESE!#REF!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/>
                    </a:solidFill>
                    <a:ln>
                      <a:noFill/>
                    </a:ln>
                    <a:effectLst>
                      <a:outerShdw blurRad="88900" sx="102000" sy="102000" algn="ctr" rotWithShape="0">
                        <a:prstClr val="black">
                          <a:alpha val="1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>
                      <a:bevelT w="127000" h="127000"/>
                      <a:bevelB w="127000" h="1270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1-EB9C-4A47-9B4A-10913251C68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5"/>
                    </a:solidFill>
                    <a:ln>
                      <a:noFill/>
                    </a:ln>
                    <a:effectLst>
                      <a:outerShdw blurRad="88900" sx="102000" sy="102000" algn="ctr" rotWithShape="0">
                        <a:prstClr val="black">
                          <a:alpha val="1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>
                      <a:bevelT w="127000" h="127000"/>
                      <a:bevelB w="127000" h="1270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3-EB9C-4A47-9B4A-10913251C686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4"/>
                    </a:solidFill>
                    <a:ln>
                      <a:noFill/>
                    </a:ln>
                    <a:effectLst>
                      <a:outerShdw blurRad="88900" sx="102000" sy="102000" algn="ctr" rotWithShape="0">
                        <a:prstClr val="black">
                          <a:alpha val="1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>
                      <a:bevelT w="127000" h="127000"/>
                      <a:bevelB w="127000" h="1270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5-EB9C-4A47-9B4A-10913251C686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88900" sx="102000" sy="102000" algn="ctr" rotWithShape="0">
                        <a:prstClr val="black">
                          <a:alpha val="1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>
                      <a:bevelT w="127000" h="127000"/>
                      <a:bevelB w="127000" h="1270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7-EB9C-4A47-9B4A-10913251C686}"/>
                    </c:ext>
                  </c:extLst>
                </c:dPt>
                <c:dLbls>
                  <c:dLbl>
                    <c:idx val="0"/>
                    <c:layout>
                      <c:manualLayout>
                        <c:x val="2.5723472668810133E-2"/>
                        <c:y val="-8.0808132225010931E-3"/>
                      </c:manualLayout>
                    </c:layout>
                    <c:spPr>
                      <a:noFill/>
                      <a:ln>
                        <a:noFill/>
                      </a:ln>
                      <a:effectLst/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000" b="1" i="0" u="none" strike="noStrike" kern="1200" spc="0" baseline="0">
                            <a:solidFill>
                              <a:schemeClr val="accent6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bestFit"/>
                    <c:showLegendKey val="0"/>
                    <c:showVal val="0"/>
                    <c:showCatName val="1"/>
                    <c:showSerName val="0"/>
                    <c:showPercent val="1"/>
                    <c:showBubbleSize val="0"/>
                    <c:extLst>
                      <c:ext uri="{CE6537A1-D6FC-4f65-9D91-7224C49458BB}"/>
                      <c:ext xmlns:c16="http://schemas.microsoft.com/office/drawing/2014/chart" uri="{C3380CC4-5D6E-409C-BE32-E72D297353CC}">
                        <c16:uniqueId val="{00000001-EB9C-4A47-9B4A-10913251C686}"/>
                      </c:ext>
                    </c:extLst>
                  </c:dLbl>
                  <c:dLbl>
                    <c:idx val="1"/>
                    <c:layout>
                      <c:manualLayout>
                        <c:x val="-0.20578778135048234"/>
                        <c:y val="0"/>
                      </c:manualLayout>
                    </c:layout>
                    <c:spPr>
                      <a:noFill/>
                      <a:ln>
                        <a:noFill/>
                      </a:ln>
                      <a:effectLst/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000" b="1" i="0" u="none" strike="noStrike" kern="1200" spc="0" baseline="0">
                            <a:solidFill>
                              <a:schemeClr val="accent5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bestFit"/>
                    <c:showLegendKey val="0"/>
                    <c:showVal val="0"/>
                    <c:showCatName val="1"/>
                    <c:showSerName val="0"/>
                    <c:showPercent val="1"/>
                    <c:showBubbleSize val="0"/>
                    <c:extLst>
                      <c:ext uri="{CE6537A1-D6FC-4f65-9D91-7224C49458BB}"/>
                      <c:ext xmlns:c16="http://schemas.microsoft.com/office/drawing/2014/chart" uri="{C3380CC4-5D6E-409C-BE32-E72D297353CC}">
                        <c16:uniqueId val="{00000003-EB9C-4A47-9B4A-10913251C686}"/>
                      </c:ext>
                    </c:extLst>
                  </c:dLbl>
                  <c:dLbl>
                    <c:idx val="2"/>
                    <c:spPr>
                      <a:noFill/>
                      <a:ln>
                        <a:noFill/>
                      </a:ln>
                      <a:effectLst/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000" b="1" i="0" u="none" strike="noStrike" kern="1200" spc="0" baseline="0">
                            <a:solidFill>
                              <a:schemeClr val="accent4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outEnd"/>
                    <c:showLegendKey val="0"/>
                    <c:showVal val="0"/>
                    <c:showCatName val="1"/>
                    <c:showSerName val="0"/>
                    <c:showPercent val="1"/>
                    <c:showBubbleSize val="0"/>
                    <c:extLst>
                      <c:ext xmlns:c16="http://schemas.microsoft.com/office/drawing/2014/chart" uri="{C3380CC4-5D6E-409C-BE32-E72D297353CC}">
                        <c16:uniqueId val="{00000005-EB9C-4A47-9B4A-10913251C686}"/>
                      </c:ext>
                    </c:extLst>
                  </c:dLbl>
                  <c:dLbl>
                    <c:idx val="3"/>
                    <c:spPr>
                      <a:noFill/>
                      <a:ln>
                        <a:noFill/>
                      </a:ln>
                      <a:effectLst/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000" b="1" i="0" u="none" strike="noStrike" kern="1200" spc="0" baseline="0">
                            <a:solidFill>
                              <a:schemeClr val="accent6">
                                <a:lumMod val="60000"/>
                              </a:schemeClr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outEnd"/>
                    <c:showLegendKey val="0"/>
                    <c:showVal val="0"/>
                    <c:showCatName val="1"/>
                    <c:showSerName val="0"/>
                    <c:showPercent val="1"/>
                    <c:showBubbleSize val="0"/>
                    <c:extLst>
                      <c:ext xmlns:c16="http://schemas.microsoft.com/office/drawing/2014/chart" uri="{C3380CC4-5D6E-409C-BE32-E72D297353CC}">
                        <c16:uniqueId val="{00000007-EB9C-4A47-9B4A-10913251C686}"/>
                      </c:ext>
                    </c:extLst>
                  </c:dLbl>
                  <c:spPr>
                    <a:noFill/>
                    <a:ln>
                      <a:noFill/>
                    </a:ln>
                    <a:effectLst/>
                  </c:spPr>
                  <c:dLblPos val="outEnd"/>
                  <c:showLegendKey val="0"/>
                  <c:showVal val="0"/>
                  <c:showCatName val="1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SYNTHESE!$A$114:$A$117</c15:sqref>
                        </c15:formulaRef>
                      </c:ext>
                    </c:extLst>
                    <c:strCache>
                      <c:ptCount val="4"/>
                      <c:pt idx="0">
                        <c:v>0-19</c:v>
                      </c:pt>
                      <c:pt idx="1">
                        <c:v>20-39</c:v>
                      </c:pt>
                      <c:pt idx="2">
                        <c:v>40-59</c:v>
                      </c:pt>
                      <c:pt idx="3">
                        <c:v>&gt;60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SYNTHESE!#REF!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8-EB9C-4A47-9B4A-10913251C686}"/>
                  </c:ext>
                </c:extLst>
              </c15:ser>
            </c15:filteredPieSeries>
          </c:ext>
        </c:extLst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Foncier € / lgt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SYNTHESE!$B$121</c:f>
              <c:strCache>
                <c:ptCount val="1"/>
                <c:pt idx="0">
                  <c:v>€ / lgt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xVal>
            <c:numRef>
              <c:f>SYNTHESE!$A$122:$A$131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xVal>
          <c:yVal>
            <c:numRef>
              <c:f>SYNTHESE!$B$122:$B$131</c:f>
              <c:numCache>
                <c:formatCode>#,##0</c:formatCode>
                <c:ptCount val="10"/>
                <c:pt idx="0">
                  <c:v>22486.427017543861</c:v>
                </c:pt>
                <c:pt idx="1">
                  <c:v>20083.822761194031</c:v>
                </c:pt>
                <c:pt idx="2">
                  <c:v>13425.0975</c:v>
                </c:pt>
                <c:pt idx="3">
                  <c:v>13305.622828784119</c:v>
                </c:pt>
                <c:pt idx="4">
                  <c:v>16551.254335260117</c:v>
                </c:pt>
                <c:pt idx="5">
                  <c:v>13379.85576923077</c:v>
                </c:pt>
                <c:pt idx="6">
                  <c:v>11687.575091575092</c:v>
                </c:pt>
                <c:pt idx="7">
                  <c:v>7730.4939385820398</c:v>
                </c:pt>
                <c:pt idx="8">
                  <c:v>8034.72</c:v>
                </c:pt>
                <c:pt idx="9">
                  <c:v>12840.76923076923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104-4F2C-95ED-82F3AA11BD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42573456"/>
        <c:axId val="-1842565840"/>
      </c:scatterChart>
      <c:valAx>
        <c:axId val="-18425734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65840"/>
        <c:crosses val="autoZero"/>
        <c:crossBetween val="midCat"/>
      </c:valAx>
      <c:valAx>
        <c:axId val="-1842565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7345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rgbClr val="FF0066"/>
                </a:solidFill>
              </a:rPr>
              <a:t>Evolution LBU</a:t>
            </a:r>
            <a:r>
              <a:rPr lang="fr-FR" baseline="0">
                <a:solidFill>
                  <a:srgbClr val="FF0066"/>
                </a:solidFill>
              </a:rPr>
              <a:t> / logement</a:t>
            </a:r>
            <a:endParaRPr lang="fr-FR">
              <a:solidFill>
                <a:srgbClr val="FF0066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FF0066"/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SYNTHESE!$B$159:$K$159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SYNTHESE!$B$163:$K$163</c:f>
              <c:numCache>
                <c:formatCode>#,##0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F17-42EB-B5E1-18FA05B1BA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-1842562576"/>
        <c:axId val="-1842566928"/>
      </c:barChart>
      <c:scatterChart>
        <c:scatterStyle val="lineMarker"/>
        <c:varyColors val="0"/>
        <c:ser>
          <c:idx val="1"/>
          <c:order val="1"/>
          <c:tx>
            <c:v>Moyenne</c:v>
          </c:tx>
          <c:spPr>
            <a:ln w="2540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errBars>
            <c:errDir val="x"/>
            <c:errBarType val="plus"/>
            <c:errValType val="cust"/>
            <c:noEndCap val="1"/>
            <c:plus>
              <c:numRef>
                <c:f>SYNTHESE!$M$163</c:f>
                <c:numCache>
                  <c:formatCode>General</c:formatCode>
                  <c:ptCount val="1"/>
                  <c:pt idx="0">
                    <c:v>9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0</c:v>
                </c:pt>
              </c:numLit>
            </c:minus>
            <c:spPr>
              <a:noFill/>
              <a:ln w="31750">
                <a:solidFill>
                  <a:schemeClr val="tx1"/>
                </a:solidFill>
                <a:round/>
              </a:ln>
              <a:effectLst/>
            </c:spPr>
          </c:errBars>
          <c:errBars>
            <c:errDir val="y"/>
            <c:errBarType val="both"/>
            <c:errValType val="stdErr"/>
            <c:noEndCap val="0"/>
            <c:spPr>
              <a:noFill/>
              <a:ln w="9525">
                <a:solidFill>
                  <a:schemeClr val="tx2">
                    <a:lumMod val="75000"/>
                    <a:lumOff val="25000"/>
                  </a:schemeClr>
                </a:solidFill>
                <a:round/>
              </a:ln>
              <a:effectLst/>
            </c:spPr>
          </c:errBars>
          <c:yVal>
            <c:numRef>
              <c:f>SYNTHESE!$L$163</c:f>
              <c:numCache>
                <c:formatCode>#,##0</c:formatCode>
                <c:ptCount val="1"/>
                <c:pt idx="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CF17-42EB-B5E1-18FA05B1BA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42562576"/>
        <c:axId val="-1842566928"/>
      </c:scatterChart>
      <c:catAx>
        <c:axId val="-1842562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66928"/>
        <c:crosses val="autoZero"/>
        <c:auto val="1"/>
        <c:lblAlgn val="ctr"/>
        <c:lblOffset val="100"/>
        <c:noMultiLvlLbl val="0"/>
      </c:catAx>
      <c:valAx>
        <c:axId val="-1842566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62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PRIX DE REVIENT PAR LOGEMENT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SYNTHESE!$B$182</c:f>
              <c:strCache>
                <c:ptCount val="1"/>
                <c:pt idx="0">
                  <c:v>AU LOGEMENT</c:v>
                </c:pt>
              </c:strCache>
            </c:strRef>
          </c:tx>
          <c:spPr>
            <a:ln w="9525" cap="rnd">
              <a:solidFill>
                <a:schemeClr val="tx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5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tx1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marker>
          <c:xVal>
            <c:numRef>
              <c:f>SYNTHESE!$A$186:$A$191</c:f>
              <c:numCache>
                <c:formatCode>General</c:formatCode>
                <c:ptCount val="6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</c:numCache>
            </c:numRef>
          </c:xVal>
          <c:yVal>
            <c:numRef>
              <c:f>SYNTHESE!$B$186:$B$191</c:f>
              <c:numCache>
                <c:formatCode>#,##0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4D1-41CD-9531-A3091A28BC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42567472"/>
        <c:axId val="-1842565296"/>
      </c:scatterChart>
      <c:valAx>
        <c:axId val="-18425674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65296"/>
        <c:crosses val="autoZero"/>
        <c:crossBetween val="midCat"/>
      </c:valAx>
      <c:valAx>
        <c:axId val="-1842565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674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PRIX DE REVIENT AU M² DE</a:t>
            </a:r>
            <a:r>
              <a:rPr lang="fr-FR" baseline="0"/>
              <a:t> SF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SYNTHESE!$D$182</c:f>
              <c:strCache>
                <c:ptCount val="1"/>
                <c:pt idx="0">
                  <c:v>AU M² DE SF</c:v>
                </c:pt>
              </c:strCache>
            </c:strRef>
          </c:tx>
          <c:spPr>
            <a:ln w="9525" cap="rnd">
              <a:solidFill>
                <a:schemeClr val="tx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5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tx1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marker>
          <c:xVal>
            <c:numRef>
              <c:f>SYNTHESE!$A$186:$A$191</c:f>
              <c:numCache>
                <c:formatCode>General</c:formatCode>
                <c:ptCount val="6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</c:numCache>
            </c:numRef>
          </c:xVal>
          <c:yVal>
            <c:numRef>
              <c:f>SYNTHESE!$D$186:$D$191</c:f>
              <c:numCache>
                <c:formatCode>#,##0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2F0-4219-AC11-C8A41923DE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42568560"/>
        <c:axId val="-1842564752"/>
      </c:scatterChart>
      <c:valAx>
        <c:axId val="-18425685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64752"/>
        <c:crosses val="autoZero"/>
        <c:crossBetween val="midCat"/>
      </c:valAx>
      <c:valAx>
        <c:axId val="-1842564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685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Foncier €/m² terrain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1"/>
          <c:tx>
            <c:strRef>
              <c:f>SYNTHESE!$C$121</c:f>
              <c:strCache>
                <c:ptCount val="1"/>
                <c:pt idx="0">
                  <c:v>€/m² terrain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SYNTHESE!$A$122:$A$131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xVal>
          <c:yVal>
            <c:numRef>
              <c:f>SYNTHESE!$C$122:$C$131</c:f>
              <c:numCache>
                <c:formatCode>_-* #\ ##0\ _€_-;\-* #\ ##0\ _€_-;_-* "-"??\ _€_-;_-@_-</c:formatCode>
                <c:ptCount val="10"/>
                <c:pt idx="0">
                  <c:v>67.395432747923024</c:v>
                </c:pt>
                <c:pt idx="1">
                  <c:v>114.44260290865793</c:v>
                </c:pt>
                <c:pt idx="2">
                  <c:v>89.000541125989542</c:v>
                </c:pt>
                <c:pt idx="3">
                  <c:v>62.346417691788943</c:v>
                </c:pt>
                <c:pt idx="4">
                  <c:v>150.84643346328102</c:v>
                </c:pt>
                <c:pt idx="5">
                  <c:v>86.137299204556001</c:v>
                </c:pt>
                <c:pt idx="6">
                  <c:v>94.893766357363788</c:v>
                </c:pt>
                <c:pt idx="7">
                  <c:v>82.424226031016971</c:v>
                </c:pt>
                <c:pt idx="8">
                  <c:v>80.306316784182599</c:v>
                </c:pt>
                <c:pt idx="9">
                  <c:v>196.94431335535631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6F6-44B3-AF3A-8052485783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42564208"/>
        <c:axId val="-1842574000"/>
        <c:extLst>
          <c:ext xmlns:c15="http://schemas.microsoft.com/office/drawing/2012/chart" uri="{02D57815-91ED-43cb-92C2-25804820EDAC}">
            <c15:filteredScatte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SYNTHESE!$B$121</c15:sqref>
                        </c15:formulaRef>
                      </c:ext>
                    </c:extLst>
                    <c:strCache>
                      <c:ptCount val="1"/>
                      <c:pt idx="0">
                        <c:v>€ / lgt</c:v>
                      </c:pt>
                    </c:strCache>
                  </c:strRef>
                </c:tx>
                <c:spPr>
                  <a:ln w="19050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xVal>
                  <c:numRef>
                    <c:extLst>
                      <c:ext uri="{02D57815-91ED-43cb-92C2-25804820EDAC}">
                        <c15:formulaRef>
                          <c15:sqref>SYNTHESE!$A$122:$A$131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2010</c:v>
                      </c:pt>
                      <c:pt idx="1">
                        <c:v>2011</c:v>
                      </c:pt>
                      <c:pt idx="2">
                        <c:v>2012</c:v>
                      </c:pt>
                      <c:pt idx="3">
                        <c:v>2013</c:v>
                      </c:pt>
                      <c:pt idx="4">
                        <c:v>2014</c:v>
                      </c:pt>
                      <c:pt idx="5">
                        <c:v>2015</c:v>
                      </c:pt>
                      <c:pt idx="6">
                        <c:v>2016</c:v>
                      </c:pt>
                      <c:pt idx="7">
                        <c:v>2017</c:v>
                      </c:pt>
                      <c:pt idx="8">
                        <c:v>2018</c:v>
                      </c:pt>
                      <c:pt idx="9">
                        <c:v>2019</c:v>
                      </c:pt>
                    </c:numCache>
                  </c:numRef>
                </c:xVal>
                <c:yVal>
                  <c:numRef>
                    <c:extLst>
                      <c:ext uri="{02D57815-91ED-43cb-92C2-25804820EDAC}">
                        <c15:formulaRef>
                          <c15:sqref>SYNTHESE!$B$122:$B$131</c15:sqref>
                        </c15:formulaRef>
                      </c:ext>
                    </c:extLst>
                    <c:numCache>
                      <c:formatCode>#,##0</c:formatCode>
                      <c:ptCount val="10"/>
                      <c:pt idx="0">
                        <c:v>22486.427017543861</c:v>
                      </c:pt>
                      <c:pt idx="1">
                        <c:v>20083.822761194031</c:v>
                      </c:pt>
                      <c:pt idx="2">
                        <c:v>13425.0975</c:v>
                      </c:pt>
                      <c:pt idx="3">
                        <c:v>13305.622828784119</c:v>
                      </c:pt>
                      <c:pt idx="4">
                        <c:v>16551.254335260117</c:v>
                      </c:pt>
                      <c:pt idx="5">
                        <c:v>13379.85576923077</c:v>
                      </c:pt>
                      <c:pt idx="6">
                        <c:v>11687.575091575092</c:v>
                      </c:pt>
                      <c:pt idx="7">
                        <c:v>7730.4939385820398</c:v>
                      </c:pt>
                      <c:pt idx="8">
                        <c:v>8034.72</c:v>
                      </c:pt>
                      <c:pt idx="9">
                        <c:v>12840.76923076923</c:v>
                      </c:pt>
                    </c:numCache>
                  </c:numRef>
                </c:yVal>
                <c:smooth val="0"/>
                <c:extLst>
                  <c:ext xmlns:c16="http://schemas.microsoft.com/office/drawing/2014/chart" uri="{C3380CC4-5D6E-409C-BE32-E72D297353CC}">
                    <c16:uniqueId val="{00000001-26F6-44B3-AF3A-8052485783EF}"/>
                  </c:ext>
                </c:extLst>
              </c15:ser>
            </c15:filteredScatterSeries>
          </c:ext>
        </c:extLst>
      </c:scatterChart>
      <c:valAx>
        <c:axId val="-18425642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74000"/>
        <c:crosses val="autoZero"/>
        <c:crossBetween val="midCat"/>
      </c:valAx>
      <c:valAx>
        <c:axId val="-1842574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??\ _€_-;_-@_-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642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1" baseline="0">
                <a:effectLst/>
              </a:rPr>
              <a:t>Evolution de la répartition par bassin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 xmlns:c16="http://schemas.microsoft.com/office/drawing/2014/chart"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54C6-4EEC-B31E-EAFD3A4AF56B}"/>
            </c:ext>
          </c:extLst>
        </c:ser>
        <c:ser>
          <c:idx val="1"/>
          <c:order val="1"/>
          <c:spPr>
            <a:solidFill>
              <a:srgbClr val="00B0F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 xmlns:c16="http://schemas.microsoft.com/office/drawing/2014/chart"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54C6-4EEC-B31E-EAFD3A4AF56B}"/>
            </c:ext>
          </c:extLst>
        </c:ser>
        <c:ser>
          <c:idx val="2"/>
          <c:order val="2"/>
          <c:spPr>
            <a:solidFill>
              <a:srgbClr val="08E61D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 xmlns:c16="http://schemas.microsoft.com/office/drawing/2014/chart"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54C6-4EEC-B31E-EAFD3A4AF56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-1842576720"/>
        <c:axId val="-1842570192"/>
      </c:barChart>
      <c:catAx>
        <c:axId val="-1842576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70192"/>
        <c:crosses val="autoZero"/>
        <c:auto val="1"/>
        <c:lblAlgn val="ctr"/>
        <c:lblOffset val="100"/>
        <c:noMultiLvlLbl val="0"/>
      </c:catAx>
      <c:valAx>
        <c:axId val="-1842570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76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[Délai obtention prêt.xlsm]SYNTHESE!Tableau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</c:pivotFmts>
    <c:plotArea>
      <c:layout/>
      <c:areaChart>
        <c:grouping val="standard"/>
        <c:varyColors val="0"/>
        <c:ser>
          <c:idx val="0"/>
          <c:order val="0"/>
          <c:tx>
            <c:strRef>
              <c:f>SYNTHESE!$B$207</c:f>
              <c:strCache>
                <c:ptCount val="1"/>
                <c:pt idx="0">
                  <c:v>Somme de PRP TTC 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SYNTHESE!$A$208:$A$225</c:f>
              <c:strCache>
                <c:ptCount val="17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  <c:pt idx="10">
                  <c:v>2020</c:v>
                </c:pt>
                <c:pt idx="11">
                  <c:v>2021</c:v>
                </c:pt>
                <c:pt idx="12">
                  <c:v>non inscrit</c:v>
                </c:pt>
                <c:pt idx="13">
                  <c:v>(vide)</c:v>
                </c:pt>
                <c:pt idx="14">
                  <c:v>2022</c:v>
                </c:pt>
                <c:pt idx="15">
                  <c:v>abandon Mairie</c:v>
                </c:pt>
                <c:pt idx="16">
                  <c:v>abandon</c:v>
                </c:pt>
              </c:strCache>
            </c:strRef>
          </c:cat>
          <c:val>
            <c:numRef>
              <c:f>SYNTHESE!$B$208:$B$225</c:f>
              <c:numCache>
                <c:formatCode>_(* #,##0.00_);_(* \(#,##0.00\);_(* "-"??_);_(@_)</c:formatCode>
                <c:ptCount val="17"/>
                <c:pt idx="0">
                  <c:v>7486326</c:v>
                </c:pt>
                <c:pt idx="1">
                  <c:v>23896051.879999999</c:v>
                </c:pt>
                <c:pt idx="2">
                  <c:v>59951795.609999999</c:v>
                </c:pt>
                <c:pt idx="3">
                  <c:v>71331632.700000003</c:v>
                </c:pt>
                <c:pt idx="4">
                  <c:v>30021915.414999999</c:v>
                </c:pt>
                <c:pt idx="5">
                  <c:v>31963601.890000001</c:v>
                </c:pt>
                <c:pt idx="6">
                  <c:v>43984017.200000003</c:v>
                </c:pt>
                <c:pt idx="7">
                  <c:v>46878279.909999996</c:v>
                </c:pt>
                <c:pt idx="8">
                  <c:v>43115995.590000004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69A-4A9A-A007-063CDB8D7E1E}"/>
            </c:ext>
          </c:extLst>
        </c:ser>
        <c:ser>
          <c:idx val="1"/>
          <c:order val="1"/>
          <c:tx>
            <c:strRef>
              <c:f>SYNTHESE!$C$207</c:f>
              <c:strCache>
                <c:ptCount val="1"/>
                <c:pt idx="0">
                  <c:v>Somme de SF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SYNTHESE!$A$208:$A$225</c:f>
              <c:strCache>
                <c:ptCount val="17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  <c:pt idx="10">
                  <c:v>2020</c:v>
                </c:pt>
                <c:pt idx="11">
                  <c:v>2021</c:v>
                </c:pt>
                <c:pt idx="12">
                  <c:v>non inscrit</c:v>
                </c:pt>
                <c:pt idx="13">
                  <c:v>(vide)</c:v>
                </c:pt>
                <c:pt idx="14">
                  <c:v>2022</c:v>
                </c:pt>
                <c:pt idx="15">
                  <c:v>abandon Mairie</c:v>
                </c:pt>
                <c:pt idx="16">
                  <c:v>abandon</c:v>
                </c:pt>
              </c:strCache>
            </c:strRef>
          </c:cat>
          <c:val>
            <c:numRef>
              <c:f>SYNTHESE!$C$208:$C$225</c:f>
              <c:numCache>
                <c:formatCode>_(* #,##0.00_);_(* \(#,##0.00\);_(* "-"??_);_(@_)</c:formatCode>
                <c:ptCount val="17"/>
                <c:pt idx="0">
                  <c:v>4348.96</c:v>
                </c:pt>
                <c:pt idx="1">
                  <c:v>11732.91</c:v>
                </c:pt>
                <c:pt idx="2">
                  <c:v>29884.35</c:v>
                </c:pt>
                <c:pt idx="3">
                  <c:v>33832.069999999992</c:v>
                </c:pt>
                <c:pt idx="4">
                  <c:v>14606.800000000001</c:v>
                </c:pt>
                <c:pt idx="5">
                  <c:v>16427.300000000003</c:v>
                </c:pt>
                <c:pt idx="6">
                  <c:v>19291.957999999999</c:v>
                </c:pt>
                <c:pt idx="7">
                  <c:v>20824.510000000002</c:v>
                </c:pt>
                <c:pt idx="8">
                  <c:v>16233.4</c:v>
                </c:pt>
                <c:pt idx="9">
                  <c:v>15602.064999999999</c:v>
                </c:pt>
                <c:pt idx="10">
                  <c:v>2237</c:v>
                </c:pt>
                <c:pt idx="12">
                  <c:v>5270.34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69A-4A9A-A007-063CDB8D7E1E}"/>
            </c:ext>
          </c:extLst>
        </c:ser>
        <c:ser>
          <c:idx val="2"/>
          <c:order val="2"/>
          <c:tx>
            <c:strRef>
              <c:f>SYNTHESE!$D$207</c:f>
              <c:strCache>
                <c:ptCount val="1"/>
                <c:pt idx="0">
                  <c:v>Somme de N hors REHAB</c:v>
                </c:pt>
              </c:strCache>
            </c:strRef>
          </c:tx>
          <c:spPr>
            <a:solidFill>
              <a:schemeClr val="accent3"/>
            </a:solidFill>
            <a:ln w="25400">
              <a:noFill/>
            </a:ln>
            <a:effectLst/>
          </c:spPr>
          <c:cat>
            <c:strRef>
              <c:f>SYNTHESE!$A$208:$A$225</c:f>
              <c:strCache>
                <c:ptCount val="17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  <c:pt idx="10">
                  <c:v>2020</c:v>
                </c:pt>
                <c:pt idx="11">
                  <c:v>2021</c:v>
                </c:pt>
                <c:pt idx="12">
                  <c:v>non inscrit</c:v>
                </c:pt>
                <c:pt idx="13">
                  <c:v>(vide)</c:v>
                </c:pt>
                <c:pt idx="14">
                  <c:v>2022</c:v>
                </c:pt>
                <c:pt idx="15">
                  <c:v>abandon Mairie</c:v>
                </c:pt>
                <c:pt idx="16">
                  <c:v>abandon</c:v>
                </c:pt>
              </c:strCache>
            </c:strRef>
          </c:cat>
          <c:val>
            <c:numRef>
              <c:f>SYNTHESE!$D$208:$D$225</c:f>
              <c:numCache>
                <c:formatCode>_(* #,##0.00_);_(* \(#,##0.00\);_(* "-"??_);_(@_)</c:formatCode>
                <c:ptCount val="17"/>
                <c:pt idx="0">
                  <c:v>57</c:v>
                </c:pt>
                <c:pt idx="1">
                  <c:v>134</c:v>
                </c:pt>
                <c:pt idx="2">
                  <c:v>400</c:v>
                </c:pt>
                <c:pt idx="3">
                  <c:v>403</c:v>
                </c:pt>
                <c:pt idx="4">
                  <c:v>173</c:v>
                </c:pt>
                <c:pt idx="5">
                  <c:v>208</c:v>
                </c:pt>
                <c:pt idx="6">
                  <c:v>295</c:v>
                </c:pt>
                <c:pt idx="7">
                  <c:v>422</c:v>
                </c:pt>
                <c:pt idx="8">
                  <c:v>275</c:v>
                </c:pt>
                <c:pt idx="9">
                  <c:v>288</c:v>
                </c:pt>
                <c:pt idx="10">
                  <c:v>376</c:v>
                </c:pt>
                <c:pt idx="11">
                  <c:v>294</c:v>
                </c:pt>
                <c:pt idx="12">
                  <c:v>332</c:v>
                </c:pt>
                <c:pt idx="13">
                  <c:v>75</c:v>
                </c:pt>
                <c:pt idx="14">
                  <c:v>426</c:v>
                </c:pt>
                <c:pt idx="15">
                  <c:v>10</c:v>
                </c:pt>
                <c:pt idx="16">
                  <c:v>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69A-4A9A-A007-063CDB8D7E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42566384"/>
        <c:axId val="-1842570736"/>
      </c:areaChart>
      <c:catAx>
        <c:axId val="-18425663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70736"/>
        <c:crosses val="autoZero"/>
        <c:auto val="1"/>
        <c:lblAlgn val="ctr"/>
        <c:lblOffset val="100"/>
        <c:noMultiLvlLbl val="0"/>
      </c:catAx>
      <c:valAx>
        <c:axId val="-1842570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4256638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1"/>
          <c:order val="1"/>
          <c:tx>
            <c:strRef>
              <c:f>'Données initiales'!$C$181</c:f>
              <c:strCache>
                <c:ptCount val="1"/>
                <c:pt idx="0">
                  <c:v>DBA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initiales'!$D$181,'Données initiales'!$F$181,'Données initiales'!$H$181,'Données initiales'!$J$181,'Données initiales'!$L$181,'Données initiales'!$N$181,'Données initiales'!$P$181)</c:f>
              <c:extLst/>
            </c:numRef>
          </c:val>
          <c:extLst>
            <c:ext xmlns:c16="http://schemas.microsoft.com/office/drawing/2014/chart" uri="{C3380CC4-5D6E-409C-BE32-E72D297353CC}">
              <c16:uniqueId val="{0000065A-D6E4-4410-9DDB-6099E70C9B54}"/>
            </c:ext>
          </c:extLst>
        </c:ser>
        <c:ser>
          <c:idx val="2"/>
          <c:order val="2"/>
          <c:tx>
            <c:strRef>
              <c:f>'Données initiales'!$C$182</c:f>
              <c:strCache>
                <c:ptCount val="1"/>
                <c:pt idx="0">
                  <c:v>MMA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initiales'!$D$182,'Données initiales'!$F$182,'Données initiales'!$H$182,'Données initiales'!$J$182,'Données initiales'!$L$182,'Données initiales'!$N$182,'Données initiales'!$P$182)</c:f>
              <c:extLst/>
            </c:numRef>
          </c:val>
          <c:extLst>
            <c:ext xmlns:c16="http://schemas.microsoft.com/office/drawing/2014/chart" uri="{C3380CC4-5D6E-409C-BE32-E72D297353CC}">
              <c16:uniqueId val="{0000065B-D6E4-4410-9DDB-6099E70C9B54}"/>
            </c:ext>
          </c:extLst>
        </c:ser>
        <c:ser>
          <c:idx val="3"/>
          <c:order val="3"/>
          <c:tx>
            <c:strRef>
              <c:f>'Données initiales'!$C$183</c:f>
              <c:strCache>
                <c:ptCount val="1"/>
                <c:pt idx="0">
                  <c:v>DAM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initiales'!$D$183,'Données initiales'!$F$183,'Données initiales'!$H$183,'Données initiales'!$J$183,'Données initiales'!$L$183,'Données initiales'!$N$183,'Données initiales'!$P$183)</c:f>
              <c:extLst/>
            </c:numRef>
          </c:val>
          <c:extLst>
            <c:ext xmlns:c16="http://schemas.microsoft.com/office/drawing/2014/chart" uri="{C3380CC4-5D6E-409C-BE32-E72D297353CC}">
              <c16:uniqueId val="{0000065C-D6E4-4410-9DDB-6099E70C9B54}"/>
            </c:ext>
          </c:extLst>
        </c:ser>
        <c:ser>
          <c:idx val="4"/>
          <c:order val="4"/>
          <c:tx>
            <c:strRef>
              <c:f>'Données initiales'!$C$184</c:f>
              <c:strCache>
                <c:ptCount val="1"/>
                <c:pt idx="0">
                  <c:v>NLE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initiales'!$D$184,'Données initiales'!$F$184,'Données initiales'!$H$184,'Données initiales'!$J$184,'Données initiales'!$L$184,'Données initiales'!$N$184,'Données initiales'!$P$184)</c:f>
              <c:extLst/>
            </c:numRef>
          </c:val>
          <c:extLst>
            <c:ext xmlns:c16="http://schemas.microsoft.com/office/drawing/2014/chart" uri="{C3380CC4-5D6E-409C-BE32-E72D297353CC}">
              <c16:uniqueId val="{0000065D-D6E4-4410-9DDB-6099E70C9B54}"/>
            </c:ext>
          </c:extLst>
        </c:ser>
        <c:ser>
          <c:idx val="5"/>
          <c:order val="5"/>
          <c:tx>
            <c:strRef>
              <c:f>'Données initiales'!#REF!</c:f>
              <c:strCache>
                <c:ptCount val="1"/>
                <c:pt idx="0">
                  <c:v>#REF!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'Données initiales'!#REF!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65E-D6E4-4410-9DDB-6099E70C9B54}"/>
            </c:ext>
          </c:extLst>
        </c:ser>
        <c:ser>
          <c:idx val="6"/>
          <c:order val="6"/>
          <c:tx>
            <c:strRef>
              <c:f>'Données initiales'!$C$185</c:f>
              <c:strCache>
                <c:ptCount val="1"/>
                <c:pt idx="0">
                  <c:v>SRI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initiales'!$D$185,'Données initiales'!$F$185,'Données initiales'!$H$185,'Données initiales'!$J$185,'Données initiales'!$L$185,'Données initiales'!$N$185,'Données initiales'!$P$185)</c:f>
              <c:extLst/>
            </c:numRef>
          </c:val>
          <c:extLst>
            <c:ext xmlns:c16="http://schemas.microsoft.com/office/drawing/2014/chart" uri="{C3380CC4-5D6E-409C-BE32-E72D297353CC}">
              <c16:uniqueId val="{0000065F-D6E4-4410-9DDB-6099E70C9B54}"/>
            </c:ext>
          </c:extLst>
        </c:ser>
        <c:ser>
          <c:idx val="7"/>
          <c:order val="7"/>
          <c:tx>
            <c:strRef>
              <c:f>'Données initiales'!$C$186</c:f>
              <c:strCache>
                <c:ptCount val="1"/>
                <c:pt idx="0">
                  <c:v>VAF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initiales'!$D$186,'Données initiales'!$F$186,'Données initiales'!$H$186,'Données initiales'!$J$186,'Données initiales'!$L$186,'Données initiales'!$N$186,'Données initiales'!$P$186)</c:f>
              <c:extLst/>
            </c:numRef>
          </c:val>
          <c:extLst>
            <c:ext xmlns:c16="http://schemas.microsoft.com/office/drawing/2014/chart" uri="{C3380CC4-5D6E-409C-BE32-E72D297353CC}">
              <c16:uniqueId val="{00000660-D6E4-4410-9DDB-6099E70C9B54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initiales'!$C$180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B-E15D-4B04-A805-91B114C4A3B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124B-4672-8516-F6D36DBA427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D7B1-482E-B5D5-FCEA5E541D50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7CD8-4A60-A33F-1717A39483F8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D7B1-482E-B5D5-FCEA5E541D50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7975-431F-9A40-51ED49C53D54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D7B1-482E-B5D5-FCEA5E541D50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7CD8-4A60-A33F-1717A39483F8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D7B1-482E-B5D5-FCEA5E541D50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5DB5-4B66-A3C1-23364AA3A90E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D7B1-482E-B5D5-FCEA5E541D50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7CD8-4A60-A33F-1717A39483F8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7975-431F-9A40-51ED49C53D54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7CD8-4A60-A33F-1717A39483F8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124B-4672-8516-F6D36DBA427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7CD8-4A60-A33F-1717A39483F8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7975-431F-9A40-51ED49C53D54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5DB5-4B66-A3C1-23364AA3A90E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7975-431F-9A40-51ED49C53D54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967E-4869-AF23-D06D183DB131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7975-431F-9A40-51ED49C53D54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D8CA-4062-B9F1-ED55E0CBB8C4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967E-4869-AF23-D06D183DB131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5603-4EC2-86D9-B7F372B6410A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D8CA-4062-B9F1-ED55E0CBB8C4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6CAD-46DB-A625-73ECC388534F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5603-4EC2-86D9-B7F372B6410A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5DB5-4B66-A3C1-23364AA3A90E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124B-4672-8516-F6D36DBA427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5DB5-4B66-A3C1-23364AA3A90E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C46B-4F7B-A9F3-E53E8CB683E4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5DB5-4B66-A3C1-23364AA3A90E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47D9-4560-990E-76275056911A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C46B-4F7B-A9F3-E53E8CB683E4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0685-4E14-B5B6-7420081F0E1C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47D9-4560-990E-76275056911A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DB42-4AEF-88D0-E80D423E92EB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0685-4E14-B5B6-7420081F0E1C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6CAD-46DB-A625-73ECC388534F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DB42-4AEF-88D0-E80D423E92EB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124B-4672-8516-F6D36DBA427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6CAD-46DB-A625-73ECC388534F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124B-4672-8516-F6D36DBA427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6CAD-46DB-A625-73ECC388534F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E39-4229-977E-3A2A9C76E3EC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6E4-4410-9DDB-6099E70C9B54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F93-4217-9A8D-9E7F5C0BB36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E39-4229-977E-3A2A9C76E3EC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074F-4D0E-907E-B871CE50C3B5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F93-4217-9A8D-9E7F5C0BB36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13AB-435E-A413-7EDCBE83E228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2F93-4217-9A8D-9E7F5C0BB36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811A-4EB7-A8C2-812DBBBC1ADA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13AB-435E-A413-7EDCBE83E228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074F-4D0E-907E-B871CE50C3B5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13AB-435E-A413-7EDCBE83E228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1423-4DA3-9E91-2F178A59A57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74F-4D0E-907E-B871CE50C3B5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11A-4EB7-A8C2-812DBBBC1ADA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074F-4D0E-907E-B871CE50C3B5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2225-4C9F-A028-BFCF29F50215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11A-4EB7-A8C2-812DBBBC1ADA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1423-4DA3-9E91-2F178A59A57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811A-4EB7-A8C2-812DBBBC1ADA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4B05-4744-B084-8A778940EB76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1423-4DA3-9E91-2F178A59A57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225-4C9F-A028-BFCF29F50215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1423-4DA3-9E91-2F178A59A57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0696-490F-A601-4EC53AC22C61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225-4C9F-A028-BFCF29F50215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D2B1-49B0-951D-5C6432E8E6D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2225-4C9F-A028-BFCF29F50215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0696-490F-A601-4EC53AC22C61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4B05-4744-B084-8A778940EB76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0696-490F-A601-4EC53AC22C61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35F8-4924-B17C-F7A2C7FEFDB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0696-490F-A601-4EC53AC22C61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4B05-4744-B084-8A778940EB76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D2B1-49B0-951D-5C6432E8E6D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4B05-4744-B084-8A778940EB76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D80-4BE8-9C3A-7C74E33EDAFD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4B05-4744-B084-8A778940EB76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B27-4958-A52B-6B1CD3C230B3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D80-4BE8-9C3A-7C74E33EDAFD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E51-48B9-8927-834F803ADA54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B27-4958-A52B-6B1CD3C230B3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B5BE-42E0-A8A2-28161EA51E44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E51-48B9-8927-834F803ADA54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D2B1-49B0-951D-5C6432E8E6D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35F8-4924-B17C-F7A2C7FEFDB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D2B1-49B0-951D-5C6432E8E6D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32EE-4656-9908-669F7D52784B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D2B1-49B0-951D-5C6432E8E6D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D969-4DE6-85CC-286C2E5CFC56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32EE-4656-9908-669F7D52784B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35F8-4924-B17C-F7A2C7FEFDB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D969-4DE6-85CC-286C2E5CFC56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35F8-4924-B17C-F7A2C7FEFDB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D969-4DE6-85CC-286C2E5CFC56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35F8-4924-B17C-F7A2C7FEFDB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E61-4DFC-9A4E-E8DBF9060D7D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969-4DE6-85CC-286C2E5CFC56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ED1-4519-8FC7-F4304C9CA281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E61-4DFC-9A4E-E8DBF9060D7D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D51D-4B85-BFF0-87C635A98C36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ED1-4519-8FC7-F4304C9CA281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8B3-43DA-BCB4-57AAECC033ED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51D-4B85-BFF0-87C635A98C36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D84-4C26-9B54-09271C78AC7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8B3-43DA-BCB4-57AAECC033ED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F0A-4B2A-B600-77B2B70A823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D84-4C26-9B54-09271C78AC7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C31-4E40-BA0C-D07C6683472B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F0A-4B2A-B600-77B2B70A823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1D9-4BCD-B0C5-E422A51A624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C31-4E40-BA0C-D07C6683472B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B5BE-42E0-A8A2-28161EA51E44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1D9-4BCD-B0C5-E422A51A624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FBA-4069-8D00-08073E2C8915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81D9-4BCD-B0C5-E422A51A624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75F3-4DDB-BF4B-1A2743782A43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FBA-4069-8D00-08073E2C8915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B5BE-42E0-A8A2-28161EA51E44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8FBA-4069-8D00-08073E2C8915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75F3-4DDB-BF4B-1A2743782A43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644B-4C4F-8358-A58905D1EA61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75F3-4DDB-BF4B-1A2743782A43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0B49-4ADE-A0A9-79213F38D34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644B-4C4F-8358-A58905D1EA61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04DF-48DA-B3A0-2E7C250DD45E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B49-4ADE-A0A9-79213F38D34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B5BE-42E0-A8A2-28161EA51E44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4DF-48DA-B3A0-2E7C250DD45E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B5BE-42E0-A8A2-28161EA51E44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B5BE-42E0-A8A2-28161EA51E44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B5BE-42E0-A8A2-28161EA51E44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B5BE-42E0-A8A2-28161EA51E44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B5BE-42E0-A8A2-28161EA51E44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B5BE-42E0-A8A2-28161EA51E44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B5BE-42E0-A8A2-28161EA51E44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B5BE-42E0-A8A2-28161EA51E44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B5BE-42E0-A8A2-28161EA51E44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B5BE-42E0-A8A2-28161EA51E44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B5BE-42E0-A8A2-28161EA51E44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B5BE-42E0-A8A2-28161EA51E44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B5BE-42E0-A8A2-28161EA51E44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B5BE-42E0-A8A2-28161EA51E44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B5BE-42E0-A8A2-28161EA51E44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B5BE-42E0-A8A2-28161EA51E44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B5BE-42E0-A8A2-28161EA51E44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B5BE-42E0-A8A2-28161EA51E44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B5BE-42E0-A8A2-28161EA51E44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B5BE-42E0-A8A2-28161EA51E44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B5BE-42E0-A8A2-28161EA51E44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B5BE-42E0-A8A2-28161EA51E44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B5BE-42E0-A8A2-28161EA51E44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B5BE-42E0-A8A2-28161EA51E44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B5BE-42E0-A8A2-28161EA51E44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B5BE-42E0-A8A2-28161EA51E44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B5BE-42E0-A8A2-28161EA51E44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B5BE-42E0-A8A2-28161EA51E44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B5BE-42E0-A8A2-28161EA51E44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B5BE-42E0-A8A2-28161EA51E44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B5BE-42E0-A8A2-28161EA51E44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B5BE-42E0-A8A2-28161EA51E44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B5BE-42E0-A8A2-28161EA51E44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B5BE-42E0-A8A2-28161EA51E44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B5BE-42E0-A8A2-28161EA51E44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B5BE-42E0-A8A2-28161EA51E44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B5BE-42E0-A8A2-28161EA51E44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B5BE-42E0-A8A2-28161EA51E44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B5BE-42E0-A8A2-28161EA51E44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B5BE-42E0-A8A2-28161EA51E44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B5BE-42E0-A8A2-28161EA51E44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B5BE-42E0-A8A2-28161EA51E44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B5BE-42E0-A8A2-28161EA51E44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B5BE-42E0-A8A2-28161EA51E44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B5BE-42E0-A8A2-28161EA51E44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B5BE-42E0-A8A2-28161EA51E44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B5BE-42E0-A8A2-28161EA51E44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B5BE-42E0-A8A2-28161EA51E44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B5BE-42E0-A8A2-28161EA51E44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B5BE-42E0-A8A2-28161EA51E44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B5BE-42E0-A8A2-28161EA51E44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B5BE-42E0-A8A2-28161EA51E44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B5BE-42E0-A8A2-28161EA51E44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B5BE-42E0-A8A2-28161EA51E44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B5BE-42E0-A8A2-28161EA51E44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B5BE-42E0-A8A2-28161EA51E44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B5BE-42E0-A8A2-28161EA51E44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B5BE-42E0-A8A2-28161EA51E44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B5BE-42E0-A8A2-28161EA51E44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B5BE-42E0-A8A2-28161EA51E44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B5BE-42E0-A8A2-28161EA51E44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B5BE-42E0-A8A2-28161EA51E44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B5BE-42E0-A8A2-28161EA51E44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B5BE-42E0-A8A2-28161EA51E44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B5BE-42E0-A8A2-28161EA51E44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B5BE-42E0-A8A2-28161EA51E44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B5BE-42E0-A8A2-28161EA51E44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B5BE-42E0-A8A2-28161EA51E44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B5BE-42E0-A8A2-28161EA51E44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B5BE-42E0-A8A2-28161EA51E44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B5BE-42E0-A8A2-28161EA51E44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B5BE-42E0-A8A2-28161EA51E44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B5BE-42E0-A8A2-28161EA51E44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B5BE-42E0-A8A2-28161EA51E44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B5BE-42E0-A8A2-28161EA51E44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B5BE-42E0-A8A2-28161EA51E44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B5BE-42E0-A8A2-28161EA51E44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B5BE-42E0-A8A2-28161EA51E44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B5BE-42E0-A8A2-28161EA51E44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B5BE-42E0-A8A2-28161EA51E44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B5BE-42E0-A8A2-28161EA51E44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B5BE-42E0-A8A2-28161EA51E44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B5BE-42E0-A8A2-28161EA51E44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B5BE-42E0-A8A2-28161EA51E44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B5BE-42E0-A8A2-28161EA51E44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B5BE-42E0-A8A2-28161EA51E44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B5BE-42E0-A8A2-28161EA51E44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B5BE-42E0-A8A2-28161EA51E44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B5BE-42E0-A8A2-28161EA51E44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B5BE-42E0-A8A2-28161EA51E44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B5BE-42E0-A8A2-28161EA51E44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B5BE-42E0-A8A2-28161EA51E44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B5BE-42E0-A8A2-28161EA51E44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B5BE-42E0-A8A2-28161EA51E44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B5BE-42E0-A8A2-28161EA51E44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B5BE-42E0-A8A2-28161EA51E44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B5BE-42E0-A8A2-28161EA51E44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B5BE-42E0-A8A2-28161EA51E44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B5BE-42E0-A8A2-28161EA51E44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B5BE-42E0-A8A2-28161EA51E44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B5BE-42E0-A8A2-28161EA51E44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B5BE-42E0-A8A2-28161EA51E44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B5BE-42E0-A8A2-28161EA51E44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B5BE-42E0-A8A2-28161EA51E44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B5BE-42E0-A8A2-28161EA51E44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B5BE-42E0-A8A2-28161EA51E44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B5BE-42E0-A8A2-28161EA51E44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B5BE-42E0-A8A2-28161EA51E44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B5BE-42E0-A8A2-28161EA51E44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B5BE-42E0-A8A2-28161EA51E44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B5BE-42E0-A8A2-28161EA51E44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B5BE-42E0-A8A2-28161EA51E44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B5BE-42E0-A8A2-28161EA51E44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B5BE-42E0-A8A2-28161EA51E44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B5BE-42E0-A8A2-28161EA51E44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B5BE-42E0-A8A2-28161EA51E44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B5BE-42E0-A8A2-28161EA51E44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B5BE-42E0-A8A2-28161EA51E44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B5BE-42E0-A8A2-28161EA51E44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B5BE-42E0-A8A2-28161EA51E44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B5BE-42E0-A8A2-28161EA51E44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B5BE-42E0-A8A2-28161EA51E44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B5BE-42E0-A8A2-28161EA51E44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B5BE-42E0-A8A2-28161EA51E44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B5BE-42E0-A8A2-28161EA51E44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B5BE-42E0-A8A2-28161EA51E44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B5BE-42E0-A8A2-28161EA51E44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B5BE-42E0-A8A2-28161EA51E44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B5BE-42E0-A8A2-28161EA51E44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B5BE-42E0-A8A2-28161EA51E44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B5BE-42E0-A8A2-28161EA51E44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B5BE-42E0-A8A2-28161EA51E44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B5BE-42E0-A8A2-28161EA51E44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B5BE-42E0-A8A2-28161EA51E44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B5BE-42E0-A8A2-28161EA51E44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B5BE-42E0-A8A2-28161EA51E44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B5BE-42E0-A8A2-28161EA51E44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B5BE-42E0-A8A2-28161EA51E44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B5BE-42E0-A8A2-28161EA51E44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B5BE-42E0-A8A2-28161EA51E44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B5BE-42E0-A8A2-28161EA51E44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B5BE-42E0-A8A2-28161EA51E44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B5BE-42E0-A8A2-28161EA51E44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B5BE-42E0-A8A2-28161EA51E44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B5BE-42E0-A8A2-28161EA51E44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B5BE-42E0-A8A2-28161EA51E44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B5BE-42E0-A8A2-28161EA51E44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B5BE-42E0-A8A2-28161EA51E44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B5BE-42E0-A8A2-28161EA51E44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B5BE-42E0-A8A2-28161EA51E44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B5BE-42E0-A8A2-28161EA51E44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B5BE-42E0-A8A2-28161EA51E44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B5BE-42E0-A8A2-28161EA51E44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B5BE-42E0-A8A2-28161EA51E44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B5BE-42E0-A8A2-28161EA51E44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B5BE-42E0-A8A2-28161EA51E44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B5BE-42E0-A8A2-28161EA51E44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B5BE-42E0-A8A2-28161EA51E44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B5BE-42E0-A8A2-28161EA51E44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B5BE-42E0-A8A2-28161EA51E44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B5BE-42E0-A8A2-28161EA51E44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B5BE-42E0-A8A2-28161EA51E44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B5BE-42E0-A8A2-28161EA51E44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B5BE-42E0-A8A2-28161EA51E44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B5BE-42E0-A8A2-28161EA51E44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B5BE-42E0-A8A2-28161EA51E44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B5BE-42E0-A8A2-28161EA51E44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B5BE-42E0-A8A2-28161EA51E44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B5BE-42E0-A8A2-28161EA51E44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B5BE-42E0-A8A2-28161EA51E44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B5BE-42E0-A8A2-28161EA51E44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B5BE-42E0-A8A2-28161EA51E44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B5BE-42E0-A8A2-28161EA51E44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B5BE-42E0-A8A2-28161EA51E44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B5BE-42E0-A8A2-28161EA51E44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B5BE-42E0-A8A2-28161EA51E44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B5BE-42E0-A8A2-28161EA51E44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B5BE-42E0-A8A2-28161EA51E44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B5BE-42E0-A8A2-28161EA51E44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B5BE-42E0-A8A2-28161EA51E44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B5BE-42E0-A8A2-28161EA51E44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B5BE-42E0-A8A2-28161EA51E44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B5BE-42E0-A8A2-28161EA51E44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B5BE-42E0-A8A2-28161EA51E44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B5BE-42E0-A8A2-28161EA51E44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B5BE-42E0-A8A2-28161EA51E44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B5BE-42E0-A8A2-28161EA51E44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B5BE-42E0-A8A2-28161EA51E44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B5BE-42E0-A8A2-28161EA51E44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B5BE-42E0-A8A2-28161EA51E44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B5BE-42E0-A8A2-28161EA51E44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B5BE-42E0-A8A2-28161EA51E44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B5BE-42E0-A8A2-28161EA51E44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B5BE-42E0-A8A2-28161EA51E44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B5BE-42E0-A8A2-28161EA51E44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B5BE-42E0-A8A2-28161EA51E44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B5BE-42E0-A8A2-28161EA51E44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B5BE-42E0-A8A2-28161EA51E44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B5BE-42E0-A8A2-28161EA51E44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B5BE-42E0-A8A2-28161EA51E44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B5BE-42E0-A8A2-28161EA51E44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B5BE-42E0-A8A2-28161EA51E44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B5BE-42E0-A8A2-28161EA51E44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B5BE-42E0-A8A2-28161EA51E44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B5BE-42E0-A8A2-28161EA51E44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B5BE-42E0-A8A2-28161EA51E44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B5BE-42E0-A8A2-28161EA51E44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B5BE-42E0-A8A2-28161EA51E44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B5BE-42E0-A8A2-28161EA51E44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B5BE-42E0-A8A2-28161EA51E44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B5BE-42E0-A8A2-28161EA51E44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B5BE-42E0-A8A2-28161EA51E44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B5BE-42E0-A8A2-28161EA51E44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B5BE-42E0-A8A2-28161EA51E44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B5BE-42E0-A8A2-28161EA51E44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B5BE-42E0-A8A2-28161EA51E44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B5BE-42E0-A8A2-28161EA51E44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B5BE-42E0-A8A2-28161EA51E44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B5BE-42E0-A8A2-28161EA51E44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B5BE-42E0-A8A2-28161EA51E44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B5BE-42E0-A8A2-28161EA51E44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B5BE-42E0-A8A2-28161EA51E44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B5BE-42E0-A8A2-28161EA51E44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B5BE-42E0-A8A2-28161EA51E44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B5BE-42E0-A8A2-28161EA51E44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B5BE-42E0-A8A2-28161EA51E44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B5BE-42E0-A8A2-28161EA51E44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B5BE-42E0-A8A2-28161EA51E44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B5BE-42E0-A8A2-28161EA51E44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B5BE-42E0-A8A2-28161EA51E44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B5BE-42E0-A8A2-28161EA51E44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B5BE-42E0-A8A2-28161EA51E44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B5BE-42E0-A8A2-28161EA51E44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B5BE-42E0-A8A2-28161EA51E44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B5BE-42E0-A8A2-28161EA51E44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B5BE-42E0-A8A2-28161EA51E44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B5BE-42E0-A8A2-28161EA51E44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B5BE-42E0-A8A2-28161EA51E44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B5BE-42E0-A8A2-28161EA51E44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B5BE-42E0-A8A2-28161EA51E44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B5BE-42E0-A8A2-28161EA51E44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B5BE-42E0-A8A2-28161EA51E44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B5BE-42E0-A8A2-28161EA51E44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B5BE-42E0-A8A2-28161EA51E44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B5BE-42E0-A8A2-28161EA51E44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B5BE-42E0-A8A2-28161EA51E44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B5BE-42E0-A8A2-28161EA51E44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B5BE-42E0-A8A2-28161EA51E44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B5BE-42E0-A8A2-28161EA51E44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B5BE-42E0-A8A2-28161EA51E44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B5BE-42E0-A8A2-28161EA51E44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B5BE-42E0-A8A2-28161EA51E44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B5BE-42E0-A8A2-28161EA51E44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B5BE-42E0-A8A2-28161EA51E44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B5BE-42E0-A8A2-28161EA51E44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B5BE-42E0-A8A2-28161EA51E44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B5BE-42E0-A8A2-28161EA51E44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B5BE-42E0-A8A2-28161EA51E44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B5BE-42E0-A8A2-28161EA51E44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B5BE-42E0-A8A2-28161EA51E44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B5BE-42E0-A8A2-28161EA51E44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B5BE-42E0-A8A2-28161EA51E44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B5BE-42E0-A8A2-28161EA51E44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B5BE-42E0-A8A2-28161EA51E44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B5BE-42E0-A8A2-28161EA51E44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B5BE-42E0-A8A2-28161EA51E44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B5BE-42E0-A8A2-28161EA51E44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B5BE-42E0-A8A2-28161EA51E44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B5BE-42E0-A8A2-28161EA51E44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B5BE-42E0-A8A2-28161EA51E44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B5BE-42E0-A8A2-28161EA51E44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B5BE-42E0-A8A2-28161EA51E44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B5BE-42E0-A8A2-28161EA51E44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B5BE-42E0-A8A2-28161EA51E44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B5BE-42E0-A8A2-28161EA51E44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B5BE-42E0-A8A2-28161EA51E44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B5BE-42E0-A8A2-28161EA51E44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B5BE-42E0-A8A2-28161EA51E44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B5BE-42E0-A8A2-28161EA51E44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B5BE-42E0-A8A2-28161EA51E44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B5BE-42E0-A8A2-28161EA51E44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B5BE-42E0-A8A2-28161EA51E44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B5BE-42E0-A8A2-28161EA51E44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B5BE-42E0-A8A2-28161EA51E44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B5BE-42E0-A8A2-28161EA51E44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B5BE-42E0-A8A2-28161EA51E44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B5BE-42E0-A8A2-28161EA51E44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B5BE-42E0-A8A2-28161EA51E44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B5BE-42E0-A8A2-28161EA51E44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B5BE-42E0-A8A2-28161EA51E44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B5BE-42E0-A8A2-28161EA51E44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B5BE-42E0-A8A2-28161EA51E44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B5BE-42E0-A8A2-28161EA51E44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B5BE-42E0-A8A2-28161EA51E44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B5BE-42E0-A8A2-28161EA51E44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B5BE-42E0-A8A2-28161EA51E44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B5BE-42E0-A8A2-28161EA51E44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B5BE-42E0-A8A2-28161EA51E44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B5BE-42E0-A8A2-28161EA51E44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B5BE-42E0-A8A2-28161EA51E44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B5BE-42E0-A8A2-28161EA51E44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B5BE-42E0-A8A2-28161EA51E44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B5BE-42E0-A8A2-28161EA51E44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B5BE-42E0-A8A2-28161EA51E44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B5BE-42E0-A8A2-28161EA51E44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B5BE-42E0-A8A2-28161EA51E44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B5BE-42E0-A8A2-28161EA51E44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B5BE-42E0-A8A2-28161EA51E44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B5BE-42E0-A8A2-28161EA51E44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B5BE-42E0-A8A2-28161EA51E44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B5BE-42E0-A8A2-28161EA51E44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B5BE-42E0-A8A2-28161EA51E44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B5BE-42E0-A8A2-28161EA51E44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B5BE-42E0-A8A2-28161EA51E44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B5BE-42E0-A8A2-28161EA51E44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B5BE-42E0-A8A2-28161EA51E44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B5BE-42E0-A8A2-28161EA51E44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B5BE-42E0-A8A2-28161EA51E44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B5BE-42E0-A8A2-28161EA51E44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B5BE-42E0-A8A2-28161EA51E44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B5BE-42E0-A8A2-28161EA51E44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B5BE-42E0-A8A2-28161EA51E44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B5BE-42E0-A8A2-28161EA51E44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B5BE-42E0-A8A2-28161EA51E44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B5BE-42E0-A8A2-28161EA51E44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B5BE-42E0-A8A2-28161EA51E44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B5BE-42E0-A8A2-28161EA51E44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B5BE-42E0-A8A2-28161EA51E44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B5BE-42E0-A8A2-28161EA51E44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B5BE-42E0-A8A2-28161EA51E44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B5BE-42E0-A8A2-28161EA51E44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B5BE-42E0-A8A2-28161EA51E44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B5BE-42E0-A8A2-28161EA51E44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B5BE-42E0-A8A2-28161EA51E44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B5BE-42E0-A8A2-28161EA51E44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B5BE-42E0-A8A2-28161EA51E44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B5BE-42E0-A8A2-28161EA51E44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B5BE-42E0-A8A2-28161EA51E44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B5BE-42E0-A8A2-28161EA51E44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B5BE-42E0-A8A2-28161EA51E44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B5BE-42E0-A8A2-28161EA51E44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B5BE-42E0-A8A2-28161EA51E44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B5BE-42E0-A8A2-28161EA51E44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B5BE-42E0-A8A2-28161EA51E44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B5BE-42E0-A8A2-28161EA51E44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B5BE-42E0-A8A2-28161EA51E44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B5BE-42E0-A8A2-28161EA51E44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B5BE-42E0-A8A2-28161EA51E44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B5BE-42E0-A8A2-28161EA51E44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B5BE-42E0-A8A2-28161EA51E44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B5BE-42E0-A8A2-28161EA51E44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B5BE-42E0-A8A2-28161EA51E44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B5BE-42E0-A8A2-28161EA51E44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B5BE-42E0-A8A2-28161EA51E44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B5BE-42E0-A8A2-28161EA51E44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B5BE-42E0-A8A2-28161EA51E44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B5BE-42E0-A8A2-28161EA51E44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B5BE-42E0-A8A2-28161EA51E44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B5BE-42E0-A8A2-28161EA51E44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B5BE-42E0-A8A2-28161EA51E44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B5BE-42E0-A8A2-28161EA51E44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B5BE-42E0-A8A2-28161EA51E44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B5BE-42E0-A8A2-28161EA51E44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B5BE-42E0-A8A2-28161EA51E44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B5BE-42E0-A8A2-28161EA51E44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B5BE-42E0-A8A2-28161EA51E44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B5BE-42E0-A8A2-28161EA51E44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B5BE-42E0-A8A2-28161EA51E44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B5BE-42E0-A8A2-28161EA51E44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B5BE-42E0-A8A2-28161EA51E44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B5BE-42E0-A8A2-28161EA51E44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B5BE-42E0-A8A2-28161EA51E44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B5BE-42E0-A8A2-28161EA51E44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B5BE-42E0-A8A2-28161EA51E44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B5BE-42E0-A8A2-28161EA51E44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B5BE-42E0-A8A2-28161EA51E44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B5BE-42E0-A8A2-28161EA51E44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B5BE-42E0-A8A2-28161EA51E44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B5BE-42E0-A8A2-28161EA51E44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B5BE-42E0-A8A2-28161EA51E44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B5BE-42E0-A8A2-28161EA51E44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B5BE-42E0-A8A2-28161EA51E44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B5BE-42E0-A8A2-28161EA51E44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B5BE-42E0-A8A2-28161EA51E44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B5BE-42E0-A8A2-28161EA51E44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B5BE-42E0-A8A2-28161EA51E44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B5BE-42E0-A8A2-28161EA51E44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B5BE-42E0-A8A2-28161EA51E44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B5BE-42E0-A8A2-28161EA51E44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B5BE-42E0-A8A2-28161EA51E44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B5BE-42E0-A8A2-28161EA51E44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B5BE-42E0-A8A2-28161EA51E44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B5BE-42E0-A8A2-28161EA51E44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B5BE-42E0-A8A2-28161EA51E44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B5BE-42E0-A8A2-28161EA51E44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B5BE-42E0-A8A2-28161EA51E44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B5BE-42E0-A8A2-28161EA51E44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B5BE-42E0-A8A2-28161EA51E44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B5BE-42E0-A8A2-28161EA51E44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B5BE-42E0-A8A2-28161EA51E44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B5BE-42E0-A8A2-28161EA51E44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B5BE-42E0-A8A2-28161EA51E44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B5BE-42E0-A8A2-28161EA51E44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B5BE-42E0-A8A2-28161EA51E44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B5BE-42E0-A8A2-28161EA51E44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B5BE-42E0-A8A2-28161EA51E44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B5BE-42E0-A8A2-28161EA51E44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B5BE-42E0-A8A2-28161EA51E44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B5BE-42E0-A8A2-28161EA51E44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B5BE-42E0-A8A2-28161EA51E44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B5BE-42E0-A8A2-28161EA51E44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B5BE-42E0-A8A2-28161EA51E44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B5BE-42E0-A8A2-28161EA51E44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B5BE-42E0-A8A2-28161EA51E44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B5BE-42E0-A8A2-28161EA51E44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B5BE-42E0-A8A2-28161EA51E44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B5BE-42E0-A8A2-28161EA51E44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B5BE-42E0-A8A2-28161EA51E44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B5BE-42E0-A8A2-28161EA51E44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B5BE-42E0-A8A2-28161EA51E44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B5BE-42E0-A8A2-28161EA51E44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B5BE-42E0-A8A2-28161EA51E44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B5BE-42E0-A8A2-28161EA51E44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B5BE-42E0-A8A2-28161EA51E44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B5BE-42E0-A8A2-28161EA51E44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B5BE-42E0-A8A2-28161EA51E44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B5BE-42E0-A8A2-28161EA51E44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B5BE-42E0-A8A2-28161EA51E44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B5BE-42E0-A8A2-28161EA51E44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B5BE-42E0-A8A2-28161EA51E44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B5BE-42E0-A8A2-28161EA51E44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B5BE-42E0-A8A2-28161EA51E44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B5BE-42E0-A8A2-28161EA51E44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B5BE-42E0-A8A2-28161EA51E44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B5BE-42E0-A8A2-28161EA51E44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B5BE-42E0-A8A2-28161EA51E44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B5BE-42E0-A8A2-28161EA51E44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B5BE-42E0-A8A2-28161EA51E44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B5BE-42E0-A8A2-28161EA51E44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B5BE-42E0-A8A2-28161EA51E44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B5BE-42E0-A8A2-28161EA51E44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B5BE-42E0-A8A2-28161EA51E44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B5BE-42E0-A8A2-28161EA51E44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B5BE-42E0-A8A2-28161EA51E44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B5BE-42E0-A8A2-28161EA51E44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B5BE-42E0-A8A2-28161EA51E44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B5BE-42E0-A8A2-28161EA51E44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B5BE-42E0-A8A2-28161EA51E44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B5BE-42E0-A8A2-28161EA51E44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B5BE-42E0-A8A2-28161EA51E44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B5BE-42E0-A8A2-28161EA51E44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B5BE-42E0-A8A2-28161EA51E44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B5BE-42E0-A8A2-28161EA51E44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B5BE-42E0-A8A2-28161EA51E44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B5BE-42E0-A8A2-28161EA51E44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B5BE-42E0-A8A2-28161EA51E44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B5BE-42E0-A8A2-28161EA51E44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B5BE-42E0-A8A2-28161EA51E44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B5BE-42E0-A8A2-28161EA51E44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B5BE-42E0-A8A2-28161EA51E44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B5BE-42E0-A8A2-28161EA51E44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B5BE-42E0-A8A2-28161EA51E44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B5BE-42E0-A8A2-28161EA51E44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B5BE-42E0-A8A2-28161EA51E44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B5BE-42E0-A8A2-28161EA51E44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B5BE-42E0-A8A2-28161EA51E44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B5BE-42E0-A8A2-28161EA51E44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B5BE-42E0-A8A2-28161EA51E44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B5BE-42E0-A8A2-28161EA51E44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B5BE-42E0-A8A2-28161EA51E44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B5BE-42E0-A8A2-28161EA51E44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B5BE-42E0-A8A2-28161EA51E44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B5BE-42E0-A8A2-28161EA51E44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B5BE-42E0-A8A2-28161EA51E44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B5BE-42E0-A8A2-28161EA51E44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B5BE-42E0-A8A2-28161EA51E44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B5BE-42E0-A8A2-28161EA51E44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B5BE-42E0-A8A2-28161EA51E44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B5BE-42E0-A8A2-28161EA51E44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B5BE-42E0-A8A2-28161EA51E44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B5BE-42E0-A8A2-28161EA51E44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B5BE-42E0-A8A2-28161EA51E44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B5BE-42E0-A8A2-28161EA51E44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B5BE-42E0-A8A2-28161EA51E44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B5BE-42E0-A8A2-28161EA51E44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B5BE-42E0-A8A2-28161EA51E44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B5BE-42E0-A8A2-28161EA51E44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B5BE-42E0-A8A2-28161EA51E44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B5BE-42E0-A8A2-28161EA51E44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B5BE-42E0-A8A2-28161EA51E44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B5BE-42E0-A8A2-28161EA51E44}"/>
                    </c:ext>
                  </c:extLst>
                </c:dPt>
                <c:dPt>
                  <c:idx val="624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B5BE-42E0-A8A2-28161EA51E44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B5BE-42E0-A8A2-28161EA51E44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B5BE-42E0-A8A2-28161EA51E44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B5BE-42E0-A8A2-28161EA51E44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B5BE-42E0-A8A2-28161EA51E44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B5BE-42E0-A8A2-28161EA51E44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B5BE-42E0-A8A2-28161EA51E44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B5BE-42E0-A8A2-28161EA51E44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B5BE-42E0-A8A2-28161EA51E44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B5BE-42E0-A8A2-28161EA51E44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B5BE-42E0-A8A2-28161EA51E44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B5BE-42E0-A8A2-28161EA51E44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B5BE-42E0-A8A2-28161EA51E44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B5BE-42E0-A8A2-28161EA51E44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B5BE-42E0-A8A2-28161EA51E44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B5BE-42E0-A8A2-28161EA51E44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B5BE-42E0-A8A2-28161EA51E44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B5BE-42E0-A8A2-28161EA51E44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B5BE-42E0-A8A2-28161EA51E44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B5BE-42E0-A8A2-28161EA51E44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B5BE-42E0-A8A2-28161EA51E44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B5BE-42E0-A8A2-28161EA51E44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B5BE-42E0-A8A2-28161EA51E44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B5BE-42E0-A8A2-28161EA51E44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B5BE-42E0-A8A2-28161EA51E44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B5BE-42E0-A8A2-28161EA51E44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B5BE-42E0-A8A2-28161EA51E44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B5BE-42E0-A8A2-28161EA51E44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B5BE-42E0-A8A2-28161EA51E44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B5BE-42E0-A8A2-28161EA51E44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B5BE-42E0-A8A2-28161EA51E44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B5BE-42E0-A8A2-28161EA51E44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B5BE-42E0-A8A2-28161EA51E44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B5BE-42E0-A8A2-28161EA51E44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B5BE-42E0-A8A2-28161EA51E44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B5BE-42E0-A8A2-28161EA51E44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B5BE-42E0-A8A2-28161EA51E44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B5BE-42E0-A8A2-28161EA51E44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B5BE-42E0-A8A2-28161EA51E44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B5BE-42E0-A8A2-28161EA51E44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B5BE-42E0-A8A2-28161EA51E44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B5BE-42E0-A8A2-28161EA51E44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B5BE-42E0-A8A2-28161EA51E44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B5BE-42E0-A8A2-28161EA51E44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B5BE-42E0-A8A2-28161EA51E44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B5BE-42E0-A8A2-28161EA51E44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B5BE-42E0-A8A2-28161EA51E44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B5BE-42E0-A8A2-28161EA51E44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B5BE-42E0-A8A2-28161EA51E44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B5BE-42E0-A8A2-28161EA51E44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B5BE-42E0-A8A2-28161EA51E44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B5BE-42E0-A8A2-28161EA51E44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B5BE-42E0-A8A2-28161EA51E44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B5BE-42E0-A8A2-28161EA51E44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B5BE-42E0-A8A2-28161EA51E44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B5BE-42E0-A8A2-28161EA51E44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B5BE-42E0-A8A2-28161EA51E44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B5BE-42E0-A8A2-28161EA51E44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B5BE-42E0-A8A2-28161EA51E44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B5BE-42E0-A8A2-28161EA51E44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B5BE-42E0-A8A2-28161EA51E44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B5BE-42E0-A8A2-28161EA51E44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B5BE-42E0-A8A2-28161EA51E44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B5BE-42E0-A8A2-28161EA51E44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B5BE-42E0-A8A2-28161EA51E44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B5BE-42E0-A8A2-28161EA51E44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B5BE-42E0-A8A2-28161EA51E44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B5BE-42E0-A8A2-28161EA51E44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B5BE-42E0-A8A2-28161EA51E44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B5BE-42E0-A8A2-28161EA51E44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B5BE-42E0-A8A2-28161EA51E44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B5BE-42E0-A8A2-28161EA51E44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B5BE-42E0-A8A2-28161EA51E44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B5BE-42E0-A8A2-28161EA51E44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B5BE-42E0-A8A2-28161EA51E44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B5BE-42E0-A8A2-28161EA51E44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B5BE-42E0-A8A2-28161EA51E44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B5BE-42E0-A8A2-28161EA51E44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B5BE-42E0-A8A2-28161EA51E44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B5BE-42E0-A8A2-28161EA51E44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B5BE-42E0-A8A2-28161EA51E44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B5BE-42E0-A8A2-28161EA51E44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B5BE-42E0-A8A2-28161EA51E44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B5BE-42E0-A8A2-28161EA51E44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B5BE-42E0-A8A2-28161EA51E44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B5BE-42E0-A8A2-28161EA51E44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B5BE-42E0-A8A2-28161EA51E44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B5BE-42E0-A8A2-28161EA51E44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B5BE-42E0-A8A2-28161EA51E44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B5BE-42E0-A8A2-28161EA51E44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B5BE-42E0-A8A2-28161EA51E44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B5BE-42E0-A8A2-28161EA51E44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B5BE-42E0-A8A2-28161EA51E44}"/>
                    </c:ext>
                  </c:extLst>
                </c:dPt>
                <c:dPt>
                  <c:idx val="717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B5BE-42E0-A8A2-28161EA51E44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B5BE-42E0-A8A2-28161EA51E44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B5BE-42E0-A8A2-28161EA51E44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B5BE-42E0-A8A2-28161EA51E44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B5BE-42E0-A8A2-28161EA51E44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B5BE-42E0-A8A2-28161EA51E44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B5BE-42E0-A8A2-28161EA51E44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B5BE-42E0-A8A2-28161EA51E44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B5BE-42E0-A8A2-28161EA51E44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B5BE-42E0-A8A2-28161EA51E44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B5BE-42E0-A8A2-28161EA51E44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B5BE-42E0-A8A2-28161EA51E44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B5BE-42E0-A8A2-28161EA51E44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B5BE-42E0-A8A2-28161EA51E44}"/>
                    </c:ext>
                  </c:extLst>
                </c:dPt>
                <c:dPt>
                  <c:idx val="731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B5BE-42E0-A8A2-28161EA51E44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B5BE-42E0-A8A2-28161EA51E44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B5BE-42E0-A8A2-28161EA51E44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B5BE-42E0-A8A2-28161EA51E44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B5BE-42E0-A8A2-28161EA51E44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B5BE-42E0-A8A2-28161EA51E44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B5BE-42E0-A8A2-28161EA51E44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B5BE-42E0-A8A2-28161EA51E44}"/>
                    </c:ext>
                  </c:extLst>
                </c:dPt>
                <c:dPt>
                  <c:idx val="739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B5BE-42E0-A8A2-28161EA51E44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B5BE-42E0-A8A2-28161EA51E44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B5BE-42E0-A8A2-28161EA51E44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B5BE-42E0-A8A2-28161EA51E44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B5BE-42E0-A8A2-28161EA51E44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B5BE-42E0-A8A2-28161EA51E44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B5BE-42E0-A8A2-28161EA51E44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B5BE-42E0-A8A2-28161EA51E44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B5BE-42E0-A8A2-28161EA51E44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B5BE-42E0-A8A2-28161EA51E44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B5BE-42E0-A8A2-28161EA51E44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B5BE-42E0-A8A2-28161EA51E44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B5BE-42E0-A8A2-28161EA51E44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B5BE-42E0-A8A2-28161EA51E44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B5BE-42E0-A8A2-28161EA51E44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B5BE-42E0-A8A2-28161EA51E44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B5BE-42E0-A8A2-28161EA51E44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B5BE-42E0-A8A2-28161EA51E44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B5BE-42E0-A8A2-28161EA51E44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B5BE-42E0-A8A2-28161EA51E44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B5BE-42E0-A8A2-28161EA51E44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B5BE-42E0-A8A2-28161EA51E44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B5BE-42E0-A8A2-28161EA51E44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B5BE-42E0-A8A2-28161EA51E44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B5BE-42E0-A8A2-28161EA51E44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B5BE-42E0-A8A2-28161EA51E44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B5BE-42E0-A8A2-28161EA51E44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B5BE-42E0-A8A2-28161EA51E44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B5BE-42E0-A8A2-28161EA51E44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B5BE-42E0-A8A2-28161EA51E44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B5BE-42E0-A8A2-28161EA51E44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B5BE-42E0-A8A2-28161EA51E44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B5BE-42E0-A8A2-28161EA51E44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B5BE-42E0-A8A2-28161EA51E44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B5BE-42E0-A8A2-28161EA51E44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B5BE-42E0-A8A2-28161EA51E44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B5BE-42E0-A8A2-28161EA51E44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B5BE-42E0-A8A2-28161EA51E44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B5BE-42E0-A8A2-28161EA51E44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B5BE-42E0-A8A2-28161EA51E44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B5BE-42E0-A8A2-28161EA51E44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B5BE-42E0-A8A2-28161EA51E44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B5BE-42E0-A8A2-28161EA51E44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B5BE-42E0-A8A2-28161EA51E44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B5BE-42E0-A8A2-28161EA51E44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B5BE-42E0-A8A2-28161EA51E44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B5BE-42E0-A8A2-28161EA51E44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B5BE-42E0-A8A2-28161EA51E44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B5BE-42E0-A8A2-28161EA51E44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B5BE-42E0-A8A2-28161EA51E44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B5BE-42E0-A8A2-28161EA51E44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B5BE-42E0-A8A2-28161EA51E44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B5BE-42E0-A8A2-28161EA51E44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B5BE-42E0-A8A2-28161EA51E44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B5BE-42E0-A8A2-28161EA51E44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B5BE-42E0-A8A2-28161EA51E44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B5BE-42E0-A8A2-28161EA51E44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B5BE-42E0-A8A2-28161EA51E44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B5BE-42E0-A8A2-28161EA51E44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B5BE-42E0-A8A2-28161EA51E44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B5BE-42E0-A8A2-28161EA51E44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B5BE-42E0-A8A2-28161EA51E44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B5BE-42E0-A8A2-28161EA51E44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B5BE-42E0-A8A2-28161EA51E44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B5BE-42E0-A8A2-28161EA51E44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B5BE-42E0-A8A2-28161EA51E44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B5BE-42E0-A8A2-28161EA51E44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B5BE-42E0-A8A2-28161EA51E44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B5BE-42E0-A8A2-28161EA51E44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B5BE-42E0-A8A2-28161EA51E44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B5BE-42E0-A8A2-28161EA51E44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B5BE-42E0-A8A2-28161EA51E44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B5BE-42E0-A8A2-28161EA51E44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B5BE-42E0-A8A2-28161EA51E44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B5BE-42E0-A8A2-28161EA51E44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B5BE-42E0-A8A2-28161EA51E44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B5BE-42E0-A8A2-28161EA51E44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B5BE-42E0-A8A2-28161EA51E44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B5BE-42E0-A8A2-28161EA51E44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B5BE-42E0-A8A2-28161EA51E44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B5BE-42E0-A8A2-28161EA51E44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B5BE-42E0-A8A2-28161EA51E44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B5BE-42E0-A8A2-28161EA51E44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B5BE-42E0-A8A2-28161EA51E44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B5BE-42E0-A8A2-28161EA51E44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B5BE-42E0-A8A2-28161EA51E44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B5BE-42E0-A8A2-28161EA51E44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B5BE-42E0-A8A2-28161EA51E44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B5BE-42E0-A8A2-28161EA51E44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B5BE-42E0-A8A2-28161EA51E44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B5BE-42E0-A8A2-28161EA51E44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B5BE-42E0-A8A2-28161EA51E44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B5BE-42E0-A8A2-28161EA51E44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B5BE-42E0-A8A2-28161EA51E44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B5BE-42E0-A8A2-28161EA51E44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B5BE-42E0-A8A2-28161EA51E44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B5BE-42E0-A8A2-28161EA51E44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B5BE-42E0-A8A2-28161EA51E44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B5BE-42E0-A8A2-28161EA51E44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B5BE-42E0-A8A2-28161EA51E44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B5BE-42E0-A8A2-28161EA51E44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B5BE-42E0-A8A2-28161EA51E44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B5BE-42E0-A8A2-28161EA51E44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B5BE-42E0-A8A2-28161EA51E44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B5BE-42E0-A8A2-28161EA51E44}"/>
                    </c:ext>
                  </c:extLst>
                </c:dPt>
                <c:dPt>
                  <c:idx val="844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B5BE-42E0-A8A2-28161EA51E44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B5BE-42E0-A8A2-28161EA51E44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B5BE-42E0-A8A2-28161EA51E44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B5BE-42E0-A8A2-28161EA51E44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B5BE-42E0-A8A2-28161EA51E44}"/>
                    </c:ext>
                  </c:extLst>
                </c:dPt>
                <c:dPt>
                  <c:idx val="849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B5BE-42E0-A8A2-28161EA51E44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('Données initiales'!$D$180,'Données initiales'!$F$180,'Données initiales'!$H$180,'Données initiales'!$J$180,'Données initiales'!$L$180,'Données initiales'!$N$180,'Données initiales'!$P$180)</c15:sqref>
                        </c15:formulaRef>
                      </c:ext>
                    </c:extLst>
                  </c:numRef>
                </c:val>
                <c:extLst>
                  <c:ext xmlns:c16="http://schemas.microsoft.com/office/drawing/2014/chart" uri="{C3380CC4-5D6E-409C-BE32-E72D297353CC}">
                    <c16:uniqueId val="{0000013E-88BA-49B1-9CE7-0FE5B6F55D49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152296587926499"/>
          <c:y val="0.22416484397783609"/>
          <c:w val="0.28800698899901872"/>
          <c:h val="0.5468788276465441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2"/>
          <c:order val="2"/>
          <c:tx>
            <c:strRef>
              <c:f>'Données initiales'!$C$182</c:f>
              <c:strCache>
                <c:ptCount val="1"/>
                <c:pt idx="0">
                  <c:v>MMA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initiales'!$D$182,'Données initiales'!$F$182,'Données initiales'!$H$182,'Données initiales'!$J$182,'Données initiales'!$L$182,'Données initiales'!$N$182,'Données initiales'!$P$182)</c:f>
              <c:extLst/>
            </c:numRef>
          </c:val>
          <c:extLst>
            <c:ext xmlns:c16="http://schemas.microsoft.com/office/drawing/2014/chart" uri="{C3380CC4-5D6E-409C-BE32-E72D297353CC}">
              <c16:uniqueId val="{00000CC4-0D8B-40D2-9511-1D1F43A218B5}"/>
            </c:ext>
          </c:extLst>
        </c:ser>
        <c:ser>
          <c:idx val="3"/>
          <c:order val="3"/>
          <c:tx>
            <c:strRef>
              <c:f>'Données initiales'!$C$183</c:f>
              <c:strCache>
                <c:ptCount val="1"/>
                <c:pt idx="0">
                  <c:v>DAM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initiales'!$D$183,'Données initiales'!$F$183,'Données initiales'!$H$183,'Données initiales'!$J$183,'Données initiales'!$L$183,'Données initiales'!$N$183,'Données initiales'!$P$183)</c:f>
              <c:extLst/>
            </c:numRef>
          </c:val>
          <c:extLst>
            <c:ext xmlns:c16="http://schemas.microsoft.com/office/drawing/2014/chart" uri="{C3380CC4-5D6E-409C-BE32-E72D297353CC}">
              <c16:uniqueId val="{00000CC5-0D8B-40D2-9511-1D1F43A218B5}"/>
            </c:ext>
          </c:extLst>
        </c:ser>
        <c:ser>
          <c:idx val="4"/>
          <c:order val="4"/>
          <c:tx>
            <c:strRef>
              <c:f>'Données initiales'!$C$184</c:f>
              <c:strCache>
                <c:ptCount val="1"/>
                <c:pt idx="0">
                  <c:v>NLE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initiales'!$D$184,'Données initiales'!$F$184,'Données initiales'!$H$184,'Données initiales'!$J$184,'Données initiales'!$L$184,'Données initiales'!$N$184,'Données initiales'!$P$184)</c:f>
              <c:extLst/>
            </c:numRef>
          </c:val>
          <c:extLst>
            <c:ext xmlns:c16="http://schemas.microsoft.com/office/drawing/2014/chart" uri="{C3380CC4-5D6E-409C-BE32-E72D297353CC}">
              <c16:uniqueId val="{00000CC6-0D8B-40D2-9511-1D1F43A218B5}"/>
            </c:ext>
          </c:extLst>
        </c:ser>
        <c:ser>
          <c:idx val="5"/>
          <c:order val="5"/>
          <c:tx>
            <c:strRef>
              <c:f>'Données initiales'!#REF!</c:f>
              <c:strCache>
                <c:ptCount val="1"/>
                <c:pt idx="0">
                  <c:v>#REF!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'Données initiales'!#REF!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0CC7-0D8B-40D2-9511-1D1F43A218B5}"/>
            </c:ext>
          </c:extLst>
        </c:ser>
        <c:ser>
          <c:idx val="6"/>
          <c:order val="6"/>
          <c:tx>
            <c:strRef>
              <c:f>'Données initiales'!$C$185</c:f>
              <c:strCache>
                <c:ptCount val="1"/>
                <c:pt idx="0">
                  <c:v>SRI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initiales'!$D$185,'Données initiales'!$F$185,'Données initiales'!$H$185,'Données initiales'!$J$185,'Données initiales'!$L$185,'Données initiales'!$N$185,'Données initiales'!$P$185)</c:f>
              <c:extLst/>
            </c:numRef>
          </c:val>
          <c:extLst>
            <c:ext xmlns:c16="http://schemas.microsoft.com/office/drawing/2014/chart" uri="{C3380CC4-5D6E-409C-BE32-E72D297353CC}">
              <c16:uniqueId val="{00000CC8-0D8B-40D2-9511-1D1F43A218B5}"/>
            </c:ext>
          </c:extLst>
        </c:ser>
        <c:ser>
          <c:idx val="7"/>
          <c:order val="7"/>
          <c:tx>
            <c:strRef>
              <c:f>'Données initiales'!$C$186</c:f>
              <c:strCache>
                <c:ptCount val="1"/>
                <c:pt idx="0">
                  <c:v>VAF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AE6C-4EBA-B46F-54D3AEFC70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AE6C-4EBA-B46F-54D3AEFC70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E584-4D3C-B2C0-F71AB87A2A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EABE-4DE8-9E08-79008D5637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E584-4D3C-B2C0-F71AB87A2A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4C59-4571-A0EC-AF07DC26EFB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E584-4D3C-B2C0-F71AB87A2A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EABE-4DE8-9E08-79008D5637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E584-4D3C-B2C0-F71AB87A2A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302A-40FE-8A83-A7C7D11D567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E584-4D3C-B2C0-F71AB87A2A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EABE-4DE8-9E08-79008D5637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4C59-4571-A0EC-AF07DC26EFB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EABE-4DE8-9E08-79008D5637D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AE6C-4EBA-B46F-54D3AEFC70C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EABE-4DE8-9E08-79008D5637D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4C59-4571-A0EC-AF07DC26EFB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302A-40FE-8A83-A7C7D11D567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4C59-4571-A0EC-AF07DC26EFB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E8A9-4E9E-8D49-11C3D045B80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4C59-4571-A0EC-AF07DC26EFB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A99A-4D19-9146-7CAF62C902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E8A9-4E9E-8D49-11C3D045B80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1F5F-4074-9566-67CD4D12EF4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A99A-4D19-9146-7CAF62C902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62DE-443A-97AD-3C7EEF4389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1F5F-4074-9566-67CD4D12EF4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302A-40FE-8A83-A7C7D11D567A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AE6C-4EBA-B46F-54D3AEFC70C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302A-40FE-8A83-A7C7D11D567A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BFB8-4CBA-8932-6FA0335E0C6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302A-40FE-8A83-A7C7D11D567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C13E-4FDD-8839-B550F18AAF84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BFB8-4CBA-8932-6FA0335E0C6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E83F-4EE4-B5B6-46E84B373EB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C13E-4FDD-8839-B550F18AAF84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3B02-40F7-AEF6-32F6199276C4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E83F-4EE4-B5B6-46E84B373EB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62DE-443A-97AD-3C7EEF438946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3B02-40F7-AEF6-32F6199276C4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AE6C-4EBA-B46F-54D3AEFC70C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62DE-443A-97AD-3C7EEF438946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AE6C-4EBA-B46F-54D3AEFC70C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62DE-443A-97AD-3C7EEF438946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B623-4BED-8FC9-196F5F4E9F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initiales'!$D$186,'Données initiales'!$F$186,'Données initiales'!$H$186,'Données initiales'!$J$186,'Données initiales'!$L$186,'Données initiales'!$N$186,'Données initiales'!$P$186)</c:f>
              <c:extLst/>
            </c:numRef>
          </c:val>
          <c:extLst>
            <c:ext xmlns:c16="http://schemas.microsoft.com/office/drawing/2014/chart" uri="{C3380CC4-5D6E-409C-BE32-E72D297353CC}">
              <c16:uniqueId val="{00000CC9-0D8B-40D2-9511-1D1F43A218B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initiales'!$C$180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5-5D1C-4855-B586-1E797F9B3998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AE6C-4EBA-B46F-54D3AEFC70C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E584-4D3C-B2C0-F71AB87A2A9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EABE-4DE8-9E08-79008D5637D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E584-4D3C-B2C0-F71AB87A2A9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4C59-4571-A0EC-AF07DC26EFB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E584-4D3C-B2C0-F71AB87A2A9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EABE-4DE8-9E08-79008D5637D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E584-4D3C-B2C0-F71AB87A2A9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302A-40FE-8A83-A7C7D11D567A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E584-4D3C-B2C0-F71AB87A2A9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EABE-4DE8-9E08-79008D5637DA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4C59-4571-A0EC-AF07DC26EFB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EABE-4DE8-9E08-79008D5637DA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AE6C-4EBA-B46F-54D3AEFC70C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EABE-4DE8-9E08-79008D5637DA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4C59-4571-A0EC-AF07DC26EFB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302A-40FE-8A83-A7C7D11D567A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4C59-4571-A0EC-AF07DC26EFB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E8A9-4E9E-8D49-11C3D045B80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4C59-4571-A0EC-AF07DC26EFB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A99A-4D19-9146-7CAF62C902E6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E8A9-4E9E-8D49-11C3D045B80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1F5F-4074-9566-67CD4D12EF40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A99A-4D19-9146-7CAF62C902E6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62DE-443A-97AD-3C7EEF438946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1F5F-4074-9566-67CD4D12EF40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302A-40FE-8A83-A7C7D11D567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AE6C-4EBA-B46F-54D3AEFC70C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302A-40FE-8A83-A7C7D11D567A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BFB8-4CBA-8932-6FA0335E0C60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302A-40FE-8A83-A7C7D11D567A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C13E-4FDD-8839-B550F18AAF84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BFB8-4CBA-8932-6FA0335E0C60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E83F-4EE4-B5B6-46E84B373EBF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C13E-4FDD-8839-B550F18AAF84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3B02-40F7-AEF6-32F6199276C4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E83F-4EE4-B5B6-46E84B373EBF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62DE-443A-97AD-3C7EEF438946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3B02-40F7-AEF6-32F6199276C4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AE6C-4EBA-B46F-54D3AEFC70C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62DE-443A-97AD-3C7EEF438946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AE6C-4EBA-B46F-54D3AEFC70C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62DE-443A-97AD-3C7EEF438946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F898-4150-B11B-A34BA52765CF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D8B-40D2-9511-1D1F43A218B5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29F-4516-B7C5-03D8C7DE4CB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F898-4150-B11B-A34BA52765CF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33B0-411C-8DA3-1A710A95E3A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29F-4516-B7C5-03D8C7DE4CB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8D6-4BCC-975D-A277E44B92A0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229F-4516-B7C5-03D8C7DE4CB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649D-4A19-9379-3BF4666D0E23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8D6-4BCC-975D-A277E44B92A0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33B0-411C-8DA3-1A710A95E3A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98D6-4BCC-975D-A277E44B92A0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6B69-4081-840E-000F18F63EA4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33B0-411C-8DA3-1A710A95E3A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649D-4A19-9379-3BF4666D0E23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33B0-411C-8DA3-1A710A95E3A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5287-4F80-86CF-52812999724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649D-4A19-9379-3BF4666D0E23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6B69-4081-840E-000F18F63EA4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649D-4A19-9379-3BF4666D0E23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B295-44CE-89EF-65A5FC14B26A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6B69-4081-840E-000F18F63EA4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287-4F80-86CF-52812999724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6B69-4081-840E-000F18F63EA4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0DE7-45ED-9920-2F51BABEDA24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287-4F80-86CF-52812999724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81F0-4AF8-A703-F8176C52F44D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5287-4F80-86CF-52812999724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0DE7-45ED-9920-2F51BABEDA24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B295-44CE-89EF-65A5FC14B26A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0DE7-45ED-9920-2F51BABEDA24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D5D9-45D6-A8C4-5057955FE32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0DE7-45ED-9920-2F51BABEDA24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B295-44CE-89EF-65A5FC14B26A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81F0-4AF8-A703-F8176C52F44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B295-44CE-89EF-65A5FC14B26A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849-460D-9466-26FC8283A2F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B295-44CE-89EF-65A5FC14B26A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172F-4947-91A3-476DF561E35B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849-460D-9466-26FC8283A2F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982-4CD1-B159-BA3D758AB623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172F-4947-91A3-476DF561E35B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F00B-484F-A684-53B3FEB2CFF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982-4CD1-B159-BA3D758AB623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81F0-4AF8-A703-F8176C52F44D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D5D9-45D6-A8C4-5057955FE32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81F0-4AF8-A703-F8176C52F44D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CE4-4E34-AFF1-267C71AB919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81F0-4AF8-A703-F8176C52F44D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C417-4560-BC0F-217B4A2E6275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CE4-4E34-AFF1-267C71AB919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D5D9-45D6-A8C4-5057955FE32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C417-4560-BC0F-217B4A2E6275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D5D9-45D6-A8C4-5057955FE32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417-4560-BC0F-217B4A2E6275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D5D9-45D6-A8C4-5057955FE32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EE0-426A-ADFF-C0609E3D257A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417-4560-BC0F-217B4A2E6275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252-477A-9734-EDA65DAC8A05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EE0-426A-ADFF-C0609E3D257A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158B-4273-955D-24B445AB8A26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252-477A-9734-EDA65DAC8A05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643-44EF-AA4D-851003185A15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158B-4273-955D-24B445AB8A26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8A2-4C21-B514-9813D03051EF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643-44EF-AA4D-851003185A15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09AA-4AE6-855F-3A8CA6FF232C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8A2-4C21-B514-9813D03051EF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753-42AA-A8BC-AEE8AF3ECFFF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9AA-4AE6-855F-3A8CA6FF232C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150-4240-917C-FC1BB9816CF4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753-42AA-A8BC-AEE8AF3ECFFF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F00B-484F-A684-53B3FEB2CFF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150-4240-917C-FC1BB9816CF4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43B-49E9-861A-AF0108B517A2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9150-4240-917C-FC1BB9816CF4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DD2E-41FC-BB90-A37E53752B9B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43B-49E9-861A-AF0108B517A2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F00B-484F-A684-53B3FEB2CFF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C43B-49E9-861A-AF0108B517A2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DD2E-41FC-BB90-A37E53752B9B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4F6-4C32-9950-D5C5177AD91E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DD2E-41FC-BB90-A37E53752B9B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F9C9-4A72-BE65-646D5EB3B762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4F6-4C32-9950-D5C5177AD91E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DCFD-4969-9ED1-D81E777C917B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F9C9-4A72-BE65-646D5EB3B762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F00B-484F-A684-53B3FEB2CFF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CFD-4969-9ED1-D81E777C917B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F00B-484F-A684-53B3FEB2CFF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F00B-484F-A684-53B3FEB2CFF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F00B-484F-A684-53B3FEB2CFF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F00B-484F-A684-53B3FEB2CFF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F00B-484F-A684-53B3FEB2CFF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F00B-484F-A684-53B3FEB2CFF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F00B-484F-A684-53B3FEB2CFF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F00B-484F-A684-53B3FEB2CFF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F00B-484F-A684-53B3FEB2CFF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F00B-484F-A684-53B3FEB2CFF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F00B-484F-A684-53B3FEB2CFF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F00B-484F-A684-53B3FEB2CFF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F00B-484F-A684-53B3FEB2CFF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F00B-484F-A684-53B3FEB2CFF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F00B-484F-A684-53B3FEB2CFF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F00B-484F-A684-53B3FEB2CFF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F00B-484F-A684-53B3FEB2CFF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F00B-484F-A684-53B3FEB2CFF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F00B-484F-A684-53B3FEB2CFF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F00B-484F-A684-53B3FEB2CFF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F00B-484F-A684-53B3FEB2CFF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F00B-484F-A684-53B3FEB2CFF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F00B-484F-A684-53B3FEB2CFF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F00B-484F-A684-53B3FEB2CFF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F00B-484F-A684-53B3FEB2CFF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F00B-484F-A684-53B3FEB2CFF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F00B-484F-A684-53B3FEB2CFF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F00B-484F-A684-53B3FEB2CFF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F00B-484F-A684-53B3FEB2CFF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F00B-484F-A684-53B3FEB2CFF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F00B-484F-A684-53B3FEB2CFF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F00B-484F-A684-53B3FEB2CFF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F00B-484F-A684-53B3FEB2CFF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F00B-484F-A684-53B3FEB2CFF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F00B-484F-A684-53B3FEB2CFF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F00B-484F-A684-53B3FEB2CFF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F00B-484F-A684-53B3FEB2CFF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F00B-484F-A684-53B3FEB2CFF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F00B-484F-A684-53B3FEB2CFF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F00B-484F-A684-53B3FEB2CFF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F00B-484F-A684-53B3FEB2CFF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F00B-484F-A684-53B3FEB2CFF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F00B-484F-A684-53B3FEB2CFF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F00B-484F-A684-53B3FEB2CFF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F00B-484F-A684-53B3FEB2CFF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F00B-484F-A684-53B3FEB2CFF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F00B-484F-A684-53B3FEB2CFF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F00B-484F-A684-53B3FEB2CFF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F00B-484F-A684-53B3FEB2CFF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F00B-484F-A684-53B3FEB2CFF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F00B-484F-A684-53B3FEB2CFF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F00B-484F-A684-53B3FEB2CFF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F00B-484F-A684-53B3FEB2CFF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F00B-484F-A684-53B3FEB2CFF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F00B-484F-A684-53B3FEB2CFF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F00B-484F-A684-53B3FEB2CFF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F00B-484F-A684-53B3FEB2CFF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F00B-484F-A684-53B3FEB2CFF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F00B-484F-A684-53B3FEB2CFF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F00B-484F-A684-53B3FEB2CFF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F00B-484F-A684-53B3FEB2CFF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F00B-484F-A684-53B3FEB2CFF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F00B-484F-A684-53B3FEB2CFF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F00B-484F-A684-53B3FEB2CFF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F00B-484F-A684-53B3FEB2CFF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F00B-484F-A684-53B3FEB2CFF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F00B-484F-A684-53B3FEB2CFF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F00B-484F-A684-53B3FEB2CFF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F00B-484F-A684-53B3FEB2CFF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F00B-484F-A684-53B3FEB2CFF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F00B-484F-A684-53B3FEB2CFF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F00B-484F-A684-53B3FEB2CFF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F00B-484F-A684-53B3FEB2CFF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F00B-484F-A684-53B3FEB2CFF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F00B-484F-A684-53B3FEB2CFF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F00B-484F-A684-53B3FEB2CFF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F00B-484F-A684-53B3FEB2CFF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F00B-484F-A684-53B3FEB2CFF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F00B-484F-A684-53B3FEB2CFF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F00B-484F-A684-53B3FEB2CFF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F00B-484F-A684-53B3FEB2CFF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F00B-484F-A684-53B3FEB2CFF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F00B-484F-A684-53B3FEB2CFF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F00B-484F-A684-53B3FEB2CFF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F00B-484F-A684-53B3FEB2CFF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F00B-484F-A684-53B3FEB2CFF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F00B-484F-A684-53B3FEB2CFF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F00B-484F-A684-53B3FEB2CFF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F00B-484F-A684-53B3FEB2CFF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F00B-484F-A684-53B3FEB2CFF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F00B-484F-A684-53B3FEB2CFF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F00B-484F-A684-53B3FEB2CFF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F00B-484F-A684-53B3FEB2CFF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F00B-484F-A684-53B3FEB2CFF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F00B-484F-A684-53B3FEB2CFF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F00B-484F-A684-53B3FEB2CFF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F00B-484F-A684-53B3FEB2CFF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F00B-484F-A684-53B3FEB2CFF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F00B-484F-A684-53B3FEB2CFF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F00B-484F-A684-53B3FEB2CFF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F00B-484F-A684-53B3FEB2CFF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F00B-484F-A684-53B3FEB2CFF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F00B-484F-A684-53B3FEB2CFF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F00B-484F-A684-53B3FEB2CFF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F00B-484F-A684-53B3FEB2CFF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F00B-484F-A684-53B3FEB2CFF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F00B-484F-A684-53B3FEB2CFF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F00B-484F-A684-53B3FEB2CFF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F00B-484F-A684-53B3FEB2CFF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F00B-484F-A684-53B3FEB2CFF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F00B-484F-A684-53B3FEB2CFF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F00B-484F-A684-53B3FEB2CFF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F00B-484F-A684-53B3FEB2CFF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F00B-484F-A684-53B3FEB2CFF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F00B-484F-A684-53B3FEB2CFF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F00B-484F-A684-53B3FEB2CFF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F00B-484F-A684-53B3FEB2CFF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F00B-484F-A684-53B3FEB2CFF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F00B-484F-A684-53B3FEB2CFF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F00B-484F-A684-53B3FEB2CFF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F00B-484F-A684-53B3FEB2CFF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F00B-484F-A684-53B3FEB2CFF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F00B-484F-A684-53B3FEB2CFF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F00B-484F-A684-53B3FEB2CFF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F00B-484F-A684-53B3FEB2CFF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F00B-484F-A684-53B3FEB2CFF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F00B-484F-A684-53B3FEB2CFF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F00B-484F-A684-53B3FEB2CFF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F00B-484F-A684-53B3FEB2CFF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F00B-484F-A684-53B3FEB2CFF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F00B-484F-A684-53B3FEB2CFF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F00B-484F-A684-53B3FEB2CFF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F00B-484F-A684-53B3FEB2CFF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F00B-484F-A684-53B3FEB2CFF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F00B-484F-A684-53B3FEB2CFF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F00B-484F-A684-53B3FEB2CFF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F00B-484F-A684-53B3FEB2CFF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F00B-484F-A684-53B3FEB2CFF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F00B-484F-A684-53B3FEB2CFF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F00B-484F-A684-53B3FEB2CFF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F00B-484F-A684-53B3FEB2CFF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F00B-484F-A684-53B3FEB2CFF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F00B-484F-A684-53B3FEB2CFF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F00B-484F-A684-53B3FEB2CFF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F00B-484F-A684-53B3FEB2CFF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F00B-484F-A684-53B3FEB2CFF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F00B-484F-A684-53B3FEB2CFF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F00B-484F-A684-53B3FEB2CFF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F00B-484F-A684-53B3FEB2CFF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F00B-484F-A684-53B3FEB2CFF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F00B-484F-A684-53B3FEB2CFF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F00B-484F-A684-53B3FEB2CFF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F00B-484F-A684-53B3FEB2CFF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F00B-484F-A684-53B3FEB2CFF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F00B-484F-A684-53B3FEB2CFF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F00B-484F-A684-53B3FEB2CFF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F00B-484F-A684-53B3FEB2CFF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F00B-484F-A684-53B3FEB2CFF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F00B-484F-A684-53B3FEB2CFF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F00B-484F-A684-53B3FEB2CFF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F00B-484F-A684-53B3FEB2CFF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F00B-484F-A684-53B3FEB2CFF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F00B-484F-A684-53B3FEB2CFF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F00B-484F-A684-53B3FEB2CFF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F00B-484F-A684-53B3FEB2CFF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F00B-484F-A684-53B3FEB2CFF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F00B-484F-A684-53B3FEB2CFF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F00B-484F-A684-53B3FEB2CFF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F00B-484F-A684-53B3FEB2CFF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F00B-484F-A684-53B3FEB2CFF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F00B-484F-A684-53B3FEB2CFF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F00B-484F-A684-53B3FEB2CFF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F00B-484F-A684-53B3FEB2CFF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F00B-484F-A684-53B3FEB2CFF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F00B-484F-A684-53B3FEB2CFF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F00B-484F-A684-53B3FEB2CFF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F00B-484F-A684-53B3FEB2CFF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F00B-484F-A684-53B3FEB2CFF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F00B-484F-A684-53B3FEB2CFF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F00B-484F-A684-53B3FEB2CFF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F00B-484F-A684-53B3FEB2CFF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F00B-484F-A684-53B3FEB2CFF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F00B-484F-A684-53B3FEB2CFF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F00B-484F-A684-53B3FEB2CFF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F00B-484F-A684-53B3FEB2CFF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F00B-484F-A684-53B3FEB2CFF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F00B-484F-A684-53B3FEB2CFF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F00B-484F-A684-53B3FEB2CFF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F00B-484F-A684-53B3FEB2CFF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F00B-484F-A684-53B3FEB2CFF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F00B-484F-A684-53B3FEB2CFF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F00B-484F-A684-53B3FEB2CFF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F00B-484F-A684-53B3FEB2CFF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F00B-484F-A684-53B3FEB2CFF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F00B-484F-A684-53B3FEB2CFF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F00B-484F-A684-53B3FEB2CFF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F00B-484F-A684-53B3FEB2CFF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F00B-484F-A684-53B3FEB2CFF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F00B-484F-A684-53B3FEB2CFF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F00B-484F-A684-53B3FEB2CFF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F00B-484F-A684-53B3FEB2CFF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F00B-484F-A684-53B3FEB2CFF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F00B-484F-A684-53B3FEB2CFF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F00B-484F-A684-53B3FEB2CFF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F00B-484F-A684-53B3FEB2CFF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F00B-484F-A684-53B3FEB2CFF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F00B-484F-A684-53B3FEB2CFF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F00B-484F-A684-53B3FEB2CFF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F00B-484F-A684-53B3FEB2CFF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F00B-484F-A684-53B3FEB2CFF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F00B-484F-A684-53B3FEB2CFF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F00B-484F-A684-53B3FEB2CFF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F00B-484F-A684-53B3FEB2CFF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F00B-484F-A684-53B3FEB2CFF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F00B-484F-A684-53B3FEB2CFF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F00B-484F-A684-53B3FEB2CFF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F00B-484F-A684-53B3FEB2CFF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F00B-484F-A684-53B3FEB2CFF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F00B-484F-A684-53B3FEB2CFF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F00B-484F-A684-53B3FEB2CFF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F00B-484F-A684-53B3FEB2CFF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F00B-484F-A684-53B3FEB2CFF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F00B-484F-A684-53B3FEB2CFF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F00B-484F-A684-53B3FEB2CFF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F00B-484F-A684-53B3FEB2CFF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F00B-484F-A684-53B3FEB2CFF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F00B-484F-A684-53B3FEB2CFF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F00B-484F-A684-53B3FEB2CFF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F00B-484F-A684-53B3FEB2CFF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F00B-484F-A684-53B3FEB2CFF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F00B-484F-A684-53B3FEB2CFF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F00B-484F-A684-53B3FEB2CFF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F00B-484F-A684-53B3FEB2CFF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F00B-484F-A684-53B3FEB2CFF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F00B-484F-A684-53B3FEB2CFF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F00B-484F-A684-53B3FEB2CFF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F00B-484F-A684-53B3FEB2CFF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F00B-484F-A684-53B3FEB2CFF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F00B-484F-A684-53B3FEB2CFF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F00B-484F-A684-53B3FEB2CFF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F00B-484F-A684-53B3FEB2CFF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F00B-484F-A684-53B3FEB2CFF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F00B-484F-A684-53B3FEB2CFF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F00B-484F-A684-53B3FEB2CFF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F00B-484F-A684-53B3FEB2CFF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F00B-484F-A684-53B3FEB2CFF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F00B-484F-A684-53B3FEB2CFF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F00B-484F-A684-53B3FEB2CFF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F00B-484F-A684-53B3FEB2CFF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F00B-484F-A684-53B3FEB2CFF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F00B-484F-A684-53B3FEB2CFF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F00B-484F-A684-53B3FEB2CFF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F00B-484F-A684-53B3FEB2CFF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F00B-484F-A684-53B3FEB2CFF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F00B-484F-A684-53B3FEB2CFF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F00B-484F-A684-53B3FEB2CFF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F00B-484F-A684-53B3FEB2CFF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F00B-484F-A684-53B3FEB2CFF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F00B-484F-A684-53B3FEB2CFF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F00B-484F-A684-53B3FEB2CFF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F00B-484F-A684-53B3FEB2CFF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F00B-484F-A684-53B3FEB2CFF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F00B-484F-A684-53B3FEB2CFF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F00B-484F-A684-53B3FEB2CFF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F00B-484F-A684-53B3FEB2CFF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F00B-484F-A684-53B3FEB2CFF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F00B-484F-A684-53B3FEB2CFF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F00B-484F-A684-53B3FEB2CFF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F00B-484F-A684-53B3FEB2CFF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F00B-484F-A684-53B3FEB2CFF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F00B-484F-A684-53B3FEB2CFF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F00B-484F-A684-53B3FEB2CFF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F00B-484F-A684-53B3FEB2CFF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F00B-484F-A684-53B3FEB2CFF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F00B-484F-A684-53B3FEB2CFF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F00B-484F-A684-53B3FEB2CFF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F00B-484F-A684-53B3FEB2CFF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F00B-484F-A684-53B3FEB2CFF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F00B-484F-A684-53B3FEB2CFF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F00B-484F-A684-53B3FEB2CFF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F00B-484F-A684-53B3FEB2CFF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F00B-484F-A684-53B3FEB2CFF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F00B-484F-A684-53B3FEB2CFF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F00B-484F-A684-53B3FEB2CFF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F00B-484F-A684-53B3FEB2CFF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F00B-484F-A684-53B3FEB2CFF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F00B-484F-A684-53B3FEB2CFF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F00B-484F-A684-53B3FEB2CFF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F00B-484F-A684-53B3FEB2CFF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F00B-484F-A684-53B3FEB2CFF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F00B-484F-A684-53B3FEB2CFF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F00B-484F-A684-53B3FEB2CFF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F00B-484F-A684-53B3FEB2CFF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F00B-484F-A684-53B3FEB2CFF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F00B-484F-A684-53B3FEB2CFF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F00B-484F-A684-53B3FEB2CFF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F00B-484F-A684-53B3FEB2CFF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F00B-484F-A684-53B3FEB2CFF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F00B-484F-A684-53B3FEB2CFF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F00B-484F-A684-53B3FEB2CFF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F00B-484F-A684-53B3FEB2CFF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F00B-484F-A684-53B3FEB2CFF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F00B-484F-A684-53B3FEB2CFF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F00B-484F-A684-53B3FEB2CFF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F00B-484F-A684-53B3FEB2CFF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F00B-484F-A684-53B3FEB2CFF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F00B-484F-A684-53B3FEB2CFF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F00B-484F-A684-53B3FEB2CFF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F00B-484F-A684-53B3FEB2CFF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F00B-484F-A684-53B3FEB2CFF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F00B-484F-A684-53B3FEB2CFF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F00B-484F-A684-53B3FEB2CFF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F00B-484F-A684-53B3FEB2CFF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F00B-484F-A684-53B3FEB2CFF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F00B-484F-A684-53B3FEB2CFF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F00B-484F-A684-53B3FEB2CFF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F00B-484F-A684-53B3FEB2CFF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F00B-484F-A684-53B3FEB2CFF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F00B-484F-A684-53B3FEB2CFF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F00B-484F-A684-53B3FEB2CFF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F00B-484F-A684-53B3FEB2CFF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F00B-484F-A684-53B3FEB2CFF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F00B-484F-A684-53B3FEB2CFF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F00B-484F-A684-53B3FEB2CFF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F00B-484F-A684-53B3FEB2CFF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F00B-484F-A684-53B3FEB2CFF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F00B-484F-A684-53B3FEB2CFF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F00B-484F-A684-53B3FEB2CFF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F00B-484F-A684-53B3FEB2CFF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F00B-484F-A684-53B3FEB2CFF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F00B-484F-A684-53B3FEB2CFF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F00B-484F-A684-53B3FEB2CFF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F00B-484F-A684-53B3FEB2CFF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F00B-484F-A684-53B3FEB2CFF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F00B-484F-A684-53B3FEB2CFF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F00B-484F-A684-53B3FEB2CFF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F00B-484F-A684-53B3FEB2CFF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F00B-484F-A684-53B3FEB2CFF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F00B-484F-A684-53B3FEB2CFF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F00B-484F-A684-53B3FEB2CFF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F00B-484F-A684-53B3FEB2CFF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F00B-484F-A684-53B3FEB2CFF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F00B-484F-A684-53B3FEB2CFF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F00B-484F-A684-53B3FEB2CFF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F00B-484F-A684-53B3FEB2CFF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F00B-484F-A684-53B3FEB2CFF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F00B-484F-A684-53B3FEB2CFF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F00B-484F-A684-53B3FEB2CFF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F00B-484F-A684-53B3FEB2CFF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F00B-484F-A684-53B3FEB2CFF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F00B-484F-A684-53B3FEB2CFF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F00B-484F-A684-53B3FEB2CFF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F00B-484F-A684-53B3FEB2CFF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F00B-484F-A684-53B3FEB2CFF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F00B-484F-A684-53B3FEB2CFF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F00B-484F-A684-53B3FEB2CFF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F00B-484F-A684-53B3FEB2CFF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F00B-484F-A684-53B3FEB2CFF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F00B-484F-A684-53B3FEB2CFF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F00B-484F-A684-53B3FEB2CFF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F00B-484F-A684-53B3FEB2CFF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F00B-484F-A684-53B3FEB2CFF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F00B-484F-A684-53B3FEB2CFF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F00B-484F-A684-53B3FEB2CFF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F00B-484F-A684-53B3FEB2CFF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F00B-484F-A684-53B3FEB2CFF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F00B-484F-A684-53B3FEB2CFF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F00B-484F-A684-53B3FEB2CFF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F00B-484F-A684-53B3FEB2CFF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F00B-484F-A684-53B3FEB2CFF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F00B-484F-A684-53B3FEB2CFF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F00B-484F-A684-53B3FEB2CFF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F00B-484F-A684-53B3FEB2CFF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F00B-484F-A684-53B3FEB2CFF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F00B-484F-A684-53B3FEB2CFF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F00B-484F-A684-53B3FEB2CFF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F00B-484F-A684-53B3FEB2CFF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F00B-484F-A684-53B3FEB2CFF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F00B-484F-A684-53B3FEB2CFF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F00B-484F-A684-53B3FEB2CFF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F00B-484F-A684-53B3FEB2CFF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F00B-484F-A684-53B3FEB2CFF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F00B-484F-A684-53B3FEB2CFF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F00B-484F-A684-53B3FEB2CFF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F00B-484F-A684-53B3FEB2CFF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F00B-484F-A684-53B3FEB2CFF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F00B-484F-A684-53B3FEB2CFF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F00B-484F-A684-53B3FEB2CFF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F00B-484F-A684-53B3FEB2CFF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F00B-484F-A684-53B3FEB2CFF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F00B-484F-A684-53B3FEB2CFF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F00B-484F-A684-53B3FEB2CFF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F00B-484F-A684-53B3FEB2CFF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F00B-484F-A684-53B3FEB2CFF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F00B-484F-A684-53B3FEB2CFF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F00B-484F-A684-53B3FEB2CFF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F00B-484F-A684-53B3FEB2CFF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F00B-484F-A684-53B3FEB2CFF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F00B-484F-A684-53B3FEB2CFF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F00B-484F-A684-53B3FEB2CFF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F00B-484F-A684-53B3FEB2CFF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F00B-484F-A684-53B3FEB2CFF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F00B-484F-A684-53B3FEB2CFF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F00B-484F-A684-53B3FEB2CFF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F00B-484F-A684-53B3FEB2CFF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F00B-484F-A684-53B3FEB2CFF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F00B-484F-A684-53B3FEB2CFF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F00B-484F-A684-53B3FEB2CFF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F00B-484F-A684-53B3FEB2CFF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F00B-484F-A684-53B3FEB2CFF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F00B-484F-A684-53B3FEB2CFF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F00B-484F-A684-53B3FEB2CFF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F00B-484F-A684-53B3FEB2CFF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F00B-484F-A684-53B3FEB2CFF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F00B-484F-A684-53B3FEB2CFF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F00B-484F-A684-53B3FEB2CFF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F00B-484F-A684-53B3FEB2CFF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F00B-484F-A684-53B3FEB2CFF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F00B-484F-A684-53B3FEB2CFF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F00B-484F-A684-53B3FEB2CFF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F00B-484F-A684-53B3FEB2CFF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F00B-484F-A684-53B3FEB2CFF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F00B-484F-A684-53B3FEB2CFF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F00B-484F-A684-53B3FEB2CFF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F00B-484F-A684-53B3FEB2CFF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F00B-484F-A684-53B3FEB2CFF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F00B-484F-A684-53B3FEB2CFF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F00B-484F-A684-53B3FEB2CFF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F00B-484F-A684-53B3FEB2CFF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F00B-484F-A684-53B3FEB2CFF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F00B-484F-A684-53B3FEB2CFF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F00B-484F-A684-53B3FEB2CFF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F00B-484F-A684-53B3FEB2CFF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F00B-484F-A684-53B3FEB2CFF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F00B-484F-A684-53B3FEB2CFF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F00B-484F-A684-53B3FEB2CFF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F00B-484F-A684-53B3FEB2CFF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F00B-484F-A684-53B3FEB2CFF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F00B-484F-A684-53B3FEB2CFF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F00B-484F-A684-53B3FEB2CFF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F00B-484F-A684-53B3FEB2CFF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F00B-484F-A684-53B3FEB2CFF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F00B-484F-A684-53B3FEB2CFF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F00B-484F-A684-53B3FEB2CFF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F00B-484F-A684-53B3FEB2CFF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F00B-484F-A684-53B3FEB2CFF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F00B-484F-A684-53B3FEB2CFF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F00B-484F-A684-53B3FEB2CFF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F00B-484F-A684-53B3FEB2CFF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F00B-484F-A684-53B3FEB2CFF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F00B-484F-A684-53B3FEB2CFF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F00B-484F-A684-53B3FEB2CFF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F00B-484F-A684-53B3FEB2CFF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F00B-484F-A684-53B3FEB2CFF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F00B-484F-A684-53B3FEB2CFF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F00B-484F-A684-53B3FEB2CFF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F00B-484F-A684-53B3FEB2CFF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F00B-484F-A684-53B3FEB2CFF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F00B-484F-A684-53B3FEB2CFF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F00B-484F-A684-53B3FEB2CFF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F00B-484F-A684-53B3FEB2CFF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F00B-484F-A684-53B3FEB2CFF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F00B-484F-A684-53B3FEB2CFF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F00B-484F-A684-53B3FEB2CFF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F00B-484F-A684-53B3FEB2CFF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F00B-484F-A684-53B3FEB2CFF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F00B-484F-A684-53B3FEB2CFF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F00B-484F-A684-53B3FEB2CFF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F00B-484F-A684-53B3FEB2CFF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F00B-484F-A684-53B3FEB2CFF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F00B-484F-A684-53B3FEB2CFF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F00B-484F-A684-53B3FEB2CFF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F00B-484F-A684-53B3FEB2CFF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F00B-484F-A684-53B3FEB2CFF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F00B-484F-A684-53B3FEB2CFF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F00B-484F-A684-53B3FEB2CFF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F00B-484F-A684-53B3FEB2CFF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F00B-484F-A684-53B3FEB2CFF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F00B-484F-A684-53B3FEB2CFF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F00B-484F-A684-53B3FEB2CFF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F00B-484F-A684-53B3FEB2CFF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F00B-484F-A684-53B3FEB2CFF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F00B-484F-A684-53B3FEB2CFF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F00B-484F-A684-53B3FEB2CFF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F00B-484F-A684-53B3FEB2CFF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F00B-484F-A684-53B3FEB2CFF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F00B-484F-A684-53B3FEB2CFF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F00B-484F-A684-53B3FEB2CFF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F00B-484F-A684-53B3FEB2CFF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F00B-484F-A684-53B3FEB2CFF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F00B-484F-A684-53B3FEB2CFF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F00B-484F-A684-53B3FEB2CFF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F00B-484F-A684-53B3FEB2CFF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F00B-484F-A684-53B3FEB2CFF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F00B-484F-A684-53B3FEB2CFF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F00B-484F-A684-53B3FEB2CFF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F00B-484F-A684-53B3FEB2CFF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F00B-484F-A684-53B3FEB2CFF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F00B-484F-A684-53B3FEB2CFF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F00B-484F-A684-53B3FEB2CFF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F00B-484F-A684-53B3FEB2CFF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F00B-484F-A684-53B3FEB2CFF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F00B-484F-A684-53B3FEB2CFF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F00B-484F-A684-53B3FEB2CFF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F00B-484F-A684-53B3FEB2CFF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F00B-484F-A684-53B3FEB2CFF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F00B-484F-A684-53B3FEB2CFF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F00B-484F-A684-53B3FEB2CFF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F00B-484F-A684-53B3FEB2CFF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F00B-484F-A684-53B3FEB2CFF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F00B-484F-A684-53B3FEB2CFF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F00B-484F-A684-53B3FEB2CFF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F00B-484F-A684-53B3FEB2CFF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F00B-484F-A684-53B3FEB2CFF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F00B-484F-A684-53B3FEB2CFF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F00B-484F-A684-53B3FEB2CFF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F00B-484F-A684-53B3FEB2CFF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F00B-484F-A684-53B3FEB2CFF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F00B-484F-A684-53B3FEB2CFF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F00B-484F-A684-53B3FEB2CFF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F00B-484F-A684-53B3FEB2CFF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F00B-484F-A684-53B3FEB2CFF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F00B-484F-A684-53B3FEB2CFF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F00B-484F-A684-53B3FEB2CFF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F00B-484F-A684-53B3FEB2CFF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F00B-484F-A684-53B3FEB2CFF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F00B-484F-A684-53B3FEB2CFF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F00B-484F-A684-53B3FEB2CFF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F00B-484F-A684-53B3FEB2CFF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F00B-484F-A684-53B3FEB2CFF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F00B-484F-A684-53B3FEB2CFF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F00B-484F-A684-53B3FEB2CFF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F00B-484F-A684-53B3FEB2CFF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F00B-484F-A684-53B3FEB2CFF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F00B-484F-A684-53B3FEB2CFF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F00B-484F-A684-53B3FEB2CFF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F00B-484F-A684-53B3FEB2CFF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F00B-484F-A684-53B3FEB2CFF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F00B-484F-A684-53B3FEB2CFF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F00B-484F-A684-53B3FEB2CFF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F00B-484F-A684-53B3FEB2CFF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F00B-484F-A684-53B3FEB2CFF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F00B-484F-A684-53B3FEB2CFF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F00B-484F-A684-53B3FEB2CFF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F00B-484F-A684-53B3FEB2CFF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F00B-484F-A684-53B3FEB2CFF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F00B-484F-A684-53B3FEB2CFF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F00B-484F-A684-53B3FEB2CFF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F00B-484F-A684-53B3FEB2CFF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F00B-484F-A684-53B3FEB2CFF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F00B-484F-A684-53B3FEB2CFF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F00B-484F-A684-53B3FEB2CFF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F00B-484F-A684-53B3FEB2CFF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F00B-484F-A684-53B3FEB2CFF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F00B-484F-A684-53B3FEB2CFF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F00B-484F-A684-53B3FEB2CFF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F00B-484F-A684-53B3FEB2CFF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F00B-484F-A684-53B3FEB2CFF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F00B-484F-A684-53B3FEB2CFF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F00B-484F-A684-53B3FEB2CFF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F00B-484F-A684-53B3FEB2CFF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F00B-484F-A684-53B3FEB2CFF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F00B-484F-A684-53B3FEB2CFF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F00B-484F-A684-53B3FEB2CFF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F00B-484F-A684-53B3FEB2CFF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F00B-484F-A684-53B3FEB2CFF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F00B-484F-A684-53B3FEB2CFF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F00B-484F-A684-53B3FEB2CFF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F00B-484F-A684-53B3FEB2CFF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F00B-484F-A684-53B3FEB2CFF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F00B-484F-A684-53B3FEB2CFF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F00B-484F-A684-53B3FEB2CFF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F00B-484F-A684-53B3FEB2CFF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F00B-484F-A684-53B3FEB2CFF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F00B-484F-A684-53B3FEB2CFF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F00B-484F-A684-53B3FEB2CFF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F00B-484F-A684-53B3FEB2CFF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F00B-484F-A684-53B3FEB2CFF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F00B-484F-A684-53B3FEB2CFF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F00B-484F-A684-53B3FEB2CFF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F00B-484F-A684-53B3FEB2CFF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F00B-484F-A684-53B3FEB2CFF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F00B-484F-A684-53B3FEB2CFF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F00B-484F-A684-53B3FEB2CFF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F00B-484F-A684-53B3FEB2CFF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F00B-484F-A684-53B3FEB2CFF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F00B-484F-A684-53B3FEB2CFF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F00B-484F-A684-53B3FEB2CFF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F00B-484F-A684-53B3FEB2CFF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F00B-484F-A684-53B3FEB2CFF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F00B-484F-A684-53B3FEB2CFF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F00B-484F-A684-53B3FEB2CFF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F00B-484F-A684-53B3FEB2CFF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F00B-484F-A684-53B3FEB2CFF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F00B-484F-A684-53B3FEB2CFF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F00B-484F-A684-53B3FEB2CFF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F00B-484F-A684-53B3FEB2CFF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F00B-484F-A684-53B3FEB2CFF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F00B-484F-A684-53B3FEB2CFF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F00B-484F-A684-53B3FEB2CFF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F00B-484F-A684-53B3FEB2CFF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F00B-484F-A684-53B3FEB2CFF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F00B-484F-A684-53B3FEB2CFF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F00B-484F-A684-53B3FEB2CFF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F00B-484F-A684-53B3FEB2CFF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F00B-484F-A684-53B3FEB2CFF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F00B-484F-A684-53B3FEB2CFF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F00B-484F-A684-53B3FEB2CFF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F00B-484F-A684-53B3FEB2CFF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F00B-484F-A684-53B3FEB2CFF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F00B-484F-A684-53B3FEB2CFF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F00B-484F-A684-53B3FEB2CFF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F00B-484F-A684-53B3FEB2CFF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F00B-484F-A684-53B3FEB2CFF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F00B-484F-A684-53B3FEB2CFF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F00B-484F-A684-53B3FEB2CFF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F00B-484F-A684-53B3FEB2CFF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F00B-484F-A684-53B3FEB2CFF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F00B-484F-A684-53B3FEB2CFF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F00B-484F-A684-53B3FEB2CFF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F00B-484F-A684-53B3FEB2CFF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F00B-484F-A684-53B3FEB2CFF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F00B-484F-A684-53B3FEB2CFF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F00B-484F-A684-53B3FEB2CFF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F00B-484F-A684-53B3FEB2CFF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F00B-484F-A684-53B3FEB2CFF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F00B-484F-A684-53B3FEB2CFF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F00B-484F-A684-53B3FEB2CFF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F00B-484F-A684-53B3FEB2CFF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F00B-484F-A684-53B3FEB2CFF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F00B-484F-A684-53B3FEB2CFF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F00B-484F-A684-53B3FEB2CFF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F00B-484F-A684-53B3FEB2CFF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F00B-484F-A684-53B3FEB2CFF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F00B-484F-A684-53B3FEB2CFF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F00B-484F-A684-53B3FEB2CFF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F00B-484F-A684-53B3FEB2CFF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F00B-484F-A684-53B3FEB2CFF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F00B-484F-A684-53B3FEB2CFF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F00B-484F-A684-53B3FEB2CFF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F00B-484F-A684-53B3FEB2CFF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F00B-484F-A684-53B3FEB2CFF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F00B-484F-A684-53B3FEB2CFF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F00B-484F-A684-53B3FEB2CFF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F00B-484F-A684-53B3FEB2CFF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F00B-484F-A684-53B3FEB2CFF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F00B-484F-A684-53B3FEB2CFF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F00B-484F-A684-53B3FEB2CFF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F00B-484F-A684-53B3FEB2CFF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F00B-484F-A684-53B3FEB2CFF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F00B-484F-A684-53B3FEB2CFF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F00B-484F-A684-53B3FEB2CFF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F00B-484F-A684-53B3FEB2CFF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F00B-484F-A684-53B3FEB2CFF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F00B-484F-A684-53B3FEB2CFF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F00B-484F-A684-53B3FEB2CFF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F00B-484F-A684-53B3FEB2CFF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F00B-484F-A684-53B3FEB2CFF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F00B-484F-A684-53B3FEB2CFF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F00B-484F-A684-53B3FEB2CFF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F00B-484F-A684-53B3FEB2CFF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F00B-484F-A684-53B3FEB2CFF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F00B-484F-A684-53B3FEB2CFF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F00B-484F-A684-53B3FEB2CFF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F00B-484F-A684-53B3FEB2CFF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F00B-484F-A684-53B3FEB2CFF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F00B-484F-A684-53B3FEB2CFF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F00B-484F-A684-53B3FEB2CFF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F00B-484F-A684-53B3FEB2CFF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F00B-484F-A684-53B3FEB2CFF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F00B-484F-A684-53B3FEB2CFF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F00B-484F-A684-53B3FEB2CFF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F00B-484F-A684-53B3FEB2CFF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F00B-484F-A684-53B3FEB2CFF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F00B-484F-A684-53B3FEB2CFF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F00B-484F-A684-53B3FEB2CFF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F00B-484F-A684-53B3FEB2CFF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F00B-484F-A684-53B3FEB2CFF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F00B-484F-A684-53B3FEB2CFF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F00B-484F-A684-53B3FEB2CFF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F00B-484F-A684-53B3FEB2CFF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F00B-484F-A684-53B3FEB2CFF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F00B-484F-A684-53B3FEB2CFF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F00B-484F-A684-53B3FEB2CFF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F00B-484F-A684-53B3FEB2CFF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F00B-484F-A684-53B3FEB2CFF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F00B-484F-A684-53B3FEB2CFF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F00B-484F-A684-53B3FEB2CFF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F00B-484F-A684-53B3FEB2CFF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F00B-484F-A684-53B3FEB2CFF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F00B-484F-A684-53B3FEB2CFF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F00B-484F-A684-53B3FEB2CFF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F00B-484F-A684-53B3FEB2CFF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F00B-484F-A684-53B3FEB2CFF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F00B-484F-A684-53B3FEB2CFF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F00B-484F-A684-53B3FEB2CFF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F00B-484F-A684-53B3FEB2CFF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F00B-484F-A684-53B3FEB2CFF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F00B-484F-A684-53B3FEB2CFF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F00B-484F-A684-53B3FEB2CFF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F00B-484F-A684-53B3FEB2CFF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F00B-484F-A684-53B3FEB2CFF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F00B-484F-A684-53B3FEB2CFF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F00B-484F-A684-53B3FEB2CFF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F00B-484F-A684-53B3FEB2CFF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F00B-484F-A684-53B3FEB2CFF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F00B-484F-A684-53B3FEB2CFF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F00B-484F-A684-53B3FEB2CFF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F00B-484F-A684-53B3FEB2CFF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F00B-484F-A684-53B3FEB2CFF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F00B-484F-A684-53B3FEB2CFF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F00B-484F-A684-53B3FEB2CFF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F00B-484F-A684-53B3FEB2CFF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F00B-484F-A684-53B3FEB2CFF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F00B-484F-A684-53B3FEB2CFF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F00B-484F-A684-53B3FEB2CFF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F00B-484F-A684-53B3FEB2CFF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F00B-484F-A684-53B3FEB2CFF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F00B-484F-A684-53B3FEB2CFF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F00B-484F-A684-53B3FEB2CFF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F00B-484F-A684-53B3FEB2CFF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('Données initiales'!$D$180,'Données initiales'!$F$180,'Données initiales'!$H$180,'Données initiales'!$J$180,'Données initiales'!$L$180,'Données initiales'!$N$180,'Données initiales'!$P$180)</c15:sqref>
                        </c15:formulaRef>
                      </c:ext>
                    </c:extLst>
                  </c:numRef>
                </c:val>
                <c:extLst>
                  <c:ext xmlns:c16="http://schemas.microsoft.com/office/drawing/2014/chart" uri="{C3380CC4-5D6E-409C-BE32-E72D297353CC}">
                    <c16:uniqueId val="{00000285-D743-485C-85A8-46AAD4F995FD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initiales'!$C$181</c15:sqref>
                        </c15:formulaRef>
                      </c:ext>
                    </c:extLst>
                    <c:strCache>
                      <c:ptCount val="1"/>
                      <c:pt idx="0">
                        <c:v>DBA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7-5D1C-4855-B586-1E797F9B3998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7-AE6C-4EBA-B46F-54D3AEFC70C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D-E584-4D3C-B2C0-F71AB87A2A9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7-EABE-4DE8-9E08-79008D5637D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1-E584-4D3C-B2C0-F71AB87A2A9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1-4C59-4571-A0EC-AF07DC26EFB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5-E584-4D3C-B2C0-F71AB87A2A9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B-EABE-4DE8-9E08-79008D5637D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9-E584-4D3C-B2C0-F71AB87A2A9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7-302A-40FE-8A83-A7C7D11D567A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D-E584-4D3C-B2C0-F71AB87A2A9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F-EABE-4DE8-9E08-79008D5637DA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5-4C59-4571-A0EC-AF07DC26EFB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3-EABE-4DE8-9E08-79008D5637DA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9-AE6C-4EBA-B46F-54D3AEFC70C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7-EABE-4DE8-9E08-79008D5637DA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9-4C59-4571-A0EC-AF07DC26EFB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B-302A-40FE-8A83-A7C7D11D567A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D-4C59-4571-A0EC-AF07DC26EFB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1-E8A9-4E9E-8D49-11C3D045B80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1-4C59-4571-A0EC-AF07DC26EFB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5-A99A-4D19-9146-7CAF62C902E6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5-E8A9-4E9E-8D49-11C3D045B80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9-1F5F-4074-9566-67CD4D12EF40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9-A99A-4D19-9146-7CAF62C902E6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3-62DE-443A-97AD-3C7EEF438946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D-1F5F-4074-9566-67CD4D12EF40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F-302A-40FE-8A83-A7C7D11D567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B-AE6C-4EBA-B46F-54D3AEFC70C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3-302A-40FE-8A83-A7C7D11D567A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7-BFB8-4CBA-8932-6FA0335E0C60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7-302A-40FE-8A83-A7C7D11D567A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B-C13E-4FDD-8839-B550F18AAF84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B-BFB8-4CBA-8932-6FA0335E0C60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F-E83F-4EE4-B5B6-46E84B373EBF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F-C13E-4FDD-8839-B550F18AAF84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3-3B02-40F7-AEF6-32F6199276C4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3-E83F-4EE4-B5B6-46E84B373EBF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7-62DE-443A-97AD-3C7EEF438946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7-3B02-40F7-AEF6-32F6199276C4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D-AE6C-4EBA-B46F-54D3AEFC70C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B-62DE-443A-97AD-3C7EEF438946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F-AE6C-4EBA-B46F-54D3AEFC70C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F-62DE-443A-97AD-3C7EEF438946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F898-4150-B11B-A34BA52765CF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0D8B-40D2-9511-1D1F43A218B5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229F-4516-B7C5-03D8C7DE4CB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F898-4150-B11B-A34BA52765CF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33B0-411C-8DA3-1A710A95E3A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229F-4516-B7C5-03D8C7DE4CB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98D6-4BCC-975D-A277E44B92A0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229F-4516-B7C5-03D8C7DE4CB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649D-4A19-9379-3BF4666D0E23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98D6-4BCC-975D-A277E44B92A0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33B0-411C-8DA3-1A710A95E3A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98D6-4BCC-975D-A277E44B92A0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6B69-4081-840E-000F18F63EA4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33B0-411C-8DA3-1A710A95E3A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649D-4A19-9379-3BF4666D0E23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33B0-411C-8DA3-1A710A95E3A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5287-4F80-86CF-52812999724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649D-4A19-9379-3BF4666D0E23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6B69-4081-840E-000F18F63EA4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649D-4A19-9379-3BF4666D0E23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B295-44CE-89EF-65A5FC14B26A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6B69-4081-840E-000F18F63EA4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5287-4F80-86CF-52812999724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6B69-4081-840E-000F18F63EA4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0DE7-45ED-9920-2F51BABEDA24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5287-4F80-86CF-52812999724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81F0-4AF8-A703-F8176C52F44D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5287-4F80-86CF-52812999724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0DE7-45ED-9920-2F51BABEDA24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B295-44CE-89EF-65A5FC14B26A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0DE7-45ED-9920-2F51BABEDA24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D5D9-45D6-A8C4-5057955FE32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0DE7-45ED-9920-2F51BABEDA24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B295-44CE-89EF-65A5FC14B26A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81F0-4AF8-A703-F8176C52F44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B295-44CE-89EF-65A5FC14B26A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9849-460D-9466-26FC8283A2F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B295-44CE-89EF-65A5FC14B26A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172F-4947-91A3-476DF561E35B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9849-460D-9466-26FC8283A2F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9982-4CD1-B159-BA3D758AB623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172F-4947-91A3-476DF561E35B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3-F00B-484F-A684-53B3FEB2CFF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9982-4CD1-B159-BA3D758AB623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81F0-4AF8-A703-F8176C52F44D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D5D9-45D6-A8C4-5057955FE32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81F0-4AF8-A703-F8176C52F44D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9CE4-4E34-AFF1-267C71AB919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81F0-4AF8-A703-F8176C52F44D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C417-4560-BC0F-217B4A2E6275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9CE4-4E34-AFF1-267C71AB919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D5D9-45D6-A8C4-5057955FE32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C417-4560-BC0F-217B4A2E6275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D5D9-45D6-A8C4-5057955FE32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C417-4560-BC0F-217B4A2E6275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D5D9-45D6-A8C4-5057955FE32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CEE0-426A-ADFF-C0609E3D257A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C417-4560-BC0F-217B4A2E6275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8252-477A-9734-EDA65DAC8A05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CEE0-426A-ADFF-C0609E3D257A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158B-4273-955D-24B445AB8A26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8252-477A-9734-EDA65DAC8A05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A643-44EF-AA4D-851003185A15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158B-4273-955D-24B445AB8A26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28A2-4C21-B514-9813D03051EF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A643-44EF-AA4D-851003185A15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09AA-4AE6-855F-3A8CA6FF232C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28A2-4C21-B514-9813D03051EF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E753-42AA-A8BC-AEE8AF3ECFFF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09AA-4AE6-855F-3A8CA6FF232C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9150-4240-917C-FC1BB9816CF4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E753-42AA-A8BC-AEE8AF3ECFFF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5-F00B-484F-A684-53B3FEB2CFF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9150-4240-917C-FC1BB9816CF4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C43B-49E9-861A-AF0108B517A2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9150-4240-917C-FC1BB9816CF4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DD2E-41FC-BB90-A37E53752B9B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C43B-49E9-861A-AF0108B517A2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7-F00B-484F-A684-53B3FEB2CFF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C43B-49E9-861A-AF0108B517A2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DD2E-41FC-BB90-A37E53752B9B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54F6-4C32-9950-D5C5177AD91E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DD2E-41FC-BB90-A37E53752B9B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F9C9-4A72-BE65-646D5EB3B762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54F6-4C32-9950-D5C5177AD91E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DCFD-4969-9ED1-D81E777C917B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F9C9-4A72-BE65-646D5EB3B762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9-F00B-484F-A684-53B3FEB2CFF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DCFD-4969-9ED1-D81E777C917B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B-F00B-484F-A684-53B3FEB2CFF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F00B-484F-A684-53B3FEB2CFF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F-F00B-484F-A684-53B3FEB2CFF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F00B-484F-A684-53B3FEB2CFF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3-F00B-484F-A684-53B3FEB2CFF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F00B-484F-A684-53B3FEB2CFF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7-F00B-484F-A684-53B3FEB2CFF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F00B-484F-A684-53B3FEB2CFF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B-F00B-484F-A684-53B3FEB2CFF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F00B-484F-A684-53B3FEB2CFF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F-F00B-484F-A684-53B3FEB2CFF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F00B-484F-A684-53B3FEB2CFF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F00B-484F-A684-53B3FEB2CFF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5-F00B-484F-A684-53B3FEB2CFF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F00B-484F-A684-53B3FEB2CFF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9-F00B-484F-A684-53B3FEB2CFF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F00B-484F-A684-53B3FEB2CFF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D-F00B-484F-A684-53B3FEB2CFF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F00B-484F-A684-53B3FEB2CFF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1-F00B-484F-A684-53B3FEB2CFF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F00B-484F-A684-53B3FEB2CFF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5-F00B-484F-A684-53B3FEB2CFF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F00B-484F-A684-53B3FEB2CFF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9-F00B-484F-A684-53B3FEB2CFF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F00B-484F-A684-53B3FEB2CFF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D-F00B-484F-A684-53B3FEB2CFF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F00B-484F-A684-53B3FEB2CFF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1-F00B-484F-A684-53B3FEB2CFF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F00B-484F-A684-53B3FEB2CFF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5-F00B-484F-A684-53B3FEB2CFF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F00B-484F-A684-53B3FEB2CFF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F00B-484F-A684-53B3FEB2CFF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F00B-484F-A684-53B3FEB2CFF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D-F00B-484F-A684-53B3FEB2CFF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F00B-484F-A684-53B3FEB2CFF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1-F00B-484F-A684-53B3FEB2CFF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F00B-484F-A684-53B3FEB2CFF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5-F00B-484F-A684-53B3FEB2CFF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F00B-484F-A684-53B3FEB2CFF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F00B-484F-A684-53B3FEB2CFF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F00B-484F-A684-53B3FEB2CFF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F00B-484F-A684-53B3FEB2CFF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F00B-484F-A684-53B3FEB2CFF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F00B-484F-A684-53B3FEB2CFF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3-F00B-484F-A684-53B3FEB2CFF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F00B-484F-A684-53B3FEB2CFF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F00B-484F-A684-53B3FEB2CFF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F00B-484F-A684-53B3FEB2CFF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F00B-484F-A684-53B3FEB2CFF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F00B-484F-A684-53B3FEB2CFF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F00B-484F-A684-53B3FEB2CFF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1-F00B-484F-A684-53B3FEB2CFF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F00B-484F-A684-53B3FEB2CFF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5-F00B-484F-A684-53B3FEB2CFF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F00B-484F-A684-53B3FEB2CFF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9-F00B-484F-A684-53B3FEB2CFF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F00B-484F-A684-53B3FEB2CFF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D-F00B-484F-A684-53B3FEB2CFF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F00B-484F-A684-53B3FEB2CFF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F00B-484F-A684-53B3FEB2CFF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F00B-484F-A684-53B3FEB2CFF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F00B-484F-A684-53B3FEB2CFF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F00B-484F-A684-53B3FEB2CFF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F00B-484F-A684-53B3FEB2CFF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F00B-484F-A684-53B3FEB2CFF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F00B-484F-A684-53B3FEB2CFF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F00B-484F-A684-53B3FEB2CFF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1-F00B-484F-A684-53B3FEB2CFF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F00B-484F-A684-53B3FEB2CFF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5-F00B-484F-A684-53B3FEB2CFF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F00B-484F-A684-53B3FEB2CFF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9-F00B-484F-A684-53B3FEB2CFF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F00B-484F-A684-53B3FEB2CFF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D-F00B-484F-A684-53B3FEB2CFF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F00B-484F-A684-53B3FEB2CFF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1-F00B-484F-A684-53B3FEB2CFF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F00B-484F-A684-53B3FEB2CFF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5-F00B-484F-A684-53B3FEB2CFF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F00B-484F-A684-53B3FEB2CFF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9-F00B-484F-A684-53B3FEB2CFF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F00B-484F-A684-53B3FEB2CFF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D-F00B-484F-A684-53B3FEB2CFF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F00B-484F-A684-53B3FEB2CFF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1-F00B-484F-A684-53B3FEB2CFF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F00B-484F-A684-53B3FEB2CFF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5-F00B-484F-A684-53B3FEB2CFF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F00B-484F-A684-53B3FEB2CFF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9-F00B-484F-A684-53B3FEB2CFF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F00B-484F-A684-53B3FEB2CFF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D-F00B-484F-A684-53B3FEB2CFF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F00B-484F-A684-53B3FEB2CFF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1-F00B-484F-A684-53B3FEB2CFF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3-F00B-484F-A684-53B3FEB2CFF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5-F00B-484F-A684-53B3FEB2CFF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7-F00B-484F-A684-53B3FEB2CFF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9-F00B-484F-A684-53B3FEB2CFF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B-F00B-484F-A684-53B3FEB2CFF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D-F00B-484F-A684-53B3FEB2CFF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F-F00B-484F-A684-53B3FEB2CFF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1-F00B-484F-A684-53B3FEB2CFF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3-F00B-484F-A684-53B3FEB2CFF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5-F00B-484F-A684-53B3FEB2CFF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7-F00B-484F-A684-53B3FEB2CFF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9-F00B-484F-A684-53B3FEB2CFF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B-F00B-484F-A684-53B3FEB2CFF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D-F00B-484F-A684-53B3FEB2CFF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F-F00B-484F-A684-53B3FEB2CFF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1-F00B-484F-A684-53B3FEB2CFF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3-F00B-484F-A684-53B3FEB2CFF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5-F00B-484F-A684-53B3FEB2CFF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7-F00B-484F-A684-53B3FEB2CFF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9-F00B-484F-A684-53B3FEB2CFF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B-F00B-484F-A684-53B3FEB2CFF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D-F00B-484F-A684-53B3FEB2CFF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F-F00B-484F-A684-53B3FEB2CFF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1-F00B-484F-A684-53B3FEB2CFF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3-F00B-484F-A684-53B3FEB2CFF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5-F00B-484F-A684-53B3FEB2CFF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7-F00B-484F-A684-53B3FEB2CFF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9-F00B-484F-A684-53B3FEB2CFF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F00B-484F-A684-53B3FEB2CFF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D-F00B-484F-A684-53B3FEB2CFF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F-F00B-484F-A684-53B3FEB2CFF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1-F00B-484F-A684-53B3FEB2CFF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3-F00B-484F-A684-53B3FEB2CFF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5-F00B-484F-A684-53B3FEB2CFF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7-F00B-484F-A684-53B3FEB2CFF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9-F00B-484F-A684-53B3FEB2CFF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B-F00B-484F-A684-53B3FEB2CFF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D-F00B-484F-A684-53B3FEB2CFF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F-F00B-484F-A684-53B3FEB2CFF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1-F00B-484F-A684-53B3FEB2CFF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3-F00B-484F-A684-53B3FEB2CFF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5-F00B-484F-A684-53B3FEB2CFF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7-F00B-484F-A684-53B3FEB2CFF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9-F00B-484F-A684-53B3FEB2CFF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B-F00B-484F-A684-53B3FEB2CFF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D-F00B-484F-A684-53B3FEB2CFF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F-F00B-484F-A684-53B3FEB2CFF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1-F00B-484F-A684-53B3FEB2CFF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3-F00B-484F-A684-53B3FEB2CFF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5-F00B-484F-A684-53B3FEB2CFF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7-F00B-484F-A684-53B3FEB2CFF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9-F00B-484F-A684-53B3FEB2CFF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B-F00B-484F-A684-53B3FEB2CFF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D-F00B-484F-A684-53B3FEB2CFF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F-F00B-484F-A684-53B3FEB2CFF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1-F00B-484F-A684-53B3FEB2CFF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3-F00B-484F-A684-53B3FEB2CFF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5-F00B-484F-A684-53B3FEB2CFF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7-F00B-484F-A684-53B3FEB2CFF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9-F00B-484F-A684-53B3FEB2CFF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B-F00B-484F-A684-53B3FEB2CFF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D-F00B-484F-A684-53B3FEB2CFF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F-F00B-484F-A684-53B3FEB2CFF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1-F00B-484F-A684-53B3FEB2CFF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3-F00B-484F-A684-53B3FEB2CFF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5-F00B-484F-A684-53B3FEB2CFF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7-F00B-484F-A684-53B3FEB2CFF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9-F00B-484F-A684-53B3FEB2CFF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B-F00B-484F-A684-53B3FEB2CFF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D-F00B-484F-A684-53B3FEB2CFF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F-F00B-484F-A684-53B3FEB2CFF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1-F00B-484F-A684-53B3FEB2CFF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3-F00B-484F-A684-53B3FEB2CFF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5-F00B-484F-A684-53B3FEB2CFF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7-F00B-484F-A684-53B3FEB2CFF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9-F00B-484F-A684-53B3FEB2CFF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B-F00B-484F-A684-53B3FEB2CFF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D-F00B-484F-A684-53B3FEB2CFF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F-F00B-484F-A684-53B3FEB2CFF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1-F00B-484F-A684-53B3FEB2CFF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3-F00B-484F-A684-53B3FEB2CFF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5-F00B-484F-A684-53B3FEB2CFF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7-F00B-484F-A684-53B3FEB2CFF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9-F00B-484F-A684-53B3FEB2CFF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B-F00B-484F-A684-53B3FEB2CFF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D-F00B-484F-A684-53B3FEB2CFF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F-F00B-484F-A684-53B3FEB2CFF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1-F00B-484F-A684-53B3FEB2CFF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3-F00B-484F-A684-53B3FEB2CFF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5-F00B-484F-A684-53B3FEB2CFF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7-F00B-484F-A684-53B3FEB2CFF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9-F00B-484F-A684-53B3FEB2CFF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B-F00B-484F-A684-53B3FEB2CFF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D-F00B-484F-A684-53B3FEB2CFF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F-F00B-484F-A684-53B3FEB2CFF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1-F00B-484F-A684-53B3FEB2CFF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3-F00B-484F-A684-53B3FEB2CFF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5-F00B-484F-A684-53B3FEB2CFF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7-F00B-484F-A684-53B3FEB2CFF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9-F00B-484F-A684-53B3FEB2CFF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B-F00B-484F-A684-53B3FEB2CFF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D-F00B-484F-A684-53B3FEB2CFF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F-F00B-484F-A684-53B3FEB2CFF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1-F00B-484F-A684-53B3FEB2CFF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3-F00B-484F-A684-53B3FEB2CFF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5-F00B-484F-A684-53B3FEB2CFF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7-F00B-484F-A684-53B3FEB2CFF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9-F00B-484F-A684-53B3FEB2CFF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B-F00B-484F-A684-53B3FEB2CFF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D-F00B-484F-A684-53B3FEB2CFF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F-F00B-484F-A684-53B3FEB2CFF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1-F00B-484F-A684-53B3FEB2CFF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3-F00B-484F-A684-53B3FEB2CFF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5-F00B-484F-A684-53B3FEB2CFF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7-F00B-484F-A684-53B3FEB2CFF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9-F00B-484F-A684-53B3FEB2CFF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B-F00B-484F-A684-53B3FEB2CFF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D-F00B-484F-A684-53B3FEB2CFF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F-F00B-484F-A684-53B3FEB2CFF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1-F00B-484F-A684-53B3FEB2CFF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3-F00B-484F-A684-53B3FEB2CFF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5-F00B-484F-A684-53B3FEB2CFF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7-F00B-484F-A684-53B3FEB2CFF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9-F00B-484F-A684-53B3FEB2CFF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B-F00B-484F-A684-53B3FEB2CFF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D-F00B-484F-A684-53B3FEB2CFF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F-F00B-484F-A684-53B3FEB2CFF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1-F00B-484F-A684-53B3FEB2CFF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3-F00B-484F-A684-53B3FEB2CFF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5-F00B-484F-A684-53B3FEB2CFF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7-F00B-484F-A684-53B3FEB2CFF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9-F00B-484F-A684-53B3FEB2CFF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B-F00B-484F-A684-53B3FEB2CFF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D-F00B-484F-A684-53B3FEB2CFF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F-F00B-484F-A684-53B3FEB2CFF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1-F00B-484F-A684-53B3FEB2CFF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3-F00B-484F-A684-53B3FEB2CFF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5-F00B-484F-A684-53B3FEB2CFF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7-F00B-484F-A684-53B3FEB2CFF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9-F00B-484F-A684-53B3FEB2CFF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B-F00B-484F-A684-53B3FEB2CFF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D-F00B-484F-A684-53B3FEB2CFF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F-F00B-484F-A684-53B3FEB2CFF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1-F00B-484F-A684-53B3FEB2CFF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3-F00B-484F-A684-53B3FEB2CFF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5-F00B-484F-A684-53B3FEB2CFF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7-F00B-484F-A684-53B3FEB2CFF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9-F00B-484F-A684-53B3FEB2CFF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B-F00B-484F-A684-53B3FEB2CFF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D-F00B-484F-A684-53B3FEB2CFF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F-F00B-484F-A684-53B3FEB2CFF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1-F00B-484F-A684-53B3FEB2CFF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3-F00B-484F-A684-53B3FEB2CFF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5-F00B-484F-A684-53B3FEB2CFF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7-F00B-484F-A684-53B3FEB2CFF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9-F00B-484F-A684-53B3FEB2CFF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B-F00B-484F-A684-53B3FEB2CFF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D-F00B-484F-A684-53B3FEB2CFF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F-F00B-484F-A684-53B3FEB2CFF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1-F00B-484F-A684-53B3FEB2CFF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3-F00B-484F-A684-53B3FEB2CFF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5-F00B-484F-A684-53B3FEB2CFF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7-F00B-484F-A684-53B3FEB2CFF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9-F00B-484F-A684-53B3FEB2CFF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B-F00B-484F-A684-53B3FEB2CFF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D-F00B-484F-A684-53B3FEB2CFF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F-F00B-484F-A684-53B3FEB2CFF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1-F00B-484F-A684-53B3FEB2CFF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3-F00B-484F-A684-53B3FEB2CFF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5-F00B-484F-A684-53B3FEB2CFF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7-F00B-484F-A684-53B3FEB2CFF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9-F00B-484F-A684-53B3FEB2CFF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B-F00B-484F-A684-53B3FEB2CFF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D-F00B-484F-A684-53B3FEB2CFF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F-F00B-484F-A684-53B3FEB2CFF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1-F00B-484F-A684-53B3FEB2CFF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3-F00B-484F-A684-53B3FEB2CFF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5-F00B-484F-A684-53B3FEB2CFF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7-F00B-484F-A684-53B3FEB2CFF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9-F00B-484F-A684-53B3FEB2CFF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B-F00B-484F-A684-53B3FEB2CFF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D-F00B-484F-A684-53B3FEB2CFF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F-F00B-484F-A684-53B3FEB2CFF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1-F00B-484F-A684-53B3FEB2CFF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3-F00B-484F-A684-53B3FEB2CFF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5-F00B-484F-A684-53B3FEB2CFF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7-F00B-484F-A684-53B3FEB2CFF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9-F00B-484F-A684-53B3FEB2CFF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B-F00B-484F-A684-53B3FEB2CFF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D-F00B-484F-A684-53B3FEB2CFF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F-F00B-484F-A684-53B3FEB2CFF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1-F00B-484F-A684-53B3FEB2CFF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3-F00B-484F-A684-53B3FEB2CFF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5-F00B-484F-A684-53B3FEB2CFF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7-F00B-484F-A684-53B3FEB2CFF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9-F00B-484F-A684-53B3FEB2CFF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B-F00B-484F-A684-53B3FEB2CFF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D-F00B-484F-A684-53B3FEB2CFF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F-F00B-484F-A684-53B3FEB2CFF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1-F00B-484F-A684-53B3FEB2CFF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3-F00B-484F-A684-53B3FEB2CFF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5-F00B-484F-A684-53B3FEB2CFF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7-F00B-484F-A684-53B3FEB2CFF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9-F00B-484F-A684-53B3FEB2CFF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B-F00B-484F-A684-53B3FEB2CFF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D-F00B-484F-A684-53B3FEB2CFF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F-F00B-484F-A684-53B3FEB2CFF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1-F00B-484F-A684-53B3FEB2CFF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3-F00B-484F-A684-53B3FEB2CFF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5-F00B-484F-A684-53B3FEB2CFF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7-F00B-484F-A684-53B3FEB2CFF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9-F00B-484F-A684-53B3FEB2CFF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B-F00B-484F-A684-53B3FEB2CFF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D-F00B-484F-A684-53B3FEB2CFF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F-F00B-484F-A684-53B3FEB2CFF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1-F00B-484F-A684-53B3FEB2CFF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3-F00B-484F-A684-53B3FEB2CFF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5-F00B-484F-A684-53B3FEB2CFF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7-F00B-484F-A684-53B3FEB2CFF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9-F00B-484F-A684-53B3FEB2CFF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B-F00B-484F-A684-53B3FEB2CFF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D-F00B-484F-A684-53B3FEB2CFF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F-F00B-484F-A684-53B3FEB2CFF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1-F00B-484F-A684-53B3FEB2CFF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3-F00B-484F-A684-53B3FEB2CFF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5-F00B-484F-A684-53B3FEB2CFF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7-F00B-484F-A684-53B3FEB2CFF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9-F00B-484F-A684-53B3FEB2CFF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B-F00B-484F-A684-53B3FEB2CFF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D-F00B-484F-A684-53B3FEB2CFF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F-F00B-484F-A684-53B3FEB2CFF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1-F00B-484F-A684-53B3FEB2CFF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3-F00B-484F-A684-53B3FEB2CFF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5-F00B-484F-A684-53B3FEB2CFF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7-F00B-484F-A684-53B3FEB2CFF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9-F00B-484F-A684-53B3FEB2CFF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B-F00B-484F-A684-53B3FEB2CFF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D-F00B-484F-A684-53B3FEB2CFF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F-F00B-484F-A684-53B3FEB2CFF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1-F00B-484F-A684-53B3FEB2CFF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3-F00B-484F-A684-53B3FEB2CFF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5-F00B-484F-A684-53B3FEB2CFF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7-F00B-484F-A684-53B3FEB2CFF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9-F00B-484F-A684-53B3FEB2CFF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B-F00B-484F-A684-53B3FEB2CFF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D-F00B-484F-A684-53B3FEB2CFF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F-F00B-484F-A684-53B3FEB2CFF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1-F00B-484F-A684-53B3FEB2CFF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3-F00B-484F-A684-53B3FEB2CFF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5-F00B-484F-A684-53B3FEB2CFF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7-F00B-484F-A684-53B3FEB2CFF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9-F00B-484F-A684-53B3FEB2CFF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B-F00B-484F-A684-53B3FEB2CFF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D-F00B-484F-A684-53B3FEB2CFF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F-F00B-484F-A684-53B3FEB2CFF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1-F00B-484F-A684-53B3FEB2CFF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3-F00B-484F-A684-53B3FEB2CFF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5-F00B-484F-A684-53B3FEB2CFF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7-F00B-484F-A684-53B3FEB2CFF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9-F00B-484F-A684-53B3FEB2CFF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B-F00B-484F-A684-53B3FEB2CFF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D-F00B-484F-A684-53B3FEB2CFF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F-F00B-484F-A684-53B3FEB2CFF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1-F00B-484F-A684-53B3FEB2CFF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3-F00B-484F-A684-53B3FEB2CFF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5-F00B-484F-A684-53B3FEB2CFF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7-F00B-484F-A684-53B3FEB2CFF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9-F00B-484F-A684-53B3FEB2CFF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B-F00B-484F-A684-53B3FEB2CFF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D-F00B-484F-A684-53B3FEB2CFF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F-F00B-484F-A684-53B3FEB2CFF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1-F00B-484F-A684-53B3FEB2CFF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3-F00B-484F-A684-53B3FEB2CFF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5-F00B-484F-A684-53B3FEB2CFF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7-F00B-484F-A684-53B3FEB2CFF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9-F00B-484F-A684-53B3FEB2CFF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B-F00B-484F-A684-53B3FEB2CFF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D-F00B-484F-A684-53B3FEB2CFF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F-F00B-484F-A684-53B3FEB2CFF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1-F00B-484F-A684-53B3FEB2CFF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3-F00B-484F-A684-53B3FEB2CFF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5-F00B-484F-A684-53B3FEB2CFF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7-F00B-484F-A684-53B3FEB2CFF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9-F00B-484F-A684-53B3FEB2CFF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B-F00B-484F-A684-53B3FEB2CFF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D-F00B-484F-A684-53B3FEB2CFF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F-F00B-484F-A684-53B3FEB2CFF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1-F00B-484F-A684-53B3FEB2CFF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3-F00B-484F-A684-53B3FEB2CFF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5-F00B-484F-A684-53B3FEB2CFF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7-F00B-484F-A684-53B3FEB2CFF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9-F00B-484F-A684-53B3FEB2CFF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B-F00B-484F-A684-53B3FEB2CFF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D-F00B-484F-A684-53B3FEB2CFF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F-F00B-484F-A684-53B3FEB2CFF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1-F00B-484F-A684-53B3FEB2CFF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3-F00B-484F-A684-53B3FEB2CFF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5-F00B-484F-A684-53B3FEB2CFF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7-F00B-484F-A684-53B3FEB2CFF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9-F00B-484F-A684-53B3FEB2CFF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B-F00B-484F-A684-53B3FEB2CFF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D-F00B-484F-A684-53B3FEB2CFF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F-F00B-484F-A684-53B3FEB2CFF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1-F00B-484F-A684-53B3FEB2CFF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3-F00B-484F-A684-53B3FEB2CFF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5-F00B-484F-A684-53B3FEB2CFF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7-F00B-484F-A684-53B3FEB2CFF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9-F00B-484F-A684-53B3FEB2CFF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B-F00B-484F-A684-53B3FEB2CFF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D-F00B-484F-A684-53B3FEB2CFF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F-F00B-484F-A684-53B3FEB2CFF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1-F00B-484F-A684-53B3FEB2CFF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3-F00B-484F-A684-53B3FEB2CFF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5-F00B-484F-A684-53B3FEB2CFF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7-F00B-484F-A684-53B3FEB2CFF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9-F00B-484F-A684-53B3FEB2CFF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B-F00B-484F-A684-53B3FEB2CFF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D-F00B-484F-A684-53B3FEB2CFF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F-F00B-484F-A684-53B3FEB2CFF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1-F00B-484F-A684-53B3FEB2CFF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3-F00B-484F-A684-53B3FEB2CFF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5-F00B-484F-A684-53B3FEB2CFF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7-F00B-484F-A684-53B3FEB2CFF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9-F00B-484F-A684-53B3FEB2CFF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B-F00B-484F-A684-53B3FEB2CFF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D-F00B-484F-A684-53B3FEB2CFF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F-F00B-484F-A684-53B3FEB2CFF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1-F00B-484F-A684-53B3FEB2CFF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3-F00B-484F-A684-53B3FEB2CFF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5-F00B-484F-A684-53B3FEB2CFF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7-F00B-484F-A684-53B3FEB2CFF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9-F00B-484F-A684-53B3FEB2CFF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B-F00B-484F-A684-53B3FEB2CFF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D-F00B-484F-A684-53B3FEB2CFF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F-F00B-484F-A684-53B3FEB2CFF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1-F00B-484F-A684-53B3FEB2CFF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3-F00B-484F-A684-53B3FEB2CFF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5-F00B-484F-A684-53B3FEB2CFF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7-F00B-484F-A684-53B3FEB2CFF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9-F00B-484F-A684-53B3FEB2CFF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B-F00B-484F-A684-53B3FEB2CFF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D-F00B-484F-A684-53B3FEB2CFF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F-F00B-484F-A684-53B3FEB2CFF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1-F00B-484F-A684-53B3FEB2CFF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3-F00B-484F-A684-53B3FEB2CFF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5-F00B-484F-A684-53B3FEB2CFF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7-F00B-484F-A684-53B3FEB2CFF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9-F00B-484F-A684-53B3FEB2CFF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B-F00B-484F-A684-53B3FEB2CFF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D-F00B-484F-A684-53B3FEB2CFF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F-F00B-484F-A684-53B3FEB2CFF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1-F00B-484F-A684-53B3FEB2CFF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3-F00B-484F-A684-53B3FEB2CFF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5-F00B-484F-A684-53B3FEB2CFF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7-F00B-484F-A684-53B3FEB2CFF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9-F00B-484F-A684-53B3FEB2CFF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B-F00B-484F-A684-53B3FEB2CFF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D-F00B-484F-A684-53B3FEB2CFF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F-F00B-484F-A684-53B3FEB2CFF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1-F00B-484F-A684-53B3FEB2CFF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3-F00B-484F-A684-53B3FEB2CFF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5-F00B-484F-A684-53B3FEB2CFF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7-F00B-484F-A684-53B3FEB2CFF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9-F00B-484F-A684-53B3FEB2CFF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B-F00B-484F-A684-53B3FEB2CFF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D-F00B-484F-A684-53B3FEB2CFF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F-F00B-484F-A684-53B3FEB2CFF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1-F00B-484F-A684-53B3FEB2CFF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3-F00B-484F-A684-53B3FEB2CFF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5-F00B-484F-A684-53B3FEB2CFF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7-F00B-484F-A684-53B3FEB2CFF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9-F00B-484F-A684-53B3FEB2CFF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B-F00B-484F-A684-53B3FEB2CFF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D-F00B-484F-A684-53B3FEB2CFF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F-F00B-484F-A684-53B3FEB2CFF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1-F00B-484F-A684-53B3FEB2CFF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3-F00B-484F-A684-53B3FEB2CFF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5-F00B-484F-A684-53B3FEB2CFF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7-F00B-484F-A684-53B3FEB2CFF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9-F00B-484F-A684-53B3FEB2CFF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B-F00B-484F-A684-53B3FEB2CFF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D-F00B-484F-A684-53B3FEB2CFF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F-F00B-484F-A684-53B3FEB2CFF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1-F00B-484F-A684-53B3FEB2CFF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3-F00B-484F-A684-53B3FEB2CFF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5-F00B-484F-A684-53B3FEB2CFF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7-F00B-484F-A684-53B3FEB2CFF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9-F00B-484F-A684-53B3FEB2CFF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B-F00B-484F-A684-53B3FEB2CFF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D-F00B-484F-A684-53B3FEB2CFF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F-F00B-484F-A684-53B3FEB2CFF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1-F00B-484F-A684-53B3FEB2CFF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3-F00B-484F-A684-53B3FEB2CFF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5-F00B-484F-A684-53B3FEB2CFF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7-F00B-484F-A684-53B3FEB2CFF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9-F00B-484F-A684-53B3FEB2CFF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B-F00B-484F-A684-53B3FEB2CFF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D-F00B-484F-A684-53B3FEB2CFF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F-F00B-484F-A684-53B3FEB2CFF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1-F00B-484F-A684-53B3FEB2CFF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3-F00B-484F-A684-53B3FEB2CFF0}"/>
                    </c:ext>
                  </c:extLst>
                </c:dPt>
                <c:dPt>
                  <c:idx val="626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5-F00B-484F-A684-53B3FEB2CFF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7-F00B-484F-A684-53B3FEB2CFF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9-F00B-484F-A684-53B3FEB2CFF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B-F00B-484F-A684-53B3FEB2CFF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D-F00B-484F-A684-53B3FEB2CFF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F-F00B-484F-A684-53B3FEB2CFF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1-F00B-484F-A684-53B3FEB2CFF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3-F00B-484F-A684-53B3FEB2CFF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5-F00B-484F-A684-53B3FEB2CFF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7-F00B-484F-A684-53B3FEB2CFF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9-F00B-484F-A684-53B3FEB2CFF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B-F00B-484F-A684-53B3FEB2CFF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D-F00B-484F-A684-53B3FEB2CFF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F-F00B-484F-A684-53B3FEB2CFF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1-F00B-484F-A684-53B3FEB2CFF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3-F00B-484F-A684-53B3FEB2CFF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5-F00B-484F-A684-53B3FEB2CFF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7-F00B-484F-A684-53B3FEB2CFF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9-F00B-484F-A684-53B3FEB2CFF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B-F00B-484F-A684-53B3FEB2CFF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D-F00B-484F-A684-53B3FEB2CFF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F-F00B-484F-A684-53B3FEB2CFF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1-F00B-484F-A684-53B3FEB2CFF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3-F00B-484F-A684-53B3FEB2CFF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5-F00B-484F-A684-53B3FEB2CFF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7-F00B-484F-A684-53B3FEB2CFF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9-F00B-484F-A684-53B3FEB2CFF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B-F00B-484F-A684-53B3FEB2CFF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D-F00B-484F-A684-53B3FEB2CFF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F-F00B-484F-A684-53B3FEB2CFF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1-F00B-484F-A684-53B3FEB2CFF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3-F00B-484F-A684-53B3FEB2CFF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5-F00B-484F-A684-53B3FEB2CFF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7-F00B-484F-A684-53B3FEB2CFF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9-F00B-484F-A684-53B3FEB2CFF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B-F00B-484F-A684-53B3FEB2CFF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D-F00B-484F-A684-53B3FEB2CFF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F-F00B-484F-A684-53B3FEB2CFF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1-F00B-484F-A684-53B3FEB2CFF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3-F00B-484F-A684-53B3FEB2CFF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5-F00B-484F-A684-53B3FEB2CFF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7-F00B-484F-A684-53B3FEB2CFF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9-F00B-484F-A684-53B3FEB2CFF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B-F00B-484F-A684-53B3FEB2CFF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D-F00B-484F-A684-53B3FEB2CFF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F-F00B-484F-A684-53B3FEB2CFF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1-F00B-484F-A684-53B3FEB2CFF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3-F00B-484F-A684-53B3FEB2CFF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5-F00B-484F-A684-53B3FEB2CFF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7-F00B-484F-A684-53B3FEB2CFF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9-F00B-484F-A684-53B3FEB2CFF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B-F00B-484F-A684-53B3FEB2CFF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D-F00B-484F-A684-53B3FEB2CFF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F-F00B-484F-A684-53B3FEB2CFF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1-F00B-484F-A684-53B3FEB2CFF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3-F00B-484F-A684-53B3FEB2CFF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5-F00B-484F-A684-53B3FEB2CFF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7-F00B-484F-A684-53B3FEB2CFF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9-F00B-484F-A684-53B3FEB2CFF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B-F00B-484F-A684-53B3FEB2CFF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D-F00B-484F-A684-53B3FEB2CFF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F-F00B-484F-A684-53B3FEB2CFF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1-F00B-484F-A684-53B3FEB2CFF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3-F00B-484F-A684-53B3FEB2CFF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5-F00B-484F-A684-53B3FEB2CFF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7-F00B-484F-A684-53B3FEB2CFF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9-F00B-484F-A684-53B3FEB2CFF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B-F00B-484F-A684-53B3FEB2CFF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D-F00B-484F-A684-53B3FEB2CFF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F-F00B-484F-A684-53B3FEB2CFF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1-F00B-484F-A684-53B3FEB2CFF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3-F00B-484F-A684-53B3FEB2CFF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5-F00B-484F-A684-53B3FEB2CFF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7-F00B-484F-A684-53B3FEB2CFF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9-F00B-484F-A684-53B3FEB2CFF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B-F00B-484F-A684-53B3FEB2CFF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D-F00B-484F-A684-53B3FEB2CFF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F-F00B-484F-A684-53B3FEB2CFF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1-F00B-484F-A684-53B3FEB2CFF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3-F00B-484F-A684-53B3FEB2CFF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5-F00B-484F-A684-53B3FEB2CFF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7-F00B-484F-A684-53B3FEB2CFF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9-F00B-484F-A684-53B3FEB2CFF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B-F00B-484F-A684-53B3FEB2CFF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D-F00B-484F-A684-53B3FEB2CFF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F-F00B-484F-A684-53B3FEB2CFF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1-F00B-484F-A684-53B3FEB2CFF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3-F00B-484F-A684-53B3FEB2CFF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5-F00B-484F-A684-53B3FEB2CFF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7-F00B-484F-A684-53B3FEB2CFF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9-F00B-484F-A684-53B3FEB2CFF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B-F00B-484F-A684-53B3FEB2CFF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D-F00B-484F-A684-53B3FEB2CFF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F-F00B-484F-A684-53B3FEB2CFF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1-F00B-484F-A684-53B3FEB2CFF0}"/>
                    </c:ext>
                  </c:extLst>
                </c:dPt>
                <c:dPt>
                  <c:idx val="721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3-F00B-484F-A684-53B3FEB2CFF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5-F00B-484F-A684-53B3FEB2CFF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7-F00B-484F-A684-53B3FEB2CFF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9-F00B-484F-A684-53B3FEB2CFF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B-F00B-484F-A684-53B3FEB2CFF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D-F00B-484F-A684-53B3FEB2CFF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F-F00B-484F-A684-53B3FEB2CFF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1-F00B-484F-A684-53B3FEB2CFF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3-F00B-484F-A684-53B3FEB2CFF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5-F00B-484F-A684-53B3FEB2CFF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7-F00B-484F-A684-53B3FEB2CFF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9-F00B-484F-A684-53B3FEB2CFF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B-F00B-484F-A684-53B3FEB2CFF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D-F00B-484F-A684-53B3FEB2CFF0}"/>
                    </c:ext>
                  </c:extLst>
                </c:dPt>
                <c:dPt>
                  <c:idx val="735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F-F00B-484F-A684-53B3FEB2CFF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1-F00B-484F-A684-53B3FEB2CFF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3-F00B-484F-A684-53B3FEB2CFF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5-F00B-484F-A684-53B3FEB2CFF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7-F00B-484F-A684-53B3FEB2CFF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9-F00B-484F-A684-53B3FEB2CFF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B-F00B-484F-A684-53B3FEB2CFF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D-F00B-484F-A684-53B3FEB2CFF0}"/>
                    </c:ext>
                  </c:extLst>
                </c:dPt>
                <c:dPt>
                  <c:idx val="74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F-F00B-484F-A684-53B3FEB2CFF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1-F00B-484F-A684-53B3FEB2CFF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3-F00B-484F-A684-53B3FEB2CFF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5-F00B-484F-A684-53B3FEB2CFF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7-F00B-484F-A684-53B3FEB2CFF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9-F00B-484F-A684-53B3FEB2CFF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B-F00B-484F-A684-53B3FEB2CFF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D-F00B-484F-A684-53B3FEB2CFF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F-F00B-484F-A684-53B3FEB2CFF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1-F00B-484F-A684-53B3FEB2CFF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3-F00B-484F-A684-53B3FEB2CFF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5-F00B-484F-A684-53B3FEB2CFF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7-F00B-484F-A684-53B3FEB2CFF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9-F00B-484F-A684-53B3FEB2CFF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B-F00B-484F-A684-53B3FEB2CFF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D-F00B-484F-A684-53B3FEB2CFF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F-F00B-484F-A684-53B3FEB2CFF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1-F00B-484F-A684-53B3FEB2CFF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3-F00B-484F-A684-53B3FEB2CFF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5-F00B-484F-A684-53B3FEB2CFF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7-F00B-484F-A684-53B3FEB2CFF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9-F00B-484F-A684-53B3FEB2CFF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B-F00B-484F-A684-53B3FEB2CFF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D-F00B-484F-A684-53B3FEB2CFF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F-F00B-484F-A684-53B3FEB2CFF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1-F00B-484F-A684-53B3FEB2CFF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3-F00B-484F-A684-53B3FEB2CFF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5-F00B-484F-A684-53B3FEB2CFF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7-F00B-484F-A684-53B3FEB2CFF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9-F00B-484F-A684-53B3FEB2CFF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B-F00B-484F-A684-53B3FEB2CFF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D-F00B-484F-A684-53B3FEB2CFF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F-F00B-484F-A684-53B3FEB2CFF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1-F00B-484F-A684-53B3FEB2CFF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3-F00B-484F-A684-53B3FEB2CFF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5-F00B-484F-A684-53B3FEB2CFF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7-F00B-484F-A684-53B3FEB2CFF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9-F00B-484F-A684-53B3FEB2CFF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B-F00B-484F-A684-53B3FEB2CFF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D-F00B-484F-A684-53B3FEB2CFF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F-F00B-484F-A684-53B3FEB2CFF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1-F00B-484F-A684-53B3FEB2CFF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3-F00B-484F-A684-53B3FEB2CFF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5-F00B-484F-A684-53B3FEB2CFF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7-F00B-484F-A684-53B3FEB2CFF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9-F00B-484F-A684-53B3FEB2CFF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B-F00B-484F-A684-53B3FEB2CFF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D-F00B-484F-A684-53B3FEB2CFF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F-F00B-484F-A684-53B3FEB2CFF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1-F00B-484F-A684-53B3FEB2CFF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3-F00B-484F-A684-53B3FEB2CFF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5-F00B-484F-A684-53B3FEB2CFF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7-F00B-484F-A684-53B3FEB2CFF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9-F00B-484F-A684-53B3FEB2CFF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B-F00B-484F-A684-53B3FEB2CFF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D-F00B-484F-A684-53B3FEB2CFF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F-F00B-484F-A684-53B3FEB2CFF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1-F00B-484F-A684-53B3FEB2CFF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3-F00B-484F-A684-53B3FEB2CFF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5-F00B-484F-A684-53B3FEB2CFF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7-F00B-484F-A684-53B3FEB2CFF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9-F00B-484F-A684-53B3FEB2CFF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B-F00B-484F-A684-53B3FEB2CFF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D-F00B-484F-A684-53B3FEB2CFF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F-F00B-484F-A684-53B3FEB2CFF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1-F00B-484F-A684-53B3FEB2CFF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3-F00B-484F-A684-53B3FEB2CFF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5-F00B-484F-A684-53B3FEB2CFF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7-F00B-484F-A684-53B3FEB2CFF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9-F00B-484F-A684-53B3FEB2CFF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B-F00B-484F-A684-53B3FEB2CFF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D-F00B-484F-A684-53B3FEB2CFF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F-F00B-484F-A684-53B3FEB2CFF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1-F00B-484F-A684-53B3FEB2CFF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3-F00B-484F-A684-53B3FEB2CFF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5-F00B-484F-A684-53B3FEB2CFF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7-F00B-484F-A684-53B3FEB2CFF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9-F00B-484F-A684-53B3FEB2CFF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B-F00B-484F-A684-53B3FEB2CFF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D-F00B-484F-A684-53B3FEB2CFF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F-F00B-484F-A684-53B3FEB2CFF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1-F00B-484F-A684-53B3FEB2CFF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3-F00B-484F-A684-53B3FEB2CFF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5-F00B-484F-A684-53B3FEB2CFF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7-F00B-484F-A684-53B3FEB2CFF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9-F00B-484F-A684-53B3FEB2CFF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B-F00B-484F-A684-53B3FEB2CFF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D-F00B-484F-A684-53B3FEB2CFF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F-F00B-484F-A684-53B3FEB2CFF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1-F00B-484F-A684-53B3FEB2CFF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3-F00B-484F-A684-53B3FEB2CFF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5-F00B-484F-A684-53B3FEB2CFF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7-F00B-484F-A684-53B3FEB2CFF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9-F00B-484F-A684-53B3FEB2CFF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B-F00B-484F-A684-53B3FEB2CFF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D-F00B-484F-A684-53B3FEB2CFF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F-F00B-484F-A684-53B3FEB2CFF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1-F00B-484F-A684-53B3FEB2CFF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3-F00B-484F-A684-53B3FEB2CFF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5-F00B-484F-A684-53B3FEB2CFF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7-F00B-484F-A684-53B3FEB2CFF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9-F00B-484F-A684-53B3FEB2CFF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B-F00B-484F-A684-53B3FEB2CFF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D-F00B-484F-A684-53B3FEB2CFF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F-F00B-484F-A684-53B3FEB2CFF0}"/>
                    </c:ext>
                  </c:extLst>
                </c:dPt>
                <c:dPt>
                  <c:idx val="848"/>
                  <c:bubble3D val="0"/>
                  <c:spPr>
                    <a:solidFill>
                      <a:srgbClr val="0099FF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1-F00B-484F-A684-53B3FEB2CFF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3-F00B-484F-A684-53B3FEB2CFF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5-F00B-484F-A684-53B3FEB2CFF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7-F00B-484F-A684-53B3FEB2CFF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9-F00B-484F-A684-53B3FEB2CFF0}"/>
                    </c:ext>
                  </c:extLst>
                </c:dPt>
                <c:dPt>
                  <c:idx val="85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B-F00B-484F-A684-53B3FEB2CFF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initiales'!$D$181,'Données initiales'!$F$181,'Données initiales'!$H$181,'Données initiales'!$J$181,'Données initiales'!$L$181,'Données initiales'!$N$181,'Données initiales'!$P$181)</c15:sqref>
                        </c15:formulaRef>
                      </c:ext>
                    </c:extLst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142-D743-485C-85A8-46AAD4F995FD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870628263447418"/>
          <c:y val="0.23119044358587379"/>
          <c:w val="0.33129363515343879"/>
          <c:h val="0.5808435245943398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3"/>
          <c:order val="3"/>
          <c:tx>
            <c:strRef>
              <c:f>'Données initiales'!$C$183</c:f>
              <c:strCache>
                <c:ptCount val="1"/>
                <c:pt idx="0">
                  <c:v>DAM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E67-4978-B68F-16B7A4D41E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E67-4978-B68F-16B7A4D41EB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0C1-492E-81C6-B4697D88B59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172-432C-A4E6-1BD7D89780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0C1-492E-81C6-B4697D88B5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6C2-40A7-9130-0F1C4BFDF6C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0C1-492E-81C6-B4697D88B59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172-432C-A4E6-1BD7D897803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80C1-492E-81C6-B4697D88B59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DCC-4328-AB1A-F3FFFF846A6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80C1-492E-81C6-B4697D88B59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2172-432C-A4E6-1BD7D897803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6C2-40A7-9130-0F1C4BFDF6C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2172-432C-A4E6-1BD7D897803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E67-4978-B68F-16B7A4D41EB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2172-432C-A4E6-1BD7D897803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6C2-40A7-9130-0F1C4BFDF6C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DCC-4328-AB1A-F3FFFF846A6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86C2-40A7-9130-0F1C4BFDF6C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51D-418A-BD70-216700392D59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86C2-40A7-9130-0F1C4BFDF6C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F02-4576-9F92-296890FB937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51D-418A-BD70-216700392D59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077-47D8-A292-E7BC267252A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7F02-4576-9F92-296890FB937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1B5-45C2-93C5-38A82E2287F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077-47D8-A292-E7BC267252A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2DCC-4328-AB1A-F3FFFF846A6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E67-4978-B68F-16B7A4D41EB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2DCC-4328-AB1A-F3FFFF846A6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B27-4822-9AB8-CBD693E398B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2DCC-4328-AB1A-F3FFFF846A6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3037-4232-8F3A-6B51DEFC6D36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B27-4822-9AB8-CBD693E398B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349-4656-8A28-AADBB205242E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037-4232-8F3A-6B51DEFC6D36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969-424D-B9DB-D4AA8A653AE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349-4656-8A28-AADBB205242E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1B5-45C2-93C5-38A82E2287F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969-424D-B9DB-D4AA8A653AE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E67-4978-B68F-16B7A4D41EB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71B5-45C2-93C5-38A82E2287F0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E67-4978-B68F-16B7A4D41EB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71B5-45C2-93C5-38A82E2287F0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9BC-4DEB-906D-E5349207D2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initiales'!$D$183,'Données initiales'!$F$183,'Données initiales'!$H$183,'Données initiales'!$J$183,'Données initiales'!$L$183,'Données initiales'!$N$183,'Données initiales'!$P$183)</c:f>
              <c:extLst/>
            </c:numRef>
          </c:val>
          <c:extLst>
            <c:ext xmlns:c16="http://schemas.microsoft.com/office/drawing/2014/chart" uri="{C3380CC4-5D6E-409C-BE32-E72D297353CC}">
              <c16:uniqueId val="{00001326-A7A9-4C9D-B771-16E74E8E82FB}"/>
            </c:ext>
          </c:extLst>
        </c:ser>
        <c:ser>
          <c:idx val="4"/>
          <c:order val="4"/>
          <c:tx>
            <c:strRef>
              <c:f>'Données initiales'!$C$184</c:f>
              <c:strCache>
                <c:ptCount val="1"/>
                <c:pt idx="0">
                  <c:v>NLE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5E67-4978-B68F-16B7A4D41E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5E67-4978-B68F-16B7A4D41EB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80C1-492E-81C6-B4697D88B59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2172-432C-A4E6-1BD7D89780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80C1-492E-81C6-B4697D88B5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86C2-40A7-9130-0F1C4BFDF6C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80C1-492E-81C6-B4697D88B59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2172-432C-A4E6-1BD7D897803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80C1-492E-81C6-B4697D88B59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2DCC-4328-AB1A-F3FFFF846A6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80C1-492E-81C6-B4697D88B59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2172-432C-A4E6-1BD7D897803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86C2-40A7-9130-0F1C4BFDF6C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2172-432C-A4E6-1BD7D897803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5E67-4978-B68F-16B7A4D41EB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172-432C-A4E6-1BD7D897803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86C2-40A7-9130-0F1C4BFDF6C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2DCC-4328-AB1A-F3FFFF846A6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86C2-40A7-9130-0F1C4BFDF6C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851D-418A-BD70-216700392D59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86C2-40A7-9130-0F1C4BFDF6C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7F02-4576-9F92-296890FB937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851D-418A-BD70-216700392D59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077-47D8-A292-E7BC267252A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7F02-4576-9F92-296890FB937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71B5-45C2-93C5-38A82E2287F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077-47D8-A292-E7BC267252A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2DCC-4328-AB1A-F3FFFF846A6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5E67-4978-B68F-16B7A4D41EB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2DCC-4328-AB1A-F3FFFF846A6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8B27-4822-9AB8-CBD693E398B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2DCC-4328-AB1A-F3FFFF846A6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3037-4232-8F3A-6B51DEFC6D36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8B27-4822-9AB8-CBD693E398B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C349-4656-8A28-AADBB205242E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3037-4232-8F3A-6B51DEFC6D36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1969-424D-B9DB-D4AA8A653AE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C349-4656-8A28-AADBB205242E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71B5-45C2-93C5-38A82E2287F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1969-424D-B9DB-D4AA8A653AE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5E67-4978-B68F-16B7A4D41EB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71B5-45C2-93C5-38A82E2287F0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5E67-4978-B68F-16B7A4D41EB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71B5-45C2-93C5-38A82E2287F0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E9BC-4DEB-906D-E5349207D2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initiales'!$D$184,'Données initiales'!$F$184,'Données initiales'!$H$184,'Données initiales'!$J$184,'Données initiales'!$L$184,'Données initiales'!$N$184,'Données initiales'!$P$184)</c:f>
              <c:extLst/>
            </c:numRef>
          </c:val>
          <c:extLst>
            <c:ext xmlns:c16="http://schemas.microsoft.com/office/drawing/2014/chart" uri="{C3380CC4-5D6E-409C-BE32-E72D297353CC}">
              <c16:uniqueId val="{00001327-A7A9-4C9D-B771-16E74E8E82FB}"/>
            </c:ext>
          </c:extLst>
        </c:ser>
        <c:ser>
          <c:idx val="5"/>
          <c:order val="5"/>
          <c:tx>
            <c:strRef>
              <c:f>'Données initiales'!#REF!</c:f>
              <c:strCache>
                <c:ptCount val="1"/>
                <c:pt idx="0">
                  <c:v>#REF!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5E67-4978-B68F-16B7A4D41E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5E67-4978-B68F-16B7A4D41EB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80C1-492E-81C6-B4697D88B59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2172-432C-A4E6-1BD7D89780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80C1-492E-81C6-B4697D88B5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86C2-40A7-9130-0F1C4BFDF6C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80C1-492E-81C6-B4697D88B59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2172-432C-A4E6-1BD7D897803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80C1-492E-81C6-B4697D88B59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DCC-4328-AB1A-F3FFFF846A6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80C1-492E-81C6-B4697D88B59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2172-432C-A4E6-1BD7D897803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86C2-40A7-9130-0F1C4BFDF6C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2172-432C-A4E6-1BD7D897803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5E67-4978-B68F-16B7A4D41EB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2172-432C-A4E6-1BD7D897803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86C2-40A7-9130-0F1C4BFDF6C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2DCC-4328-AB1A-F3FFFF846A6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86C2-40A7-9130-0F1C4BFDF6C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851D-418A-BD70-216700392D59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86C2-40A7-9130-0F1C4BFDF6C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7F02-4576-9F92-296890FB937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851D-418A-BD70-216700392D59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1077-47D8-A292-E7BC267252A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7F02-4576-9F92-296890FB937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71B5-45C2-93C5-38A82E2287F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1077-47D8-A292-E7BC267252A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2DCC-4328-AB1A-F3FFFF846A6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5E67-4978-B68F-16B7A4D41EB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2DCC-4328-AB1A-F3FFFF846A6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8B27-4822-9AB8-CBD693E398B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2DCC-4328-AB1A-F3FFFF846A6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3037-4232-8F3A-6B51DEFC6D36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8B27-4822-9AB8-CBD693E398B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C349-4656-8A28-AADBB205242E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3037-4232-8F3A-6B51DEFC6D36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969-424D-B9DB-D4AA8A653AE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C349-4656-8A28-AADBB205242E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71B5-45C2-93C5-38A82E2287F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969-424D-B9DB-D4AA8A653AE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5E67-4978-B68F-16B7A4D41EB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71B5-45C2-93C5-38A82E2287F0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5E67-4978-B68F-16B7A4D41EB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71B5-45C2-93C5-38A82E2287F0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E9BC-4DEB-906D-E5349207D2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'Données initiales'!#REF!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6="http://schemas.microsoft.com/office/drawing/2014/chart" uri="{C3380CC4-5D6E-409C-BE32-E72D297353CC}">
              <c16:uniqueId val="{00001328-A7A9-4C9D-B771-16E74E8E82FB}"/>
            </c:ext>
          </c:extLst>
        </c:ser>
        <c:ser>
          <c:idx val="6"/>
          <c:order val="6"/>
          <c:tx>
            <c:strRef>
              <c:f>'Données initiales'!$C$185</c:f>
              <c:strCache>
                <c:ptCount val="1"/>
                <c:pt idx="0">
                  <c:v>SRI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5E67-4978-B68F-16B7A4D41E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5E67-4978-B68F-16B7A4D41EB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80C1-492E-81C6-B4697D88B59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2172-432C-A4E6-1BD7D89780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80C1-492E-81C6-B4697D88B5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86C2-40A7-9130-0F1C4BFDF6C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80C1-492E-81C6-B4697D88B59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2172-432C-A4E6-1BD7D897803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80C1-492E-81C6-B4697D88B59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2DCC-4328-AB1A-F3FFFF846A6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80C1-492E-81C6-B4697D88B59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2172-432C-A4E6-1BD7D897803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86C2-40A7-9130-0F1C4BFDF6C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2172-432C-A4E6-1BD7D897803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5E67-4978-B68F-16B7A4D41EB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2172-432C-A4E6-1BD7D897803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86C2-40A7-9130-0F1C4BFDF6C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2DCC-4328-AB1A-F3FFFF846A6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86C2-40A7-9130-0F1C4BFDF6C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851D-418A-BD70-216700392D59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86C2-40A7-9130-0F1C4BFDF6C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7F02-4576-9F92-296890FB937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851D-418A-BD70-216700392D59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1077-47D8-A292-E7BC267252A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7F02-4576-9F92-296890FB937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71B5-45C2-93C5-38A82E2287F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1077-47D8-A292-E7BC267252A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2DCC-4328-AB1A-F3FFFF846A6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5E67-4978-B68F-16B7A4D41EB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2DCC-4328-AB1A-F3FFFF846A6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8B27-4822-9AB8-CBD693E398B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2DCC-4328-AB1A-F3FFFF846A6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3037-4232-8F3A-6B51DEFC6D36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8B27-4822-9AB8-CBD693E398B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C349-4656-8A28-AADBB205242E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3037-4232-8F3A-6B51DEFC6D36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1969-424D-B9DB-D4AA8A653AE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C349-4656-8A28-AADBB205242E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71B5-45C2-93C5-38A82E2287F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1969-424D-B9DB-D4AA8A653AE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5E67-4978-B68F-16B7A4D41EB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71B5-45C2-93C5-38A82E2287F0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5E67-4978-B68F-16B7A4D41EB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71B5-45C2-93C5-38A82E2287F0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E9BC-4DEB-906D-E5349207D2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initiales'!$D$185,'Données initiales'!$F$185,'Données initiales'!$H$185,'Données initiales'!$J$185,'Données initiales'!$L$185,'Données initiales'!$N$185,'Données initiales'!$P$185)</c:f>
              <c:extLst/>
            </c:numRef>
          </c:val>
          <c:extLst>
            <c:ext xmlns:c16="http://schemas.microsoft.com/office/drawing/2014/chart" uri="{C3380CC4-5D6E-409C-BE32-E72D297353CC}">
              <c16:uniqueId val="{00001329-A7A9-4C9D-B771-16E74E8E82FB}"/>
            </c:ext>
          </c:extLst>
        </c:ser>
        <c:ser>
          <c:idx val="7"/>
          <c:order val="7"/>
          <c:tx>
            <c:strRef>
              <c:f>'Données initiales'!$C$186</c:f>
              <c:strCache>
                <c:ptCount val="1"/>
                <c:pt idx="0">
                  <c:v>VAF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5E67-4978-B68F-16B7A4D41E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5E67-4978-B68F-16B7A4D41EB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80C1-492E-81C6-B4697D88B59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2172-432C-A4E6-1BD7D89780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80C1-492E-81C6-B4697D88B5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86C2-40A7-9130-0F1C4BFDF6C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80C1-492E-81C6-B4697D88B59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2172-432C-A4E6-1BD7D897803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80C1-492E-81C6-B4697D88B59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2DCC-4328-AB1A-F3FFFF846A6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80C1-492E-81C6-B4697D88B59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2172-432C-A4E6-1BD7D897803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86C2-40A7-9130-0F1C4BFDF6C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2172-432C-A4E6-1BD7D897803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5E67-4978-B68F-16B7A4D41EB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2172-432C-A4E6-1BD7D897803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86C2-40A7-9130-0F1C4BFDF6C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2DCC-4328-AB1A-F3FFFF846A6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86C2-40A7-9130-0F1C4BFDF6C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851D-418A-BD70-216700392D59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86C2-40A7-9130-0F1C4BFDF6C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7F02-4576-9F92-296890FB937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851D-418A-BD70-216700392D59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1077-47D8-A292-E7BC267252A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7F02-4576-9F92-296890FB937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71B5-45C2-93C5-38A82E2287F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1077-47D8-A292-E7BC267252A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2DCC-4328-AB1A-F3FFFF846A65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5E67-4978-B68F-16B7A4D41EB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2DCC-4328-AB1A-F3FFFF846A65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8B27-4822-9AB8-CBD693E398B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2DCC-4328-AB1A-F3FFFF846A65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3037-4232-8F3A-6B51DEFC6D36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8B27-4822-9AB8-CBD693E398B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C349-4656-8A28-AADBB205242E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3037-4232-8F3A-6B51DEFC6D36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1969-424D-B9DB-D4AA8A653AE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C349-4656-8A28-AADBB205242E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71B5-45C2-93C5-38A82E2287F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1969-424D-B9DB-D4AA8A653AE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5E67-4978-B68F-16B7A4D41EB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71B5-45C2-93C5-38A82E2287F0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5E67-4978-B68F-16B7A4D41EB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71B5-45C2-93C5-38A82E2287F0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E9BC-4DEB-906D-E5349207D2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initiales'!$D$186,'Données initiales'!$F$186,'Données initiales'!$H$186,'Données initiales'!$J$186,'Données initiales'!$L$186,'Données initiales'!$N$186,'Données initiales'!$P$186)</c:f>
              <c:extLst/>
            </c:numRef>
          </c:val>
          <c:extLst>
            <c:ext xmlns:c16="http://schemas.microsoft.com/office/drawing/2014/chart" uri="{C3380CC4-5D6E-409C-BE32-E72D297353CC}">
              <c16:uniqueId val="{0000132A-A7A9-4C9D-B771-16E74E8E82F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initiales'!$C$180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367-BB14-480A-9256-E28CC668949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5E67-4978-B68F-16B7A4D41EB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80C1-492E-81C6-B4697D88B596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2172-432C-A4E6-1BD7D8978030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80C1-492E-81C6-B4697D88B596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86C2-40A7-9130-0F1C4BFDF6C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80C1-492E-81C6-B4697D88B596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2172-432C-A4E6-1BD7D8978030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80C1-492E-81C6-B4697D88B596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2DCC-4328-AB1A-F3FFFF846A6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80C1-492E-81C6-B4697D88B596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2172-432C-A4E6-1BD7D8978030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86C2-40A7-9130-0F1C4BFDF6C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2172-432C-A4E6-1BD7D8978030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5E67-4978-B68F-16B7A4D41EB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2172-432C-A4E6-1BD7D8978030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86C2-40A7-9130-0F1C4BFDF6C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2DCC-4328-AB1A-F3FFFF846A6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86C2-40A7-9130-0F1C4BFDF6C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851D-418A-BD70-216700392D5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86C2-40A7-9130-0F1C4BFDF6C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7F02-4576-9F92-296890FB937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851D-418A-BD70-216700392D5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1077-47D8-A292-E7BC267252AD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7F02-4576-9F92-296890FB937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71B5-45C2-93C5-38A82E2287F0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1077-47D8-A292-E7BC267252AD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2DCC-4328-AB1A-F3FFFF846A6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5E67-4978-B68F-16B7A4D41EB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2DCC-4328-AB1A-F3FFFF846A6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8B27-4822-9AB8-CBD693E398B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2DCC-4328-AB1A-F3FFFF846A6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3037-4232-8F3A-6B51DEFC6D36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8B27-4822-9AB8-CBD693E398B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C349-4656-8A28-AADBB205242E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3037-4232-8F3A-6B51DEFC6D3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1969-424D-B9DB-D4AA8A653AEA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C349-4656-8A28-AADBB205242E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71B5-45C2-93C5-38A82E2287F0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1969-424D-B9DB-D4AA8A653AEA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5E67-4978-B68F-16B7A4D41EB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71B5-45C2-93C5-38A82E2287F0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5E67-4978-B68F-16B7A4D41EB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71B5-45C2-93C5-38A82E2287F0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B230-4B26-846E-D56405EFE18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7A9-4C9D-B771-16E74E8E82FB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D92A-42DD-8311-EEA00F60D44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B230-4B26-846E-D56405EFE18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9824-4A9C-B43B-F4AB0317ECFF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92A-42DD-8311-EEA00F60D44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2C0-48E2-B0DC-EF08AB5D95FA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D92A-42DD-8311-EEA00F60D44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39F0-4DCC-9F9F-8121D53561F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2C0-48E2-B0DC-EF08AB5D95FA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824-4A9C-B43B-F4AB0317ECFF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92C0-48E2-B0DC-EF08AB5D95FA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962E-4D9C-B99B-812FB2AC153D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824-4A9C-B43B-F4AB0317ECFF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39F0-4DCC-9F9F-8121D53561F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9824-4A9C-B43B-F4AB0317ECFF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A4B5-422E-8042-377C30AD8ADC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39F0-4DCC-9F9F-8121D53561F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62E-4D9C-B99B-812FB2AC153D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39F0-4DCC-9F9F-8121D53561F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CCE6-4BC6-948D-BF6183A19448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62E-4D9C-B99B-812FB2AC153D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4B5-422E-8042-377C30AD8ADC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962E-4D9C-B99B-812FB2AC153D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A97A-43B6-BDDC-5E52DE8BCB5A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4B5-422E-8042-377C30AD8ADC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DA6A-4B96-A17C-1FF08617E92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A4B5-422E-8042-377C30AD8ADC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A97A-43B6-BDDC-5E52DE8BCB5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CCE6-4BC6-948D-BF6183A19448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A97A-43B6-BDDC-5E52DE8BCB5A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05B4-4259-B2A3-54F33A80A2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A97A-43B6-BDDC-5E52DE8BCB5A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CCE6-4BC6-948D-BF6183A19448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DA6A-4B96-A17C-1FF08617E92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CCE6-4BC6-948D-BF6183A19448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037B-4137-BE44-39F9C12750E5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CCE6-4BC6-948D-BF6183A19448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1F2-49E8-90BB-6A5D944FFBCA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37B-4137-BE44-39F9C12750E5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22A-4E35-A906-67737FBCF186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1F2-49E8-90BB-6A5D944FFBCA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873A-48A4-9C4D-8AB260CAD88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22A-4E35-A906-67737FBCF186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DA6A-4B96-A17C-1FF08617E92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05B4-4259-B2A3-54F33A80A2AA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DA6A-4B96-A17C-1FF08617E92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B825-430F-8F11-7910E512DB4D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DA6A-4B96-A17C-1FF08617E92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9EBB-4498-AF73-DE10F8F08514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B825-430F-8F11-7910E512DB4D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05B4-4259-B2A3-54F33A80A2AA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9EBB-4498-AF73-DE10F8F08514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05B4-4259-B2A3-54F33A80A2AA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EBB-4498-AF73-DE10F8F08514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05B4-4259-B2A3-54F33A80A2AA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D68D-470C-AA9D-3BBE0CCF22EC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EBB-4498-AF73-DE10F8F08514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D24-4F43-84DD-2AED8807F51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68D-470C-AA9D-3BBE0CCF22EC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107D-4B73-87D1-0C7C26261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D24-4F43-84DD-2AED8807F51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AC6-4259-A165-1E9FF4D1491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107D-4B73-87D1-0C7C26261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377D-4BA3-8FD6-622858C4C05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AC6-4259-A165-1E9FF4D1491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B10-4BDB-B733-44BCEC169F5F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377D-4BA3-8FD6-622858C4C05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AE5-4676-995C-2F720115BB62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B10-4BDB-B733-44BCEC169F5F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7CC8-4595-B3A7-83DFCA8F1B4D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AE5-4676-995C-2F720115BB62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873A-48A4-9C4D-8AB260CAD881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7CC8-4595-B3A7-83DFCA8F1B4D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DEC-4490-9859-88D72888B46F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7CC8-4595-B3A7-83DFCA8F1B4D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C015-4A9A-ACD6-7A8EC340CC3E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DEC-4490-9859-88D72888B46F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873A-48A4-9C4D-8AB260CAD881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CDEC-4490-9859-88D72888B46F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C015-4A9A-ACD6-7A8EC340CC3E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4E23-4D2F-9483-98B7DA2B7B1A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C015-4A9A-ACD6-7A8EC340CC3E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294-4F09-9B9E-A7CDA70CAE52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4E23-4D2F-9483-98B7DA2B7B1A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0EB4-47A4-B114-49EDB5797B4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294-4F09-9B9E-A7CDA70CAE52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73A-48A4-9C4D-8AB260CAD881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EB4-47A4-B114-49EDB5797B4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873A-48A4-9C4D-8AB260CAD881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73A-48A4-9C4D-8AB260CAD881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873A-48A4-9C4D-8AB260CAD881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873A-48A4-9C4D-8AB260CAD881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873A-48A4-9C4D-8AB260CAD881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873A-48A4-9C4D-8AB260CAD881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873A-48A4-9C4D-8AB260CAD881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873A-48A4-9C4D-8AB260CAD881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873A-48A4-9C4D-8AB260CAD881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873A-48A4-9C4D-8AB260CAD881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873A-48A4-9C4D-8AB260CAD881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873A-48A4-9C4D-8AB260CAD881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873A-48A4-9C4D-8AB260CAD881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873A-48A4-9C4D-8AB260CAD881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873A-48A4-9C4D-8AB260CAD881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873A-48A4-9C4D-8AB260CAD881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873A-48A4-9C4D-8AB260CAD881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873A-48A4-9C4D-8AB260CAD881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873A-48A4-9C4D-8AB260CAD881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873A-48A4-9C4D-8AB260CAD881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873A-48A4-9C4D-8AB260CAD881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873A-48A4-9C4D-8AB260CAD881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873A-48A4-9C4D-8AB260CAD881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873A-48A4-9C4D-8AB260CAD881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873A-48A4-9C4D-8AB260CAD881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873A-48A4-9C4D-8AB260CAD881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873A-48A4-9C4D-8AB260CAD881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873A-48A4-9C4D-8AB260CAD881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873A-48A4-9C4D-8AB260CAD881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873A-48A4-9C4D-8AB260CAD881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873A-48A4-9C4D-8AB260CAD881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873A-48A4-9C4D-8AB260CAD881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873A-48A4-9C4D-8AB260CAD881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873A-48A4-9C4D-8AB260CAD881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873A-48A4-9C4D-8AB260CAD881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873A-48A4-9C4D-8AB260CAD881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873A-48A4-9C4D-8AB260CAD881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873A-48A4-9C4D-8AB260CAD881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873A-48A4-9C4D-8AB260CAD881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873A-48A4-9C4D-8AB260CAD881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873A-48A4-9C4D-8AB260CAD881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873A-48A4-9C4D-8AB260CAD881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873A-48A4-9C4D-8AB260CAD881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873A-48A4-9C4D-8AB260CAD881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873A-48A4-9C4D-8AB260CAD881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873A-48A4-9C4D-8AB260CAD881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873A-48A4-9C4D-8AB260CAD881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873A-48A4-9C4D-8AB260CAD881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873A-48A4-9C4D-8AB260CAD881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873A-48A4-9C4D-8AB260CAD881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873A-48A4-9C4D-8AB260CAD881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873A-48A4-9C4D-8AB260CAD881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873A-48A4-9C4D-8AB260CAD881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873A-48A4-9C4D-8AB260CAD881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873A-48A4-9C4D-8AB260CAD881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873A-48A4-9C4D-8AB260CAD881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873A-48A4-9C4D-8AB260CAD881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873A-48A4-9C4D-8AB260CAD881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873A-48A4-9C4D-8AB260CAD881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873A-48A4-9C4D-8AB260CAD881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873A-48A4-9C4D-8AB260CAD881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873A-48A4-9C4D-8AB260CAD881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873A-48A4-9C4D-8AB260CAD881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873A-48A4-9C4D-8AB260CAD881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873A-48A4-9C4D-8AB260CAD881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873A-48A4-9C4D-8AB260CAD881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873A-48A4-9C4D-8AB260CAD881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873A-48A4-9C4D-8AB260CAD881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873A-48A4-9C4D-8AB260CAD881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873A-48A4-9C4D-8AB260CAD881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873A-48A4-9C4D-8AB260CAD881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873A-48A4-9C4D-8AB260CAD881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873A-48A4-9C4D-8AB260CAD881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873A-48A4-9C4D-8AB260CAD881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873A-48A4-9C4D-8AB260CAD881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873A-48A4-9C4D-8AB260CAD881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873A-48A4-9C4D-8AB260CAD881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873A-48A4-9C4D-8AB260CAD881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873A-48A4-9C4D-8AB260CAD881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873A-48A4-9C4D-8AB260CAD881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873A-48A4-9C4D-8AB260CAD881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873A-48A4-9C4D-8AB260CAD881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873A-48A4-9C4D-8AB260CAD881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873A-48A4-9C4D-8AB260CAD881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873A-48A4-9C4D-8AB260CAD881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873A-48A4-9C4D-8AB260CAD881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873A-48A4-9C4D-8AB260CAD881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873A-48A4-9C4D-8AB260CAD881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873A-48A4-9C4D-8AB260CAD881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873A-48A4-9C4D-8AB260CAD881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873A-48A4-9C4D-8AB260CAD881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873A-48A4-9C4D-8AB260CAD881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873A-48A4-9C4D-8AB260CAD881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873A-48A4-9C4D-8AB260CAD881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873A-48A4-9C4D-8AB260CAD881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873A-48A4-9C4D-8AB260CAD881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873A-48A4-9C4D-8AB260CAD881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873A-48A4-9C4D-8AB260CAD881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873A-48A4-9C4D-8AB260CAD881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873A-48A4-9C4D-8AB260CAD881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873A-48A4-9C4D-8AB260CAD881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873A-48A4-9C4D-8AB260CAD881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873A-48A4-9C4D-8AB260CAD881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873A-48A4-9C4D-8AB260CAD881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873A-48A4-9C4D-8AB260CAD881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873A-48A4-9C4D-8AB260CAD881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873A-48A4-9C4D-8AB260CAD881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873A-48A4-9C4D-8AB260CAD881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873A-48A4-9C4D-8AB260CAD881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873A-48A4-9C4D-8AB260CAD881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873A-48A4-9C4D-8AB260CAD881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873A-48A4-9C4D-8AB260CAD881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873A-48A4-9C4D-8AB260CAD881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873A-48A4-9C4D-8AB260CAD881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873A-48A4-9C4D-8AB260CAD881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873A-48A4-9C4D-8AB260CAD881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873A-48A4-9C4D-8AB260CAD881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873A-48A4-9C4D-8AB260CAD881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873A-48A4-9C4D-8AB260CAD881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873A-48A4-9C4D-8AB260CAD881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873A-48A4-9C4D-8AB260CAD881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873A-48A4-9C4D-8AB260CAD881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873A-48A4-9C4D-8AB260CAD881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873A-48A4-9C4D-8AB260CAD881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873A-48A4-9C4D-8AB260CAD881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873A-48A4-9C4D-8AB260CAD881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873A-48A4-9C4D-8AB260CAD881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873A-48A4-9C4D-8AB260CAD881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873A-48A4-9C4D-8AB260CAD881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873A-48A4-9C4D-8AB260CAD881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873A-48A4-9C4D-8AB260CAD881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873A-48A4-9C4D-8AB260CAD881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873A-48A4-9C4D-8AB260CAD881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873A-48A4-9C4D-8AB260CAD881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873A-48A4-9C4D-8AB260CAD881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873A-48A4-9C4D-8AB260CAD881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873A-48A4-9C4D-8AB260CAD881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873A-48A4-9C4D-8AB260CAD881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873A-48A4-9C4D-8AB260CAD881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873A-48A4-9C4D-8AB260CAD881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873A-48A4-9C4D-8AB260CAD881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873A-48A4-9C4D-8AB260CAD881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873A-48A4-9C4D-8AB260CAD881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873A-48A4-9C4D-8AB260CAD881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873A-48A4-9C4D-8AB260CAD881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873A-48A4-9C4D-8AB260CAD881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873A-48A4-9C4D-8AB260CAD881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873A-48A4-9C4D-8AB260CAD881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873A-48A4-9C4D-8AB260CAD881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873A-48A4-9C4D-8AB260CAD881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873A-48A4-9C4D-8AB260CAD881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873A-48A4-9C4D-8AB260CAD881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873A-48A4-9C4D-8AB260CAD881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873A-48A4-9C4D-8AB260CAD881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873A-48A4-9C4D-8AB260CAD881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873A-48A4-9C4D-8AB260CAD881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873A-48A4-9C4D-8AB260CAD881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873A-48A4-9C4D-8AB260CAD881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873A-48A4-9C4D-8AB260CAD881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873A-48A4-9C4D-8AB260CAD881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873A-48A4-9C4D-8AB260CAD881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873A-48A4-9C4D-8AB260CAD881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873A-48A4-9C4D-8AB260CAD881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873A-48A4-9C4D-8AB260CAD881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873A-48A4-9C4D-8AB260CAD881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873A-48A4-9C4D-8AB260CAD881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873A-48A4-9C4D-8AB260CAD881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873A-48A4-9C4D-8AB260CAD881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873A-48A4-9C4D-8AB260CAD881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873A-48A4-9C4D-8AB260CAD881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873A-48A4-9C4D-8AB260CAD881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873A-48A4-9C4D-8AB260CAD881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873A-48A4-9C4D-8AB260CAD881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873A-48A4-9C4D-8AB260CAD881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873A-48A4-9C4D-8AB260CAD881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873A-48A4-9C4D-8AB260CAD881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873A-48A4-9C4D-8AB260CAD881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873A-48A4-9C4D-8AB260CAD881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873A-48A4-9C4D-8AB260CAD881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873A-48A4-9C4D-8AB260CAD881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873A-48A4-9C4D-8AB260CAD881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873A-48A4-9C4D-8AB260CAD881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873A-48A4-9C4D-8AB260CAD881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873A-48A4-9C4D-8AB260CAD881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873A-48A4-9C4D-8AB260CAD881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873A-48A4-9C4D-8AB260CAD881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873A-48A4-9C4D-8AB260CAD881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873A-48A4-9C4D-8AB260CAD881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873A-48A4-9C4D-8AB260CAD881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873A-48A4-9C4D-8AB260CAD881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873A-48A4-9C4D-8AB260CAD881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873A-48A4-9C4D-8AB260CAD881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873A-48A4-9C4D-8AB260CAD881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873A-48A4-9C4D-8AB260CAD881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873A-48A4-9C4D-8AB260CAD881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873A-48A4-9C4D-8AB260CAD881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873A-48A4-9C4D-8AB260CAD881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873A-48A4-9C4D-8AB260CAD881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873A-48A4-9C4D-8AB260CAD881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873A-48A4-9C4D-8AB260CAD881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873A-48A4-9C4D-8AB260CAD881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873A-48A4-9C4D-8AB260CAD881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873A-48A4-9C4D-8AB260CAD881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873A-48A4-9C4D-8AB260CAD881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873A-48A4-9C4D-8AB260CAD881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873A-48A4-9C4D-8AB260CAD881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873A-48A4-9C4D-8AB260CAD881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873A-48A4-9C4D-8AB260CAD881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873A-48A4-9C4D-8AB260CAD881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873A-48A4-9C4D-8AB260CAD881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873A-48A4-9C4D-8AB260CAD881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873A-48A4-9C4D-8AB260CAD881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873A-48A4-9C4D-8AB260CAD881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873A-48A4-9C4D-8AB260CAD881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873A-48A4-9C4D-8AB260CAD881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873A-48A4-9C4D-8AB260CAD881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873A-48A4-9C4D-8AB260CAD881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873A-48A4-9C4D-8AB260CAD881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873A-48A4-9C4D-8AB260CAD881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873A-48A4-9C4D-8AB260CAD881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873A-48A4-9C4D-8AB260CAD881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873A-48A4-9C4D-8AB260CAD881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873A-48A4-9C4D-8AB260CAD881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873A-48A4-9C4D-8AB260CAD881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873A-48A4-9C4D-8AB260CAD881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873A-48A4-9C4D-8AB260CAD881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873A-48A4-9C4D-8AB260CAD881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873A-48A4-9C4D-8AB260CAD881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873A-48A4-9C4D-8AB260CAD881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873A-48A4-9C4D-8AB260CAD881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873A-48A4-9C4D-8AB260CAD881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873A-48A4-9C4D-8AB260CAD881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873A-48A4-9C4D-8AB260CAD881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873A-48A4-9C4D-8AB260CAD881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873A-48A4-9C4D-8AB260CAD881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873A-48A4-9C4D-8AB260CAD881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873A-48A4-9C4D-8AB260CAD881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873A-48A4-9C4D-8AB260CAD881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873A-48A4-9C4D-8AB260CAD881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873A-48A4-9C4D-8AB260CAD881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873A-48A4-9C4D-8AB260CAD881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873A-48A4-9C4D-8AB260CAD881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873A-48A4-9C4D-8AB260CAD881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873A-48A4-9C4D-8AB260CAD881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873A-48A4-9C4D-8AB260CAD881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873A-48A4-9C4D-8AB260CAD881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873A-48A4-9C4D-8AB260CAD881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873A-48A4-9C4D-8AB260CAD881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873A-48A4-9C4D-8AB260CAD881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873A-48A4-9C4D-8AB260CAD881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873A-48A4-9C4D-8AB260CAD881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873A-48A4-9C4D-8AB260CAD881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873A-48A4-9C4D-8AB260CAD881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873A-48A4-9C4D-8AB260CAD881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873A-48A4-9C4D-8AB260CAD881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873A-48A4-9C4D-8AB260CAD881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873A-48A4-9C4D-8AB260CAD881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873A-48A4-9C4D-8AB260CAD881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873A-48A4-9C4D-8AB260CAD881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873A-48A4-9C4D-8AB260CAD881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873A-48A4-9C4D-8AB260CAD881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873A-48A4-9C4D-8AB260CAD881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873A-48A4-9C4D-8AB260CAD881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873A-48A4-9C4D-8AB260CAD881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873A-48A4-9C4D-8AB260CAD881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873A-48A4-9C4D-8AB260CAD881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873A-48A4-9C4D-8AB260CAD881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873A-48A4-9C4D-8AB260CAD881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873A-48A4-9C4D-8AB260CAD881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873A-48A4-9C4D-8AB260CAD881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873A-48A4-9C4D-8AB260CAD881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873A-48A4-9C4D-8AB260CAD881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873A-48A4-9C4D-8AB260CAD881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873A-48A4-9C4D-8AB260CAD881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873A-48A4-9C4D-8AB260CAD881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873A-48A4-9C4D-8AB260CAD881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873A-48A4-9C4D-8AB260CAD881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873A-48A4-9C4D-8AB260CAD881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873A-48A4-9C4D-8AB260CAD881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873A-48A4-9C4D-8AB260CAD881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873A-48A4-9C4D-8AB260CAD881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873A-48A4-9C4D-8AB260CAD881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873A-48A4-9C4D-8AB260CAD881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873A-48A4-9C4D-8AB260CAD881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873A-48A4-9C4D-8AB260CAD881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873A-48A4-9C4D-8AB260CAD881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873A-48A4-9C4D-8AB260CAD881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873A-48A4-9C4D-8AB260CAD881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873A-48A4-9C4D-8AB260CAD881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873A-48A4-9C4D-8AB260CAD881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873A-48A4-9C4D-8AB260CAD881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873A-48A4-9C4D-8AB260CAD881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873A-48A4-9C4D-8AB260CAD881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873A-48A4-9C4D-8AB260CAD881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873A-48A4-9C4D-8AB260CAD881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873A-48A4-9C4D-8AB260CAD881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873A-48A4-9C4D-8AB260CAD881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873A-48A4-9C4D-8AB260CAD881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873A-48A4-9C4D-8AB260CAD881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873A-48A4-9C4D-8AB260CAD881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873A-48A4-9C4D-8AB260CAD881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873A-48A4-9C4D-8AB260CAD881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873A-48A4-9C4D-8AB260CAD881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873A-48A4-9C4D-8AB260CAD881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873A-48A4-9C4D-8AB260CAD881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873A-48A4-9C4D-8AB260CAD881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873A-48A4-9C4D-8AB260CAD881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873A-48A4-9C4D-8AB260CAD881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873A-48A4-9C4D-8AB260CAD881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873A-48A4-9C4D-8AB260CAD881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873A-48A4-9C4D-8AB260CAD881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873A-48A4-9C4D-8AB260CAD881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873A-48A4-9C4D-8AB260CAD881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873A-48A4-9C4D-8AB260CAD881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873A-48A4-9C4D-8AB260CAD881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873A-48A4-9C4D-8AB260CAD881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873A-48A4-9C4D-8AB260CAD881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873A-48A4-9C4D-8AB260CAD881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873A-48A4-9C4D-8AB260CAD881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873A-48A4-9C4D-8AB260CAD881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873A-48A4-9C4D-8AB260CAD881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873A-48A4-9C4D-8AB260CAD881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873A-48A4-9C4D-8AB260CAD881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873A-48A4-9C4D-8AB260CAD881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873A-48A4-9C4D-8AB260CAD881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873A-48A4-9C4D-8AB260CAD881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873A-48A4-9C4D-8AB260CAD881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873A-48A4-9C4D-8AB260CAD881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873A-48A4-9C4D-8AB260CAD881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873A-48A4-9C4D-8AB260CAD881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873A-48A4-9C4D-8AB260CAD881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873A-48A4-9C4D-8AB260CAD881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873A-48A4-9C4D-8AB260CAD881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873A-48A4-9C4D-8AB260CAD881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873A-48A4-9C4D-8AB260CAD881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873A-48A4-9C4D-8AB260CAD881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873A-48A4-9C4D-8AB260CAD881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873A-48A4-9C4D-8AB260CAD881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873A-48A4-9C4D-8AB260CAD881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873A-48A4-9C4D-8AB260CAD881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873A-48A4-9C4D-8AB260CAD881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873A-48A4-9C4D-8AB260CAD881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873A-48A4-9C4D-8AB260CAD881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873A-48A4-9C4D-8AB260CAD881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873A-48A4-9C4D-8AB260CAD881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873A-48A4-9C4D-8AB260CAD881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873A-48A4-9C4D-8AB260CAD881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873A-48A4-9C4D-8AB260CAD881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873A-48A4-9C4D-8AB260CAD881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873A-48A4-9C4D-8AB260CAD881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873A-48A4-9C4D-8AB260CAD881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873A-48A4-9C4D-8AB260CAD881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873A-48A4-9C4D-8AB260CAD881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873A-48A4-9C4D-8AB260CAD881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873A-48A4-9C4D-8AB260CAD881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873A-48A4-9C4D-8AB260CAD881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873A-48A4-9C4D-8AB260CAD881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873A-48A4-9C4D-8AB260CAD881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873A-48A4-9C4D-8AB260CAD881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873A-48A4-9C4D-8AB260CAD881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873A-48A4-9C4D-8AB260CAD881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873A-48A4-9C4D-8AB260CAD881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873A-48A4-9C4D-8AB260CAD881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873A-48A4-9C4D-8AB260CAD881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873A-48A4-9C4D-8AB260CAD881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873A-48A4-9C4D-8AB260CAD881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873A-48A4-9C4D-8AB260CAD881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873A-48A4-9C4D-8AB260CAD881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873A-48A4-9C4D-8AB260CAD881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873A-48A4-9C4D-8AB260CAD881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873A-48A4-9C4D-8AB260CAD881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873A-48A4-9C4D-8AB260CAD881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873A-48A4-9C4D-8AB260CAD881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873A-48A4-9C4D-8AB260CAD881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873A-48A4-9C4D-8AB260CAD881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873A-48A4-9C4D-8AB260CAD881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873A-48A4-9C4D-8AB260CAD881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873A-48A4-9C4D-8AB260CAD881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873A-48A4-9C4D-8AB260CAD881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873A-48A4-9C4D-8AB260CAD881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873A-48A4-9C4D-8AB260CAD881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873A-48A4-9C4D-8AB260CAD881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873A-48A4-9C4D-8AB260CAD881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873A-48A4-9C4D-8AB260CAD881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873A-48A4-9C4D-8AB260CAD881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873A-48A4-9C4D-8AB260CAD881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873A-48A4-9C4D-8AB260CAD881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873A-48A4-9C4D-8AB260CAD881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873A-48A4-9C4D-8AB260CAD881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873A-48A4-9C4D-8AB260CAD881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873A-48A4-9C4D-8AB260CAD881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873A-48A4-9C4D-8AB260CAD881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873A-48A4-9C4D-8AB260CAD881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873A-48A4-9C4D-8AB260CAD881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873A-48A4-9C4D-8AB260CAD881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873A-48A4-9C4D-8AB260CAD881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873A-48A4-9C4D-8AB260CAD881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873A-48A4-9C4D-8AB260CAD881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873A-48A4-9C4D-8AB260CAD881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873A-48A4-9C4D-8AB260CAD881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873A-48A4-9C4D-8AB260CAD881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873A-48A4-9C4D-8AB260CAD881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873A-48A4-9C4D-8AB260CAD881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873A-48A4-9C4D-8AB260CAD881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873A-48A4-9C4D-8AB260CAD881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873A-48A4-9C4D-8AB260CAD881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873A-48A4-9C4D-8AB260CAD881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873A-48A4-9C4D-8AB260CAD881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873A-48A4-9C4D-8AB260CAD881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873A-48A4-9C4D-8AB260CAD881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873A-48A4-9C4D-8AB260CAD881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873A-48A4-9C4D-8AB260CAD881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873A-48A4-9C4D-8AB260CAD881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873A-48A4-9C4D-8AB260CAD881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873A-48A4-9C4D-8AB260CAD881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873A-48A4-9C4D-8AB260CAD881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873A-48A4-9C4D-8AB260CAD881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873A-48A4-9C4D-8AB260CAD881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873A-48A4-9C4D-8AB260CAD881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873A-48A4-9C4D-8AB260CAD881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873A-48A4-9C4D-8AB260CAD881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873A-48A4-9C4D-8AB260CAD881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873A-48A4-9C4D-8AB260CAD881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873A-48A4-9C4D-8AB260CAD881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873A-48A4-9C4D-8AB260CAD881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873A-48A4-9C4D-8AB260CAD881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873A-48A4-9C4D-8AB260CAD881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873A-48A4-9C4D-8AB260CAD881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873A-48A4-9C4D-8AB260CAD881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873A-48A4-9C4D-8AB260CAD881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873A-48A4-9C4D-8AB260CAD881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873A-48A4-9C4D-8AB260CAD881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873A-48A4-9C4D-8AB260CAD881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873A-48A4-9C4D-8AB260CAD881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873A-48A4-9C4D-8AB260CAD881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873A-48A4-9C4D-8AB260CAD881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873A-48A4-9C4D-8AB260CAD881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873A-48A4-9C4D-8AB260CAD881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873A-48A4-9C4D-8AB260CAD881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873A-48A4-9C4D-8AB260CAD881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873A-48A4-9C4D-8AB260CAD881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873A-48A4-9C4D-8AB260CAD881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873A-48A4-9C4D-8AB260CAD881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873A-48A4-9C4D-8AB260CAD881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873A-48A4-9C4D-8AB260CAD881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873A-48A4-9C4D-8AB260CAD881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873A-48A4-9C4D-8AB260CAD881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873A-48A4-9C4D-8AB260CAD881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873A-48A4-9C4D-8AB260CAD881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873A-48A4-9C4D-8AB260CAD881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873A-48A4-9C4D-8AB260CAD881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873A-48A4-9C4D-8AB260CAD881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873A-48A4-9C4D-8AB260CAD881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873A-48A4-9C4D-8AB260CAD881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873A-48A4-9C4D-8AB260CAD881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873A-48A4-9C4D-8AB260CAD881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873A-48A4-9C4D-8AB260CAD881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873A-48A4-9C4D-8AB260CAD881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873A-48A4-9C4D-8AB260CAD881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873A-48A4-9C4D-8AB260CAD881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873A-48A4-9C4D-8AB260CAD881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873A-48A4-9C4D-8AB260CAD881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873A-48A4-9C4D-8AB260CAD881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873A-48A4-9C4D-8AB260CAD881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873A-48A4-9C4D-8AB260CAD881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873A-48A4-9C4D-8AB260CAD881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873A-48A4-9C4D-8AB260CAD881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873A-48A4-9C4D-8AB260CAD881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873A-48A4-9C4D-8AB260CAD881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873A-48A4-9C4D-8AB260CAD881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873A-48A4-9C4D-8AB260CAD881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873A-48A4-9C4D-8AB260CAD881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873A-48A4-9C4D-8AB260CAD881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873A-48A4-9C4D-8AB260CAD881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873A-48A4-9C4D-8AB260CAD881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873A-48A4-9C4D-8AB260CAD881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873A-48A4-9C4D-8AB260CAD881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873A-48A4-9C4D-8AB260CAD881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873A-48A4-9C4D-8AB260CAD881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873A-48A4-9C4D-8AB260CAD881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873A-48A4-9C4D-8AB260CAD881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873A-48A4-9C4D-8AB260CAD881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873A-48A4-9C4D-8AB260CAD881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873A-48A4-9C4D-8AB260CAD881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873A-48A4-9C4D-8AB260CAD881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873A-48A4-9C4D-8AB260CAD881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873A-48A4-9C4D-8AB260CAD881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873A-48A4-9C4D-8AB260CAD881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873A-48A4-9C4D-8AB260CAD881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873A-48A4-9C4D-8AB260CAD881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873A-48A4-9C4D-8AB260CAD881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873A-48A4-9C4D-8AB260CAD881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873A-48A4-9C4D-8AB260CAD881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873A-48A4-9C4D-8AB260CAD881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873A-48A4-9C4D-8AB260CAD881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873A-48A4-9C4D-8AB260CAD881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873A-48A4-9C4D-8AB260CAD881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873A-48A4-9C4D-8AB260CAD881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873A-48A4-9C4D-8AB260CAD881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873A-48A4-9C4D-8AB260CAD881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873A-48A4-9C4D-8AB260CAD881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873A-48A4-9C4D-8AB260CAD881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873A-48A4-9C4D-8AB260CAD881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873A-48A4-9C4D-8AB260CAD881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873A-48A4-9C4D-8AB260CAD881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873A-48A4-9C4D-8AB260CAD881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873A-48A4-9C4D-8AB260CAD881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873A-48A4-9C4D-8AB260CAD881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873A-48A4-9C4D-8AB260CAD881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873A-48A4-9C4D-8AB260CAD881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873A-48A4-9C4D-8AB260CAD881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873A-48A4-9C4D-8AB260CAD881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873A-48A4-9C4D-8AB260CAD881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873A-48A4-9C4D-8AB260CAD881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873A-48A4-9C4D-8AB260CAD881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873A-48A4-9C4D-8AB260CAD881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873A-48A4-9C4D-8AB260CAD881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873A-48A4-9C4D-8AB260CAD881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873A-48A4-9C4D-8AB260CAD881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873A-48A4-9C4D-8AB260CAD881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873A-48A4-9C4D-8AB260CAD881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873A-48A4-9C4D-8AB260CAD881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873A-48A4-9C4D-8AB260CAD881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873A-48A4-9C4D-8AB260CAD881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873A-48A4-9C4D-8AB260CAD881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873A-48A4-9C4D-8AB260CAD881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873A-48A4-9C4D-8AB260CAD881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873A-48A4-9C4D-8AB260CAD881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873A-48A4-9C4D-8AB260CAD881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873A-48A4-9C4D-8AB260CAD881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873A-48A4-9C4D-8AB260CAD881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873A-48A4-9C4D-8AB260CAD881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873A-48A4-9C4D-8AB260CAD881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873A-48A4-9C4D-8AB260CAD881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873A-48A4-9C4D-8AB260CAD881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873A-48A4-9C4D-8AB260CAD881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873A-48A4-9C4D-8AB260CAD881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873A-48A4-9C4D-8AB260CAD881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873A-48A4-9C4D-8AB260CAD881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873A-48A4-9C4D-8AB260CAD881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873A-48A4-9C4D-8AB260CAD881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873A-48A4-9C4D-8AB260CAD881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873A-48A4-9C4D-8AB260CAD881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873A-48A4-9C4D-8AB260CAD881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873A-48A4-9C4D-8AB260CAD881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873A-48A4-9C4D-8AB260CAD881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873A-48A4-9C4D-8AB260CAD881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873A-48A4-9C4D-8AB260CAD881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873A-48A4-9C4D-8AB260CAD881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873A-48A4-9C4D-8AB260CAD881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873A-48A4-9C4D-8AB260CAD881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873A-48A4-9C4D-8AB260CAD881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873A-48A4-9C4D-8AB260CAD881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873A-48A4-9C4D-8AB260CAD881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873A-48A4-9C4D-8AB260CAD881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873A-48A4-9C4D-8AB260CAD881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873A-48A4-9C4D-8AB260CAD881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873A-48A4-9C4D-8AB260CAD881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873A-48A4-9C4D-8AB260CAD881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873A-48A4-9C4D-8AB260CAD881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873A-48A4-9C4D-8AB260CAD881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873A-48A4-9C4D-8AB260CAD881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873A-48A4-9C4D-8AB260CAD881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873A-48A4-9C4D-8AB260CAD881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873A-48A4-9C4D-8AB260CAD881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873A-48A4-9C4D-8AB260CAD881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873A-48A4-9C4D-8AB260CAD881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873A-48A4-9C4D-8AB260CAD881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873A-48A4-9C4D-8AB260CAD881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873A-48A4-9C4D-8AB260CAD881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873A-48A4-9C4D-8AB260CAD881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873A-48A4-9C4D-8AB260CAD881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873A-48A4-9C4D-8AB260CAD881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873A-48A4-9C4D-8AB260CAD881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873A-48A4-9C4D-8AB260CAD881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873A-48A4-9C4D-8AB260CAD881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873A-48A4-9C4D-8AB260CAD881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873A-48A4-9C4D-8AB260CAD881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873A-48A4-9C4D-8AB260CAD881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873A-48A4-9C4D-8AB260CAD881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873A-48A4-9C4D-8AB260CAD881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873A-48A4-9C4D-8AB260CAD881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873A-48A4-9C4D-8AB260CAD881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873A-48A4-9C4D-8AB260CAD881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873A-48A4-9C4D-8AB260CAD881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873A-48A4-9C4D-8AB260CAD881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873A-48A4-9C4D-8AB260CAD881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873A-48A4-9C4D-8AB260CAD881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873A-48A4-9C4D-8AB260CAD881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873A-48A4-9C4D-8AB260CAD881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873A-48A4-9C4D-8AB260CAD881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873A-48A4-9C4D-8AB260CAD881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873A-48A4-9C4D-8AB260CAD881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873A-48A4-9C4D-8AB260CAD881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873A-48A4-9C4D-8AB260CAD881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873A-48A4-9C4D-8AB260CAD881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873A-48A4-9C4D-8AB260CAD881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873A-48A4-9C4D-8AB260CAD881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873A-48A4-9C4D-8AB260CAD881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873A-48A4-9C4D-8AB260CAD881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873A-48A4-9C4D-8AB260CAD881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873A-48A4-9C4D-8AB260CAD881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873A-48A4-9C4D-8AB260CAD881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873A-48A4-9C4D-8AB260CAD881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873A-48A4-9C4D-8AB260CAD881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873A-48A4-9C4D-8AB260CAD881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873A-48A4-9C4D-8AB260CAD881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873A-48A4-9C4D-8AB260CAD881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873A-48A4-9C4D-8AB260CAD881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873A-48A4-9C4D-8AB260CAD881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873A-48A4-9C4D-8AB260CAD881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873A-48A4-9C4D-8AB260CAD881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873A-48A4-9C4D-8AB260CAD881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873A-48A4-9C4D-8AB260CAD881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873A-48A4-9C4D-8AB260CAD881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873A-48A4-9C4D-8AB260CAD881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873A-48A4-9C4D-8AB260CAD881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873A-48A4-9C4D-8AB260CAD881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873A-48A4-9C4D-8AB260CAD881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873A-48A4-9C4D-8AB260CAD881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873A-48A4-9C4D-8AB260CAD881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873A-48A4-9C4D-8AB260CAD881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873A-48A4-9C4D-8AB260CAD881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873A-48A4-9C4D-8AB260CAD881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873A-48A4-9C4D-8AB260CAD881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873A-48A4-9C4D-8AB260CAD881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873A-48A4-9C4D-8AB260CAD881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873A-48A4-9C4D-8AB260CAD881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873A-48A4-9C4D-8AB260CAD881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873A-48A4-9C4D-8AB260CAD881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873A-48A4-9C4D-8AB260CAD881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873A-48A4-9C4D-8AB260CAD881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873A-48A4-9C4D-8AB260CAD881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873A-48A4-9C4D-8AB260CAD881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873A-48A4-9C4D-8AB260CAD881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873A-48A4-9C4D-8AB260CAD881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873A-48A4-9C4D-8AB260CAD881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873A-48A4-9C4D-8AB260CAD881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873A-48A4-9C4D-8AB260CAD881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873A-48A4-9C4D-8AB260CAD881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873A-48A4-9C4D-8AB260CAD881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873A-48A4-9C4D-8AB260CAD881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873A-48A4-9C4D-8AB260CAD881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873A-48A4-9C4D-8AB260CAD881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873A-48A4-9C4D-8AB260CAD881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873A-48A4-9C4D-8AB260CAD881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873A-48A4-9C4D-8AB260CAD881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873A-48A4-9C4D-8AB260CAD881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873A-48A4-9C4D-8AB260CAD881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873A-48A4-9C4D-8AB260CAD881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873A-48A4-9C4D-8AB260CAD881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873A-48A4-9C4D-8AB260CAD881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873A-48A4-9C4D-8AB260CAD881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873A-48A4-9C4D-8AB260CAD881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873A-48A4-9C4D-8AB260CAD881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873A-48A4-9C4D-8AB260CAD881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873A-48A4-9C4D-8AB260CAD881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873A-48A4-9C4D-8AB260CAD881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873A-48A4-9C4D-8AB260CAD881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873A-48A4-9C4D-8AB260CAD881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873A-48A4-9C4D-8AB260CAD881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873A-48A4-9C4D-8AB260CAD881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873A-48A4-9C4D-8AB260CAD881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873A-48A4-9C4D-8AB260CAD881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873A-48A4-9C4D-8AB260CAD881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873A-48A4-9C4D-8AB260CAD881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873A-48A4-9C4D-8AB260CAD881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873A-48A4-9C4D-8AB260CAD881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873A-48A4-9C4D-8AB260CAD881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873A-48A4-9C4D-8AB260CAD881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873A-48A4-9C4D-8AB260CAD881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873A-48A4-9C4D-8AB260CAD881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873A-48A4-9C4D-8AB260CAD881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873A-48A4-9C4D-8AB260CAD881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873A-48A4-9C4D-8AB260CAD881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873A-48A4-9C4D-8AB260CAD881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873A-48A4-9C4D-8AB260CAD881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873A-48A4-9C4D-8AB260CAD881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873A-48A4-9C4D-8AB260CAD881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873A-48A4-9C4D-8AB260CAD881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873A-48A4-9C4D-8AB260CAD881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873A-48A4-9C4D-8AB260CAD881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873A-48A4-9C4D-8AB260CAD881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873A-48A4-9C4D-8AB260CAD881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873A-48A4-9C4D-8AB260CAD881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873A-48A4-9C4D-8AB260CAD881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873A-48A4-9C4D-8AB260CAD881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873A-48A4-9C4D-8AB260CAD881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873A-48A4-9C4D-8AB260CAD881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873A-48A4-9C4D-8AB260CAD881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873A-48A4-9C4D-8AB260CAD881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873A-48A4-9C4D-8AB260CAD881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873A-48A4-9C4D-8AB260CAD881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873A-48A4-9C4D-8AB260CAD881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873A-48A4-9C4D-8AB260CAD881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873A-48A4-9C4D-8AB260CAD881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873A-48A4-9C4D-8AB260CAD881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873A-48A4-9C4D-8AB260CAD881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873A-48A4-9C4D-8AB260CAD881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873A-48A4-9C4D-8AB260CAD881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873A-48A4-9C4D-8AB260CAD881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873A-48A4-9C4D-8AB260CAD881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873A-48A4-9C4D-8AB260CAD881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873A-48A4-9C4D-8AB260CAD881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873A-48A4-9C4D-8AB260CAD881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873A-48A4-9C4D-8AB260CAD881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873A-48A4-9C4D-8AB260CAD881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873A-48A4-9C4D-8AB260CAD881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873A-48A4-9C4D-8AB260CAD881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873A-48A4-9C4D-8AB260CAD881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873A-48A4-9C4D-8AB260CAD881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873A-48A4-9C4D-8AB260CAD881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873A-48A4-9C4D-8AB260CAD881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873A-48A4-9C4D-8AB260CAD881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873A-48A4-9C4D-8AB260CAD881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873A-48A4-9C4D-8AB260CAD881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873A-48A4-9C4D-8AB260CAD881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873A-48A4-9C4D-8AB260CAD881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873A-48A4-9C4D-8AB260CAD881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873A-48A4-9C4D-8AB260CAD881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873A-48A4-9C4D-8AB260CAD881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('Données initiales'!$D$180,'Données initiales'!$F$180,'Données initiales'!$H$180,'Données initiales'!$J$180,'Données initiales'!$L$180,'Données initiales'!$N$180,'Données initiales'!$P$180)</c15:sqref>
                        </c15:formulaRef>
                      </c:ext>
                    </c:extLst>
                  </c:numRef>
                </c:val>
                <c:extLst>
                  <c:ext xmlns:c16="http://schemas.microsoft.com/office/drawing/2014/chart" uri="{C3380CC4-5D6E-409C-BE32-E72D297353CC}">
                    <c16:uniqueId val="{00000285-9D65-47E6-A29B-84F0AE2A7889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initiales'!$C$181</c15:sqref>
                        </c15:formulaRef>
                      </c:ext>
                    </c:extLst>
                    <c:strCache>
                      <c:ptCount val="1"/>
                      <c:pt idx="0">
                        <c:v>DBA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9-BB14-480A-9256-E28CC668949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9-5E67-4978-B68F-16B7A4D41EB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3-80C1-492E-81C6-B4697D88B596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7-2172-432C-A4E6-1BD7D8978030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7-80C1-492E-81C6-B4697D88B596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B-86C2-40A7-9130-0F1C4BFDF6C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B-80C1-492E-81C6-B4697D88B596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B-2172-432C-A4E6-1BD7D8978030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F-80C1-492E-81C6-B4697D88B596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7-2DCC-4328-AB1A-F3FFFF846A6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3-80C1-492E-81C6-B4697D88B596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F-2172-432C-A4E6-1BD7D8978030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F-86C2-40A7-9130-0F1C4BFDF6C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3-2172-432C-A4E6-1BD7D8978030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5E67-4978-B68F-16B7A4D41EB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7-2172-432C-A4E6-1BD7D8978030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3-86C2-40A7-9130-0F1C4BFDF6C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B-2DCC-4328-AB1A-F3FFFF846A6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7-86C2-40A7-9130-0F1C4BFDF6C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5-851D-418A-BD70-216700392D5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B-86C2-40A7-9130-0F1C4BFDF6C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D-7F02-4576-9F92-296890FB937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9-851D-418A-BD70-216700392D5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5-1077-47D8-A292-E7BC267252AD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1-7F02-4576-9F92-296890FB937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D-71B5-45C2-93C5-38A82E2287F0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9-1077-47D8-A292-E7BC267252AD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F-2DCC-4328-AB1A-F3FFFF846A6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D-5E67-4978-B68F-16B7A4D41EB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3-2DCC-4328-AB1A-F3FFFF846A6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1-8B27-4822-9AB8-CBD693E398B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7-2DCC-4328-AB1A-F3FFFF846A6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9-3037-4232-8F3A-6B51DEFC6D36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5-8B27-4822-9AB8-CBD693E398B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1-C349-4656-8A28-AADBB205242E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D-3037-4232-8F3A-6B51DEFC6D3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9-1969-424D-B9DB-D4AA8A653AEA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5-C349-4656-8A28-AADBB205242E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1-71B5-45C2-93C5-38A82E2287F0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D-1969-424D-B9DB-D4AA8A653AEA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F-5E67-4978-B68F-16B7A4D41EB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5-71B5-45C2-93C5-38A82E2287F0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1-5E67-4978-B68F-16B7A4D41EB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9-71B5-45C2-93C5-38A82E2287F0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B230-4B26-846E-D56405EFE18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A7A9-4C9D-B771-16E74E8E82FB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D92A-42DD-8311-EEA00F60D44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B230-4B26-846E-D56405EFE18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9824-4A9C-B43B-F4AB0317ECFF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D92A-42DD-8311-EEA00F60D44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92C0-48E2-B0DC-EF08AB5D95FA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D92A-42DD-8311-EEA00F60D44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39F0-4DCC-9F9F-8121D53561F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92C0-48E2-B0DC-EF08AB5D95FA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9824-4A9C-B43B-F4AB0317ECFF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92C0-48E2-B0DC-EF08AB5D95FA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962E-4D9C-B99B-812FB2AC153D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9824-4A9C-B43B-F4AB0317ECFF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39F0-4DCC-9F9F-8121D53561F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9824-4A9C-B43B-F4AB0317ECFF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A4B5-422E-8042-377C30AD8ADC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39F0-4DCC-9F9F-8121D53561F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962E-4D9C-B99B-812FB2AC153D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39F0-4DCC-9F9F-8121D53561F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CCE6-4BC6-948D-BF6183A19448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962E-4D9C-B99B-812FB2AC153D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A4B5-422E-8042-377C30AD8ADC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962E-4D9C-B99B-812FB2AC153D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A97A-43B6-BDDC-5E52DE8BCB5A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A4B5-422E-8042-377C30AD8ADC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DA6A-4B96-A17C-1FF08617E92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A4B5-422E-8042-377C30AD8ADC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A97A-43B6-BDDC-5E52DE8BCB5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CCE6-4BC6-948D-BF6183A19448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A97A-43B6-BDDC-5E52DE8BCB5A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05B4-4259-B2A3-54F33A80A2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A97A-43B6-BDDC-5E52DE8BCB5A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CCE6-4BC6-948D-BF6183A19448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DA6A-4B96-A17C-1FF08617E92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CCE6-4BC6-948D-BF6183A19448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037B-4137-BE44-39F9C12750E5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CCE6-4BC6-948D-BF6183A19448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E1F2-49E8-90BB-6A5D944FFBCA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037B-4137-BE44-39F9C12750E5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C22A-4E35-A906-67737FBCF186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E1F2-49E8-90BB-6A5D944FFBCA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3-873A-48A4-9C4D-8AB260CAD88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C22A-4E35-A906-67737FBCF186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DA6A-4B96-A17C-1FF08617E92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05B4-4259-B2A3-54F33A80A2AA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DA6A-4B96-A17C-1FF08617E92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B825-430F-8F11-7910E512DB4D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DA6A-4B96-A17C-1FF08617E92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9EBB-4498-AF73-DE10F8F08514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B825-430F-8F11-7910E512DB4D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05B4-4259-B2A3-54F33A80A2AA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9EBB-4498-AF73-DE10F8F08514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05B4-4259-B2A3-54F33A80A2AA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9EBB-4498-AF73-DE10F8F08514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05B4-4259-B2A3-54F33A80A2AA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D68D-470C-AA9D-3BBE0CCF22EC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9EBB-4498-AF73-DE10F8F08514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2D24-4F43-84DD-2AED8807F51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D68D-470C-AA9D-3BBE0CCF22EC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107D-4B73-87D1-0C7C26261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2D24-4F43-84DD-2AED8807F51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9AC6-4259-A165-1E9FF4D1491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107D-4B73-87D1-0C7C26261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377D-4BA3-8FD6-622858C4C05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9AC6-4259-A165-1E9FF4D1491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2B10-4BDB-B733-44BCEC169F5F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377D-4BA3-8FD6-622858C4C05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9AE5-4676-995C-2F720115BB62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2B10-4BDB-B733-44BCEC169F5F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7CC8-4595-B3A7-83DFCA8F1B4D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9AE5-4676-995C-2F720115BB62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5-873A-48A4-9C4D-8AB260CAD881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7CC8-4595-B3A7-83DFCA8F1B4D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CDEC-4490-9859-88D72888B46F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7CC8-4595-B3A7-83DFCA8F1B4D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C015-4A9A-ACD6-7A8EC340CC3E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CDEC-4490-9859-88D72888B46F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7-873A-48A4-9C4D-8AB260CAD881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CDEC-4490-9859-88D72888B46F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C015-4A9A-ACD6-7A8EC340CC3E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4E23-4D2F-9483-98B7DA2B7B1A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C015-4A9A-ACD6-7A8EC340CC3E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9294-4F09-9B9E-A7CDA70CAE52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4E23-4D2F-9483-98B7DA2B7B1A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0EB4-47A4-B114-49EDB5797B4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9294-4F09-9B9E-A7CDA70CAE52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9-873A-48A4-9C4D-8AB260CAD881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0EB4-47A4-B114-49EDB5797B4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B-873A-48A4-9C4D-8AB260CAD881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873A-48A4-9C4D-8AB260CAD881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F-873A-48A4-9C4D-8AB260CAD881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873A-48A4-9C4D-8AB260CAD881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3-873A-48A4-9C4D-8AB260CAD881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873A-48A4-9C4D-8AB260CAD881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7-873A-48A4-9C4D-8AB260CAD881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873A-48A4-9C4D-8AB260CAD881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B-873A-48A4-9C4D-8AB260CAD881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873A-48A4-9C4D-8AB260CAD881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F-873A-48A4-9C4D-8AB260CAD881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873A-48A4-9C4D-8AB260CAD881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873A-48A4-9C4D-8AB260CAD881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5-873A-48A4-9C4D-8AB260CAD881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873A-48A4-9C4D-8AB260CAD881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9-873A-48A4-9C4D-8AB260CAD881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873A-48A4-9C4D-8AB260CAD881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D-873A-48A4-9C4D-8AB260CAD881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873A-48A4-9C4D-8AB260CAD881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1-873A-48A4-9C4D-8AB260CAD881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873A-48A4-9C4D-8AB260CAD881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5-873A-48A4-9C4D-8AB260CAD881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873A-48A4-9C4D-8AB260CAD881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9-873A-48A4-9C4D-8AB260CAD881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873A-48A4-9C4D-8AB260CAD881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D-873A-48A4-9C4D-8AB260CAD881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873A-48A4-9C4D-8AB260CAD881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1-873A-48A4-9C4D-8AB260CAD881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873A-48A4-9C4D-8AB260CAD881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5-873A-48A4-9C4D-8AB260CAD881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873A-48A4-9C4D-8AB260CAD881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873A-48A4-9C4D-8AB260CAD881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873A-48A4-9C4D-8AB260CAD881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D-873A-48A4-9C4D-8AB260CAD881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873A-48A4-9C4D-8AB260CAD881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1-873A-48A4-9C4D-8AB260CAD881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873A-48A4-9C4D-8AB260CAD881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5-873A-48A4-9C4D-8AB260CAD881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873A-48A4-9C4D-8AB260CAD881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873A-48A4-9C4D-8AB260CAD881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873A-48A4-9C4D-8AB260CAD881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873A-48A4-9C4D-8AB260CAD881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873A-48A4-9C4D-8AB260CAD881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873A-48A4-9C4D-8AB260CAD881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3-873A-48A4-9C4D-8AB260CAD881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873A-48A4-9C4D-8AB260CAD881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873A-48A4-9C4D-8AB260CAD881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873A-48A4-9C4D-8AB260CAD881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873A-48A4-9C4D-8AB260CAD881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873A-48A4-9C4D-8AB260CAD881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873A-48A4-9C4D-8AB260CAD881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1-873A-48A4-9C4D-8AB260CAD881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873A-48A4-9C4D-8AB260CAD881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5-873A-48A4-9C4D-8AB260CAD881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873A-48A4-9C4D-8AB260CAD881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9-873A-48A4-9C4D-8AB260CAD881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873A-48A4-9C4D-8AB260CAD881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D-873A-48A4-9C4D-8AB260CAD881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873A-48A4-9C4D-8AB260CAD881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873A-48A4-9C4D-8AB260CAD881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873A-48A4-9C4D-8AB260CAD881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873A-48A4-9C4D-8AB260CAD881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873A-48A4-9C4D-8AB260CAD881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873A-48A4-9C4D-8AB260CAD881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873A-48A4-9C4D-8AB260CAD881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873A-48A4-9C4D-8AB260CAD881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873A-48A4-9C4D-8AB260CAD881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1-873A-48A4-9C4D-8AB260CAD881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873A-48A4-9C4D-8AB260CAD881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5-873A-48A4-9C4D-8AB260CAD881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873A-48A4-9C4D-8AB260CAD881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9-873A-48A4-9C4D-8AB260CAD881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873A-48A4-9C4D-8AB260CAD881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D-873A-48A4-9C4D-8AB260CAD881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873A-48A4-9C4D-8AB260CAD881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1-873A-48A4-9C4D-8AB260CAD881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873A-48A4-9C4D-8AB260CAD881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5-873A-48A4-9C4D-8AB260CAD881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873A-48A4-9C4D-8AB260CAD881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9-873A-48A4-9C4D-8AB260CAD881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873A-48A4-9C4D-8AB260CAD881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D-873A-48A4-9C4D-8AB260CAD881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873A-48A4-9C4D-8AB260CAD881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1-873A-48A4-9C4D-8AB260CAD881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873A-48A4-9C4D-8AB260CAD881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5-873A-48A4-9C4D-8AB260CAD881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873A-48A4-9C4D-8AB260CAD881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9-873A-48A4-9C4D-8AB260CAD881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873A-48A4-9C4D-8AB260CAD881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D-873A-48A4-9C4D-8AB260CAD881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873A-48A4-9C4D-8AB260CAD881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1-873A-48A4-9C4D-8AB260CAD881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3-873A-48A4-9C4D-8AB260CAD881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5-873A-48A4-9C4D-8AB260CAD881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7-873A-48A4-9C4D-8AB260CAD881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9-873A-48A4-9C4D-8AB260CAD881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B-873A-48A4-9C4D-8AB260CAD881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D-873A-48A4-9C4D-8AB260CAD881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F-873A-48A4-9C4D-8AB260CAD881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1-873A-48A4-9C4D-8AB260CAD881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3-873A-48A4-9C4D-8AB260CAD881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5-873A-48A4-9C4D-8AB260CAD881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7-873A-48A4-9C4D-8AB260CAD881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9-873A-48A4-9C4D-8AB260CAD881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B-873A-48A4-9C4D-8AB260CAD881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D-873A-48A4-9C4D-8AB260CAD881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F-873A-48A4-9C4D-8AB260CAD881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1-873A-48A4-9C4D-8AB260CAD881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3-873A-48A4-9C4D-8AB260CAD881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5-873A-48A4-9C4D-8AB260CAD881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7-873A-48A4-9C4D-8AB260CAD881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9-873A-48A4-9C4D-8AB260CAD881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B-873A-48A4-9C4D-8AB260CAD881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D-873A-48A4-9C4D-8AB260CAD881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F-873A-48A4-9C4D-8AB260CAD881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1-873A-48A4-9C4D-8AB260CAD881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3-873A-48A4-9C4D-8AB260CAD881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5-873A-48A4-9C4D-8AB260CAD881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7-873A-48A4-9C4D-8AB260CAD881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9-873A-48A4-9C4D-8AB260CAD881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873A-48A4-9C4D-8AB260CAD881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D-873A-48A4-9C4D-8AB260CAD881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F-873A-48A4-9C4D-8AB260CAD881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1-873A-48A4-9C4D-8AB260CAD881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3-873A-48A4-9C4D-8AB260CAD881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5-873A-48A4-9C4D-8AB260CAD881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7-873A-48A4-9C4D-8AB260CAD881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9-873A-48A4-9C4D-8AB260CAD881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B-873A-48A4-9C4D-8AB260CAD881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D-873A-48A4-9C4D-8AB260CAD881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F-873A-48A4-9C4D-8AB260CAD881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1-873A-48A4-9C4D-8AB260CAD881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3-873A-48A4-9C4D-8AB260CAD881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5-873A-48A4-9C4D-8AB260CAD881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7-873A-48A4-9C4D-8AB260CAD881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9-873A-48A4-9C4D-8AB260CAD881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B-873A-48A4-9C4D-8AB260CAD881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D-873A-48A4-9C4D-8AB260CAD881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F-873A-48A4-9C4D-8AB260CAD881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1-873A-48A4-9C4D-8AB260CAD881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3-873A-48A4-9C4D-8AB260CAD881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5-873A-48A4-9C4D-8AB260CAD881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7-873A-48A4-9C4D-8AB260CAD881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9-873A-48A4-9C4D-8AB260CAD881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B-873A-48A4-9C4D-8AB260CAD881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D-873A-48A4-9C4D-8AB260CAD881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F-873A-48A4-9C4D-8AB260CAD881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1-873A-48A4-9C4D-8AB260CAD881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3-873A-48A4-9C4D-8AB260CAD881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5-873A-48A4-9C4D-8AB260CAD881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7-873A-48A4-9C4D-8AB260CAD881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9-873A-48A4-9C4D-8AB260CAD881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B-873A-48A4-9C4D-8AB260CAD881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D-873A-48A4-9C4D-8AB260CAD881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F-873A-48A4-9C4D-8AB260CAD881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1-873A-48A4-9C4D-8AB260CAD881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3-873A-48A4-9C4D-8AB260CAD881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5-873A-48A4-9C4D-8AB260CAD881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7-873A-48A4-9C4D-8AB260CAD881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9-873A-48A4-9C4D-8AB260CAD881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B-873A-48A4-9C4D-8AB260CAD881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D-873A-48A4-9C4D-8AB260CAD881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F-873A-48A4-9C4D-8AB260CAD881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1-873A-48A4-9C4D-8AB260CAD881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3-873A-48A4-9C4D-8AB260CAD881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5-873A-48A4-9C4D-8AB260CAD881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7-873A-48A4-9C4D-8AB260CAD881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9-873A-48A4-9C4D-8AB260CAD881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B-873A-48A4-9C4D-8AB260CAD881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D-873A-48A4-9C4D-8AB260CAD881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F-873A-48A4-9C4D-8AB260CAD881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1-873A-48A4-9C4D-8AB260CAD881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3-873A-48A4-9C4D-8AB260CAD881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5-873A-48A4-9C4D-8AB260CAD881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7-873A-48A4-9C4D-8AB260CAD881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9-873A-48A4-9C4D-8AB260CAD881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B-873A-48A4-9C4D-8AB260CAD881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D-873A-48A4-9C4D-8AB260CAD881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F-873A-48A4-9C4D-8AB260CAD881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1-873A-48A4-9C4D-8AB260CAD881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3-873A-48A4-9C4D-8AB260CAD881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5-873A-48A4-9C4D-8AB260CAD881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7-873A-48A4-9C4D-8AB260CAD881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9-873A-48A4-9C4D-8AB260CAD881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B-873A-48A4-9C4D-8AB260CAD881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D-873A-48A4-9C4D-8AB260CAD881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F-873A-48A4-9C4D-8AB260CAD881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1-873A-48A4-9C4D-8AB260CAD881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3-873A-48A4-9C4D-8AB260CAD881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5-873A-48A4-9C4D-8AB260CAD881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7-873A-48A4-9C4D-8AB260CAD881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9-873A-48A4-9C4D-8AB260CAD881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B-873A-48A4-9C4D-8AB260CAD881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D-873A-48A4-9C4D-8AB260CAD881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F-873A-48A4-9C4D-8AB260CAD881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1-873A-48A4-9C4D-8AB260CAD881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3-873A-48A4-9C4D-8AB260CAD881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5-873A-48A4-9C4D-8AB260CAD881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7-873A-48A4-9C4D-8AB260CAD881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9-873A-48A4-9C4D-8AB260CAD881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B-873A-48A4-9C4D-8AB260CAD881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D-873A-48A4-9C4D-8AB260CAD881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F-873A-48A4-9C4D-8AB260CAD881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1-873A-48A4-9C4D-8AB260CAD881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3-873A-48A4-9C4D-8AB260CAD881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5-873A-48A4-9C4D-8AB260CAD881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7-873A-48A4-9C4D-8AB260CAD881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9-873A-48A4-9C4D-8AB260CAD881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B-873A-48A4-9C4D-8AB260CAD881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D-873A-48A4-9C4D-8AB260CAD881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F-873A-48A4-9C4D-8AB260CAD881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1-873A-48A4-9C4D-8AB260CAD881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3-873A-48A4-9C4D-8AB260CAD881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5-873A-48A4-9C4D-8AB260CAD881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7-873A-48A4-9C4D-8AB260CAD881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9-873A-48A4-9C4D-8AB260CAD881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B-873A-48A4-9C4D-8AB260CAD881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D-873A-48A4-9C4D-8AB260CAD881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F-873A-48A4-9C4D-8AB260CAD881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1-873A-48A4-9C4D-8AB260CAD881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3-873A-48A4-9C4D-8AB260CAD881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5-873A-48A4-9C4D-8AB260CAD881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7-873A-48A4-9C4D-8AB260CAD881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9-873A-48A4-9C4D-8AB260CAD881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B-873A-48A4-9C4D-8AB260CAD881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D-873A-48A4-9C4D-8AB260CAD881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F-873A-48A4-9C4D-8AB260CAD881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1-873A-48A4-9C4D-8AB260CAD881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3-873A-48A4-9C4D-8AB260CAD881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5-873A-48A4-9C4D-8AB260CAD881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7-873A-48A4-9C4D-8AB260CAD881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9-873A-48A4-9C4D-8AB260CAD881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B-873A-48A4-9C4D-8AB260CAD881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D-873A-48A4-9C4D-8AB260CAD881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F-873A-48A4-9C4D-8AB260CAD881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1-873A-48A4-9C4D-8AB260CAD881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3-873A-48A4-9C4D-8AB260CAD881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5-873A-48A4-9C4D-8AB260CAD881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7-873A-48A4-9C4D-8AB260CAD881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9-873A-48A4-9C4D-8AB260CAD881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B-873A-48A4-9C4D-8AB260CAD881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D-873A-48A4-9C4D-8AB260CAD881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F-873A-48A4-9C4D-8AB260CAD881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1-873A-48A4-9C4D-8AB260CAD881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3-873A-48A4-9C4D-8AB260CAD881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5-873A-48A4-9C4D-8AB260CAD881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7-873A-48A4-9C4D-8AB260CAD881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9-873A-48A4-9C4D-8AB260CAD881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B-873A-48A4-9C4D-8AB260CAD881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D-873A-48A4-9C4D-8AB260CAD881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F-873A-48A4-9C4D-8AB260CAD881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1-873A-48A4-9C4D-8AB260CAD881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3-873A-48A4-9C4D-8AB260CAD881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5-873A-48A4-9C4D-8AB260CAD881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7-873A-48A4-9C4D-8AB260CAD881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9-873A-48A4-9C4D-8AB260CAD881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B-873A-48A4-9C4D-8AB260CAD881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D-873A-48A4-9C4D-8AB260CAD881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F-873A-48A4-9C4D-8AB260CAD881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1-873A-48A4-9C4D-8AB260CAD881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3-873A-48A4-9C4D-8AB260CAD881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5-873A-48A4-9C4D-8AB260CAD881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7-873A-48A4-9C4D-8AB260CAD881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9-873A-48A4-9C4D-8AB260CAD881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B-873A-48A4-9C4D-8AB260CAD881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D-873A-48A4-9C4D-8AB260CAD881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F-873A-48A4-9C4D-8AB260CAD881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1-873A-48A4-9C4D-8AB260CAD881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3-873A-48A4-9C4D-8AB260CAD881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5-873A-48A4-9C4D-8AB260CAD881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7-873A-48A4-9C4D-8AB260CAD881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9-873A-48A4-9C4D-8AB260CAD881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B-873A-48A4-9C4D-8AB260CAD881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D-873A-48A4-9C4D-8AB260CAD881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F-873A-48A4-9C4D-8AB260CAD881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1-873A-48A4-9C4D-8AB260CAD881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3-873A-48A4-9C4D-8AB260CAD881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5-873A-48A4-9C4D-8AB260CAD881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7-873A-48A4-9C4D-8AB260CAD881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9-873A-48A4-9C4D-8AB260CAD881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B-873A-48A4-9C4D-8AB260CAD881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D-873A-48A4-9C4D-8AB260CAD881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F-873A-48A4-9C4D-8AB260CAD881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1-873A-48A4-9C4D-8AB260CAD881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3-873A-48A4-9C4D-8AB260CAD881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5-873A-48A4-9C4D-8AB260CAD881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7-873A-48A4-9C4D-8AB260CAD881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9-873A-48A4-9C4D-8AB260CAD881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B-873A-48A4-9C4D-8AB260CAD881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D-873A-48A4-9C4D-8AB260CAD881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F-873A-48A4-9C4D-8AB260CAD881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1-873A-48A4-9C4D-8AB260CAD881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3-873A-48A4-9C4D-8AB260CAD881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5-873A-48A4-9C4D-8AB260CAD881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7-873A-48A4-9C4D-8AB260CAD881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9-873A-48A4-9C4D-8AB260CAD881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B-873A-48A4-9C4D-8AB260CAD881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D-873A-48A4-9C4D-8AB260CAD881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F-873A-48A4-9C4D-8AB260CAD881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1-873A-48A4-9C4D-8AB260CAD881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3-873A-48A4-9C4D-8AB260CAD881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5-873A-48A4-9C4D-8AB260CAD881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7-873A-48A4-9C4D-8AB260CAD881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9-873A-48A4-9C4D-8AB260CAD881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B-873A-48A4-9C4D-8AB260CAD881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D-873A-48A4-9C4D-8AB260CAD881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F-873A-48A4-9C4D-8AB260CAD881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1-873A-48A4-9C4D-8AB260CAD881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3-873A-48A4-9C4D-8AB260CAD881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5-873A-48A4-9C4D-8AB260CAD881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7-873A-48A4-9C4D-8AB260CAD881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9-873A-48A4-9C4D-8AB260CAD881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B-873A-48A4-9C4D-8AB260CAD881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D-873A-48A4-9C4D-8AB260CAD881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F-873A-48A4-9C4D-8AB260CAD881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1-873A-48A4-9C4D-8AB260CAD881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3-873A-48A4-9C4D-8AB260CAD881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5-873A-48A4-9C4D-8AB260CAD881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7-873A-48A4-9C4D-8AB260CAD881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9-873A-48A4-9C4D-8AB260CAD881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B-873A-48A4-9C4D-8AB260CAD881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D-873A-48A4-9C4D-8AB260CAD881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F-873A-48A4-9C4D-8AB260CAD881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1-873A-48A4-9C4D-8AB260CAD881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3-873A-48A4-9C4D-8AB260CAD881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5-873A-48A4-9C4D-8AB260CAD881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7-873A-48A4-9C4D-8AB260CAD881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9-873A-48A4-9C4D-8AB260CAD881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B-873A-48A4-9C4D-8AB260CAD881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D-873A-48A4-9C4D-8AB260CAD881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F-873A-48A4-9C4D-8AB260CAD881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1-873A-48A4-9C4D-8AB260CAD881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3-873A-48A4-9C4D-8AB260CAD881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5-873A-48A4-9C4D-8AB260CAD881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7-873A-48A4-9C4D-8AB260CAD881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9-873A-48A4-9C4D-8AB260CAD881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B-873A-48A4-9C4D-8AB260CAD881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D-873A-48A4-9C4D-8AB260CAD881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F-873A-48A4-9C4D-8AB260CAD881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1-873A-48A4-9C4D-8AB260CAD881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3-873A-48A4-9C4D-8AB260CAD881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5-873A-48A4-9C4D-8AB260CAD881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7-873A-48A4-9C4D-8AB260CAD881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9-873A-48A4-9C4D-8AB260CAD881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B-873A-48A4-9C4D-8AB260CAD881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D-873A-48A4-9C4D-8AB260CAD881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F-873A-48A4-9C4D-8AB260CAD881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1-873A-48A4-9C4D-8AB260CAD881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3-873A-48A4-9C4D-8AB260CAD881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5-873A-48A4-9C4D-8AB260CAD881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7-873A-48A4-9C4D-8AB260CAD881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9-873A-48A4-9C4D-8AB260CAD881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B-873A-48A4-9C4D-8AB260CAD881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D-873A-48A4-9C4D-8AB260CAD881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F-873A-48A4-9C4D-8AB260CAD881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1-873A-48A4-9C4D-8AB260CAD881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3-873A-48A4-9C4D-8AB260CAD881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5-873A-48A4-9C4D-8AB260CAD881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7-873A-48A4-9C4D-8AB260CAD881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9-873A-48A4-9C4D-8AB260CAD881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B-873A-48A4-9C4D-8AB260CAD881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D-873A-48A4-9C4D-8AB260CAD881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F-873A-48A4-9C4D-8AB260CAD881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1-873A-48A4-9C4D-8AB260CAD881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3-873A-48A4-9C4D-8AB260CAD881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5-873A-48A4-9C4D-8AB260CAD881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7-873A-48A4-9C4D-8AB260CAD881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9-873A-48A4-9C4D-8AB260CAD881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B-873A-48A4-9C4D-8AB260CAD881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D-873A-48A4-9C4D-8AB260CAD881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F-873A-48A4-9C4D-8AB260CAD881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1-873A-48A4-9C4D-8AB260CAD881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3-873A-48A4-9C4D-8AB260CAD881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5-873A-48A4-9C4D-8AB260CAD881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7-873A-48A4-9C4D-8AB260CAD881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9-873A-48A4-9C4D-8AB260CAD881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B-873A-48A4-9C4D-8AB260CAD881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D-873A-48A4-9C4D-8AB260CAD881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F-873A-48A4-9C4D-8AB260CAD881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1-873A-48A4-9C4D-8AB260CAD881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3-873A-48A4-9C4D-8AB260CAD881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5-873A-48A4-9C4D-8AB260CAD881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7-873A-48A4-9C4D-8AB260CAD881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9-873A-48A4-9C4D-8AB260CAD881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B-873A-48A4-9C4D-8AB260CAD881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D-873A-48A4-9C4D-8AB260CAD881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F-873A-48A4-9C4D-8AB260CAD881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1-873A-48A4-9C4D-8AB260CAD881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3-873A-48A4-9C4D-8AB260CAD881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5-873A-48A4-9C4D-8AB260CAD881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7-873A-48A4-9C4D-8AB260CAD881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9-873A-48A4-9C4D-8AB260CAD881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B-873A-48A4-9C4D-8AB260CAD881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D-873A-48A4-9C4D-8AB260CAD881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F-873A-48A4-9C4D-8AB260CAD881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1-873A-48A4-9C4D-8AB260CAD881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3-873A-48A4-9C4D-8AB260CAD881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5-873A-48A4-9C4D-8AB260CAD881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7-873A-48A4-9C4D-8AB260CAD881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9-873A-48A4-9C4D-8AB260CAD881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B-873A-48A4-9C4D-8AB260CAD881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D-873A-48A4-9C4D-8AB260CAD881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F-873A-48A4-9C4D-8AB260CAD881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1-873A-48A4-9C4D-8AB260CAD881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3-873A-48A4-9C4D-8AB260CAD881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5-873A-48A4-9C4D-8AB260CAD881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7-873A-48A4-9C4D-8AB260CAD881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9-873A-48A4-9C4D-8AB260CAD881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B-873A-48A4-9C4D-8AB260CAD881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D-873A-48A4-9C4D-8AB260CAD881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F-873A-48A4-9C4D-8AB260CAD881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1-873A-48A4-9C4D-8AB260CAD881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3-873A-48A4-9C4D-8AB260CAD881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5-873A-48A4-9C4D-8AB260CAD881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7-873A-48A4-9C4D-8AB260CAD881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9-873A-48A4-9C4D-8AB260CAD881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B-873A-48A4-9C4D-8AB260CAD881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D-873A-48A4-9C4D-8AB260CAD881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F-873A-48A4-9C4D-8AB260CAD881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1-873A-48A4-9C4D-8AB260CAD881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3-873A-48A4-9C4D-8AB260CAD881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5-873A-48A4-9C4D-8AB260CAD881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7-873A-48A4-9C4D-8AB260CAD881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9-873A-48A4-9C4D-8AB260CAD881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B-873A-48A4-9C4D-8AB260CAD881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D-873A-48A4-9C4D-8AB260CAD881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F-873A-48A4-9C4D-8AB260CAD881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1-873A-48A4-9C4D-8AB260CAD881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3-873A-48A4-9C4D-8AB260CAD881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5-873A-48A4-9C4D-8AB260CAD881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7-873A-48A4-9C4D-8AB260CAD881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9-873A-48A4-9C4D-8AB260CAD881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B-873A-48A4-9C4D-8AB260CAD881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D-873A-48A4-9C4D-8AB260CAD881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F-873A-48A4-9C4D-8AB260CAD881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1-873A-48A4-9C4D-8AB260CAD881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3-873A-48A4-9C4D-8AB260CAD881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5-873A-48A4-9C4D-8AB260CAD881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7-873A-48A4-9C4D-8AB260CAD881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9-873A-48A4-9C4D-8AB260CAD881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B-873A-48A4-9C4D-8AB260CAD881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D-873A-48A4-9C4D-8AB260CAD881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F-873A-48A4-9C4D-8AB260CAD881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1-873A-48A4-9C4D-8AB260CAD881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3-873A-48A4-9C4D-8AB260CAD881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5-873A-48A4-9C4D-8AB260CAD881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7-873A-48A4-9C4D-8AB260CAD881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9-873A-48A4-9C4D-8AB260CAD881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B-873A-48A4-9C4D-8AB260CAD881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D-873A-48A4-9C4D-8AB260CAD881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F-873A-48A4-9C4D-8AB260CAD881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1-873A-48A4-9C4D-8AB260CAD881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3-873A-48A4-9C4D-8AB260CAD881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5-873A-48A4-9C4D-8AB260CAD881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7-873A-48A4-9C4D-8AB260CAD881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9-873A-48A4-9C4D-8AB260CAD881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B-873A-48A4-9C4D-8AB260CAD881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D-873A-48A4-9C4D-8AB260CAD881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F-873A-48A4-9C4D-8AB260CAD881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1-873A-48A4-9C4D-8AB260CAD881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3-873A-48A4-9C4D-8AB260CAD881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5-873A-48A4-9C4D-8AB260CAD881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7-873A-48A4-9C4D-8AB260CAD881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9-873A-48A4-9C4D-8AB260CAD881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B-873A-48A4-9C4D-8AB260CAD881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D-873A-48A4-9C4D-8AB260CAD881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F-873A-48A4-9C4D-8AB260CAD881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1-873A-48A4-9C4D-8AB260CAD881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3-873A-48A4-9C4D-8AB260CAD881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5-873A-48A4-9C4D-8AB260CAD881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7-873A-48A4-9C4D-8AB260CAD881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9-873A-48A4-9C4D-8AB260CAD881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B-873A-48A4-9C4D-8AB260CAD881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D-873A-48A4-9C4D-8AB260CAD881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F-873A-48A4-9C4D-8AB260CAD881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1-873A-48A4-9C4D-8AB260CAD881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3-873A-48A4-9C4D-8AB260CAD881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5-873A-48A4-9C4D-8AB260CAD881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7-873A-48A4-9C4D-8AB260CAD881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9-873A-48A4-9C4D-8AB260CAD881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B-873A-48A4-9C4D-8AB260CAD881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D-873A-48A4-9C4D-8AB260CAD881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F-873A-48A4-9C4D-8AB260CAD881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1-873A-48A4-9C4D-8AB260CAD881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3-873A-48A4-9C4D-8AB260CAD881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5-873A-48A4-9C4D-8AB260CAD881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7-873A-48A4-9C4D-8AB260CAD881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9-873A-48A4-9C4D-8AB260CAD881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B-873A-48A4-9C4D-8AB260CAD881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D-873A-48A4-9C4D-8AB260CAD881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F-873A-48A4-9C4D-8AB260CAD881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1-873A-48A4-9C4D-8AB260CAD881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3-873A-48A4-9C4D-8AB260CAD881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5-873A-48A4-9C4D-8AB260CAD881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7-873A-48A4-9C4D-8AB260CAD881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9-873A-48A4-9C4D-8AB260CAD881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B-873A-48A4-9C4D-8AB260CAD881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D-873A-48A4-9C4D-8AB260CAD881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F-873A-48A4-9C4D-8AB260CAD881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1-873A-48A4-9C4D-8AB260CAD881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3-873A-48A4-9C4D-8AB260CAD881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5-873A-48A4-9C4D-8AB260CAD881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7-873A-48A4-9C4D-8AB260CAD881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9-873A-48A4-9C4D-8AB260CAD881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B-873A-48A4-9C4D-8AB260CAD881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D-873A-48A4-9C4D-8AB260CAD881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F-873A-48A4-9C4D-8AB260CAD881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1-873A-48A4-9C4D-8AB260CAD881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3-873A-48A4-9C4D-8AB260CAD881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5-873A-48A4-9C4D-8AB260CAD881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7-873A-48A4-9C4D-8AB260CAD881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9-873A-48A4-9C4D-8AB260CAD881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B-873A-48A4-9C4D-8AB260CAD881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D-873A-48A4-9C4D-8AB260CAD881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F-873A-48A4-9C4D-8AB260CAD881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1-873A-48A4-9C4D-8AB260CAD881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3-873A-48A4-9C4D-8AB260CAD881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5-873A-48A4-9C4D-8AB260CAD881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7-873A-48A4-9C4D-8AB260CAD881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9-873A-48A4-9C4D-8AB260CAD881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B-873A-48A4-9C4D-8AB260CAD881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D-873A-48A4-9C4D-8AB260CAD881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F-873A-48A4-9C4D-8AB260CAD881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1-873A-48A4-9C4D-8AB260CAD881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3-873A-48A4-9C4D-8AB260CAD881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5-873A-48A4-9C4D-8AB260CAD881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7-873A-48A4-9C4D-8AB260CAD881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9-873A-48A4-9C4D-8AB260CAD881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B-873A-48A4-9C4D-8AB260CAD881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D-873A-48A4-9C4D-8AB260CAD881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F-873A-48A4-9C4D-8AB260CAD881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1-873A-48A4-9C4D-8AB260CAD881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3-873A-48A4-9C4D-8AB260CAD881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5-873A-48A4-9C4D-8AB260CAD881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7-873A-48A4-9C4D-8AB260CAD881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9-873A-48A4-9C4D-8AB260CAD881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B-873A-48A4-9C4D-8AB260CAD881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D-873A-48A4-9C4D-8AB260CAD881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F-873A-48A4-9C4D-8AB260CAD881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1-873A-48A4-9C4D-8AB260CAD881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3-873A-48A4-9C4D-8AB260CAD881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5-873A-48A4-9C4D-8AB260CAD881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7-873A-48A4-9C4D-8AB260CAD881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9-873A-48A4-9C4D-8AB260CAD881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B-873A-48A4-9C4D-8AB260CAD881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D-873A-48A4-9C4D-8AB260CAD881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F-873A-48A4-9C4D-8AB260CAD881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1-873A-48A4-9C4D-8AB260CAD881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3-873A-48A4-9C4D-8AB260CAD881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5-873A-48A4-9C4D-8AB260CAD881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7-873A-48A4-9C4D-8AB260CAD881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9-873A-48A4-9C4D-8AB260CAD881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B-873A-48A4-9C4D-8AB260CAD881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D-873A-48A4-9C4D-8AB260CAD881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F-873A-48A4-9C4D-8AB260CAD881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1-873A-48A4-9C4D-8AB260CAD881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3-873A-48A4-9C4D-8AB260CAD881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5-873A-48A4-9C4D-8AB260CAD881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7-873A-48A4-9C4D-8AB260CAD881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9-873A-48A4-9C4D-8AB260CAD881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B-873A-48A4-9C4D-8AB260CAD881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D-873A-48A4-9C4D-8AB260CAD881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F-873A-48A4-9C4D-8AB260CAD881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1-873A-48A4-9C4D-8AB260CAD881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3-873A-48A4-9C4D-8AB260CAD881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5-873A-48A4-9C4D-8AB260CAD881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7-873A-48A4-9C4D-8AB260CAD881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9-873A-48A4-9C4D-8AB260CAD881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B-873A-48A4-9C4D-8AB260CAD881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D-873A-48A4-9C4D-8AB260CAD881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F-873A-48A4-9C4D-8AB260CAD881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1-873A-48A4-9C4D-8AB260CAD881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3-873A-48A4-9C4D-8AB260CAD881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5-873A-48A4-9C4D-8AB260CAD881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7-873A-48A4-9C4D-8AB260CAD881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9-873A-48A4-9C4D-8AB260CAD881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B-873A-48A4-9C4D-8AB260CAD881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D-873A-48A4-9C4D-8AB260CAD881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F-873A-48A4-9C4D-8AB260CAD881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1-873A-48A4-9C4D-8AB260CAD881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3-873A-48A4-9C4D-8AB260CAD881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5-873A-48A4-9C4D-8AB260CAD881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7-873A-48A4-9C4D-8AB260CAD881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9-873A-48A4-9C4D-8AB260CAD881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B-873A-48A4-9C4D-8AB260CAD881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D-873A-48A4-9C4D-8AB260CAD881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F-873A-48A4-9C4D-8AB260CAD881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1-873A-48A4-9C4D-8AB260CAD881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3-873A-48A4-9C4D-8AB260CAD881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5-873A-48A4-9C4D-8AB260CAD881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7-873A-48A4-9C4D-8AB260CAD881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9-873A-48A4-9C4D-8AB260CAD881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B-873A-48A4-9C4D-8AB260CAD881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D-873A-48A4-9C4D-8AB260CAD881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F-873A-48A4-9C4D-8AB260CAD881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1-873A-48A4-9C4D-8AB260CAD881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3-873A-48A4-9C4D-8AB260CAD881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5-873A-48A4-9C4D-8AB260CAD881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7-873A-48A4-9C4D-8AB260CAD881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9-873A-48A4-9C4D-8AB260CAD881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B-873A-48A4-9C4D-8AB260CAD881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D-873A-48A4-9C4D-8AB260CAD881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F-873A-48A4-9C4D-8AB260CAD881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1-873A-48A4-9C4D-8AB260CAD881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3-873A-48A4-9C4D-8AB260CAD881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5-873A-48A4-9C4D-8AB260CAD881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7-873A-48A4-9C4D-8AB260CAD881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9-873A-48A4-9C4D-8AB260CAD881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B-873A-48A4-9C4D-8AB260CAD881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D-873A-48A4-9C4D-8AB260CAD881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F-873A-48A4-9C4D-8AB260CAD881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1-873A-48A4-9C4D-8AB260CAD881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3-873A-48A4-9C4D-8AB260CAD881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5-873A-48A4-9C4D-8AB260CAD881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7-873A-48A4-9C4D-8AB260CAD881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9-873A-48A4-9C4D-8AB260CAD881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B-873A-48A4-9C4D-8AB260CAD881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D-873A-48A4-9C4D-8AB260CAD881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F-873A-48A4-9C4D-8AB260CAD881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1-873A-48A4-9C4D-8AB260CAD881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3-873A-48A4-9C4D-8AB260CAD881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5-873A-48A4-9C4D-8AB260CAD881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7-873A-48A4-9C4D-8AB260CAD881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9-873A-48A4-9C4D-8AB260CAD881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B-873A-48A4-9C4D-8AB260CAD881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D-873A-48A4-9C4D-8AB260CAD881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F-873A-48A4-9C4D-8AB260CAD881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1-873A-48A4-9C4D-8AB260CAD881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3-873A-48A4-9C4D-8AB260CAD881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5-873A-48A4-9C4D-8AB260CAD881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7-873A-48A4-9C4D-8AB260CAD881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9-873A-48A4-9C4D-8AB260CAD881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B-873A-48A4-9C4D-8AB260CAD881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D-873A-48A4-9C4D-8AB260CAD881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F-873A-48A4-9C4D-8AB260CAD881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1-873A-48A4-9C4D-8AB260CAD881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3-873A-48A4-9C4D-8AB260CAD881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5-873A-48A4-9C4D-8AB260CAD881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7-873A-48A4-9C4D-8AB260CAD881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9-873A-48A4-9C4D-8AB260CAD881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B-873A-48A4-9C4D-8AB260CAD881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D-873A-48A4-9C4D-8AB260CAD881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F-873A-48A4-9C4D-8AB260CAD881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1-873A-48A4-9C4D-8AB260CAD881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3-873A-48A4-9C4D-8AB260CAD881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5-873A-48A4-9C4D-8AB260CAD881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7-873A-48A4-9C4D-8AB260CAD881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9-873A-48A4-9C4D-8AB260CAD881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B-873A-48A4-9C4D-8AB260CAD881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D-873A-48A4-9C4D-8AB260CAD881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F-873A-48A4-9C4D-8AB260CAD881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1-873A-48A4-9C4D-8AB260CAD881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3-873A-48A4-9C4D-8AB260CAD881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5-873A-48A4-9C4D-8AB260CAD881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7-873A-48A4-9C4D-8AB260CAD881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9-873A-48A4-9C4D-8AB260CAD881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B-873A-48A4-9C4D-8AB260CAD881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D-873A-48A4-9C4D-8AB260CAD881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F-873A-48A4-9C4D-8AB260CAD881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1-873A-48A4-9C4D-8AB260CAD881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3-873A-48A4-9C4D-8AB260CAD881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5-873A-48A4-9C4D-8AB260CAD881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7-873A-48A4-9C4D-8AB260CAD881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9-873A-48A4-9C4D-8AB260CAD881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B-873A-48A4-9C4D-8AB260CAD881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D-873A-48A4-9C4D-8AB260CAD881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F-873A-48A4-9C4D-8AB260CAD881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1-873A-48A4-9C4D-8AB260CAD881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3-873A-48A4-9C4D-8AB260CAD881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5-873A-48A4-9C4D-8AB260CAD881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7-873A-48A4-9C4D-8AB260CAD881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9-873A-48A4-9C4D-8AB260CAD881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B-873A-48A4-9C4D-8AB260CAD881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D-873A-48A4-9C4D-8AB260CAD881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F-873A-48A4-9C4D-8AB260CAD881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1-873A-48A4-9C4D-8AB260CAD881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3-873A-48A4-9C4D-8AB260CAD881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5-873A-48A4-9C4D-8AB260CAD881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7-873A-48A4-9C4D-8AB260CAD881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9-873A-48A4-9C4D-8AB260CAD881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B-873A-48A4-9C4D-8AB260CAD881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D-873A-48A4-9C4D-8AB260CAD881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F-873A-48A4-9C4D-8AB260CAD881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1-873A-48A4-9C4D-8AB260CAD881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3-873A-48A4-9C4D-8AB260CAD881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5-873A-48A4-9C4D-8AB260CAD881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7-873A-48A4-9C4D-8AB260CAD881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9-873A-48A4-9C4D-8AB260CAD881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B-873A-48A4-9C4D-8AB260CAD881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D-873A-48A4-9C4D-8AB260CAD881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F-873A-48A4-9C4D-8AB260CAD881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1-873A-48A4-9C4D-8AB260CAD881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3-873A-48A4-9C4D-8AB260CAD881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5-873A-48A4-9C4D-8AB260CAD881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7-873A-48A4-9C4D-8AB260CAD881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9-873A-48A4-9C4D-8AB260CAD881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B-873A-48A4-9C4D-8AB260CAD881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D-873A-48A4-9C4D-8AB260CAD881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F-873A-48A4-9C4D-8AB260CAD881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1-873A-48A4-9C4D-8AB260CAD881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3-873A-48A4-9C4D-8AB260CAD881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5-873A-48A4-9C4D-8AB260CAD881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7-873A-48A4-9C4D-8AB260CAD881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9-873A-48A4-9C4D-8AB260CAD881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B-873A-48A4-9C4D-8AB260CAD881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D-873A-48A4-9C4D-8AB260CAD881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F-873A-48A4-9C4D-8AB260CAD881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1-873A-48A4-9C4D-8AB260CAD881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3-873A-48A4-9C4D-8AB260CAD881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5-873A-48A4-9C4D-8AB260CAD881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7-873A-48A4-9C4D-8AB260CAD881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9-873A-48A4-9C4D-8AB260CAD881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B-873A-48A4-9C4D-8AB260CAD881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D-873A-48A4-9C4D-8AB260CAD881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F-873A-48A4-9C4D-8AB260CAD881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1-873A-48A4-9C4D-8AB260CAD881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3-873A-48A4-9C4D-8AB260CAD881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5-873A-48A4-9C4D-8AB260CAD881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7-873A-48A4-9C4D-8AB260CAD881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9-873A-48A4-9C4D-8AB260CAD881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B-873A-48A4-9C4D-8AB260CAD881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initiales'!$D$181,'Données initiales'!$F$181,'Données initiales'!$H$181,'Données initiales'!$J$181,'Données initiales'!$L$181,'Données initiales'!$N$181,'Données initiales'!$P$181)</c15:sqref>
                        </c15:formulaRef>
                      </c:ext>
                    </c:extLst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3C8-9D65-47E6-A29B-84F0AE2A7889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initiales'!$C$182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B-BB14-480A-9256-E28CC6689494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9-5E67-4978-B68F-16B7A4D41EB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F-80C1-492E-81C6-B4697D88B596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9-2172-432C-A4E6-1BD7D8978030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3-80C1-492E-81C6-B4697D88B596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3-86C2-40A7-9130-0F1C4BFDF6C5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7-80C1-492E-81C6-B4697D88B596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D-2172-432C-A4E6-1BD7D8978030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B-80C1-492E-81C6-B4697D88B596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9-2DCC-4328-AB1A-F3FFFF846A65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F-80C1-492E-81C6-B4697D88B596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1-2172-432C-A4E6-1BD7D8978030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7-86C2-40A7-9130-0F1C4BFDF6C5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5-2172-432C-A4E6-1BD7D8978030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B-5E67-4978-B68F-16B7A4D41EB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9-2172-432C-A4E6-1BD7D8978030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B-86C2-40A7-9130-0F1C4BFDF6C5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D-2DCC-4328-AB1A-F3FFFF846A6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F-86C2-40A7-9130-0F1C4BFDF6C5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3-851D-418A-BD70-216700392D5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3-86C2-40A7-9130-0F1C4BFDF6C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7-7F02-4576-9F92-296890FB937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7-851D-418A-BD70-216700392D5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B-1077-47D8-A292-E7BC267252AD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B-7F02-4576-9F92-296890FB937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5-71B5-45C2-93C5-38A82E2287F0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F-1077-47D8-A292-E7BC267252AD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1-2DCC-4328-AB1A-F3FFFF846A65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D-5E67-4978-B68F-16B7A4D41EB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5-2DCC-4328-AB1A-F3FFFF846A6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9-8B27-4822-9AB8-CBD693E398B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9-2DCC-4328-AB1A-F3FFFF846A6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D-3037-4232-8F3A-6B51DEFC6D36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D-8B27-4822-9AB8-CBD693E398B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1-C349-4656-8A28-AADBB205242E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1-3037-4232-8F3A-6B51DEFC6D3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5-1969-424D-B9DB-D4AA8A653AEA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5-C349-4656-8A28-AADBB205242E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9-71B5-45C2-93C5-38A82E2287F0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9-1969-424D-B9DB-D4AA8A653AEA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F-5E67-4978-B68F-16B7A4D41EB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D-71B5-45C2-93C5-38A82E2287F0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1-5E67-4978-B68F-16B7A4D41EB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1-71B5-45C2-93C5-38A82E2287F0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B230-4B26-846E-D56405EFE18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F-A7A9-4C9D-B771-16E74E8E82FB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B-D92A-42DD-8311-EEA00F60D44D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7-B230-4B26-846E-D56405EFE18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7-9824-4A9C-B43B-F4AB0317ECFF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F-D92A-42DD-8311-EEA00F60D44D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B-92C0-48E2-B0DC-EF08AB5D95FA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D92A-42DD-8311-EEA00F60D44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7-39F0-4DCC-9F9F-8121D53561F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F-92C0-48E2-B0DC-EF08AB5D95FA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B-9824-4A9C-B43B-F4AB0317ECFF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3-92C0-48E2-B0DC-EF08AB5D95FA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7-962E-4D9C-B99B-812FB2AC153D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F-9824-4A9C-B43B-F4AB0317ECFF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B-39F0-4DCC-9F9F-8121D53561F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3-9824-4A9C-B43B-F4AB0317ECFF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7-A4B5-422E-8042-377C30AD8ADC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F-39F0-4DCC-9F9F-8121D53561F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B-962E-4D9C-B99B-812FB2AC153D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3-39F0-4DCC-9F9F-8121D53561F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1-CCE6-4BC6-948D-BF6183A19448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F-962E-4D9C-B99B-812FB2AC153D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B-A4B5-422E-8042-377C30AD8ADC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3-962E-4D9C-B99B-812FB2AC153D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9-A97A-43B6-BDDC-5E52DE8BCB5A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F-A4B5-422E-8042-377C30AD8ADC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5-DA6A-4B96-A17C-1FF08617E92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3-A4B5-422E-8042-377C30AD8ADC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D-A97A-43B6-BDDC-5E52DE8BCB5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5-CCE6-4BC6-948D-BF6183A19448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1-A97A-43B6-BDDC-5E52DE8BCB5A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9-05B4-4259-B2A3-54F33A80A2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5-A97A-43B6-BDDC-5E52DE8BCB5A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9-CCE6-4BC6-948D-BF6183A19448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9-DA6A-4B96-A17C-1FF08617E92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D-CCE6-4BC6-948D-BF6183A19448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3-037B-4137-BE44-39F9C12750E5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1-CCE6-4BC6-948D-BF6183A19448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B-E1F2-49E8-90BB-6A5D944FFBCA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7-037B-4137-BE44-39F9C12750E5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3-C22A-4E35-A906-67737FBCF186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F-E1F2-49E8-90BB-6A5D944FFBCA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1-873A-48A4-9C4D-8AB260CAD88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7-C22A-4E35-A906-67737FBCF186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D-DA6A-4B96-A17C-1FF08617E92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D-05B4-4259-B2A3-54F33A80A2AA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1-DA6A-4B96-A17C-1FF08617E92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7-B825-430F-8F11-7910E512DB4D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5-DA6A-4B96-A17C-1FF08617E92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9EBB-4498-AF73-DE10F8F08514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B-B825-430F-8F11-7910E512DB4D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1-05B4-4259-B2A3-54F33A80A2AA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9-9EBB-4498-AF73-DE10F8F08514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5-05B4-4259-B2A3-54F33A80A2AA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B-9EBB-4498-AF73-DE10F8F08514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9-05B4-4259-B2A3-54F33A80A2AA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3-D68D-470C-AA9D-3BBE0CCF22EC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F-9EBB-4498-AF73-DE10F8F08514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B-2D24-4F43-84DD-2AED8807F51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D68D-470C-AA9D-3BBE0CCF22EC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3-107D-4B73-87D1-0C7C26261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F-2D24-4F43-84DD-2AED8807F51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B-9AC6-4259-A165-1E9FF4D1491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7-107D-4B73-87D1-0C7C26261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3-377D-4BA3-8FD6-622858C4C05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F-9AC6-4259-A165-1E9FF4D1491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B-2B10-4BDB-B733-44BCEC169F5F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7-377D-4BA3-8FD6-622858C4C05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9AE5-4676-995C-2F720115BB62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F-2B10-4BDB-B733-44BCEC169F5F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B-7CC8-4595-B3A7-83DFCA8F1B4D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7-9AE5-4676-995C-2F720115BB62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3-873A-48A4-9C4D-8AB260CAD881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F-7CC8-4595-B3A7-83DFCA8F1B4D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B-CDEC-4490-9859-88D72888B46F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7CC8-4595-B3A7-83DFCA8F1B4D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9-C015-4A9A-ACD6-7A8EC340CC3E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F-CDEC-4490-9859-88D72888B46F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5-873A-48A4-9C4D-8AB260CAD881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3-CDEC-4490-9859-88D72888B46F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D-C015-4A9A-ACD6-7A8EC340CC3E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F-4E23-4D2F-9483-98B7DA2B7B1A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1-C015-4A9A-ACD6-7A8EC340CC3E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7-9294-4F09-9B9E-A7CDA70CAE52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3-4E23-4D2F-9483-98B7DA2B7B1A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F-0EB4-47A4-B114-49EDB5797B4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B-9294-4F09-9B9E-A7CDA70CAE52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7-873A-48A4-9C4D-8AB260CAD881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3-0EB4-47A4-B114-49EDB5797B4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9-873A-48A4-9C4D-8AB260CAD881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B-873A-48A4-9C4D-8AB260CAD881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D-873A-48A4-9C4D-8AB260CAD881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F-873A-48A4-9C4D-8AB260CAD881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1-873A-48A4-9C4D-8AB260CAD881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3-873A-48A4-9C4D-8AB260CAD881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5-873A-48A4-9C4D-8AB260CAD881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7-873A-48A4-9C4D-8AB260CAD881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9-873A-48A4-9C4D-8AB260CAD881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B-873A-48A4-9C4D-8AB260CAD881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D-873A-48A4-9C4D-8AB260CAD881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F-873A-48A4-9C4D-8AB260CAD881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1-873A-48A4-9C4D-8AB260CAD881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3-873A-48A4-9C4D-8AB260CAD881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5-873A-48A4-9C4D-8AB260CAD881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7-873A-48A4-9C4D-8AB260CAD881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9-873A-48A4-9C4D-8AB260CAD881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B-873A-48A4-9C4D-8AB260CAD881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D-873A-48A4-9C4D-8AB260CAD881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F-873A-48A4-9C4D-8AB260CAD881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1-873A-48A4-9C4D-8AB260CAD881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3-873A-48A4-9C4D-8AB260CAD881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5-873A-48A4-9C4D-8AB260CAD881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7-873A-48A4-9C4D-8AB260CAD881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9-873A-48A4-9C4D-8AB260CAD881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B-873A-48A4-9C4D-8AB260CAD881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D-873A-48A4-9C4D-8AB260CAD881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F-873A-48A4-9C4D-8AB260CAD881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1-873A-48A4-9C4D-8AB260CAD881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3-873A-48A4-9C4D-8AB260CAD881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5-873A-48A4-9C4D-8AB260CAD881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7-873A-48A4-9C4D-8AB260CAD881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9-873A-48A4-9C4D-8AB260CAD881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B-873A-48A4-9C4D-8AB260CAD881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D-873A-48A4-9C4D-8AB260CAD881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F-873A-48A4-9C4D-8AB260CAD881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1-873A-48A4-9C4D-8AB260CAD881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873A-48A4-9C4D-8AB260CAD881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5-873A-48A4-9C4D-8AB260CAD881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7-873A-48A4-9C4D-8AB260CAD881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9-873A-48A4-9C4D-8AB260CAD881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B-873A-48A4-9C4D-8AB260CAD881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D-873A-48A4-9C4D-8AB260CAD881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F-873A-48A4-9C4D-8AB260CAD881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1-873A-48A4-9C4D-8AB260CAD881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3-873A-48A4-9C4D-8AB260CAD881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5-873A-48A4-9C4D-8AB260CAD881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7-873A-48A4-9C4D-8AB260CAD881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9-873A-48A4-9C4D-8AB260CAD881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B-873A-48A4-9C4D-8AB260CAD881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D-873A-48A4-9C4D-8AB260CAD881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F-873A-48A4-9C4D-8AB260CAD881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1-873A-48A4-9C4D-8AB260CAD881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3-873A-48A4-9C4D-8AB260CAD881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5-873A-48A4-9C4D-8AB260CAD881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7-873A-48A4-9C4D-8AB260CAD881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9-873A-48A4-9C4D-8AB260CAD881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B-873A-48A4-9C4D-8AB260CAD881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D-873A-48A4-9C4D-8AB260CAD881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F-873A-48A4-9C4D-8AB260CAD881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1-873A-48A4-9C4D-8AB260CAD881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3-873A-48A4-9C4D-8AB260CAD881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5-873A-48A4-9C4D-8AB260CAD881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873A-48A4-9C4D-8AB260CAD881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9-873A-48A4-9C4D-8AB260CAD881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B-873A-48A4-9C4D-8AB260CAD881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D-873A-48A4-9C4D-8AB260CAD881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F-873A-48A4-9C4D-8AB260CAD881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1-873A-48A4-9C4D-8AB260CAD881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3-873A-48A4-9C4D-8AB260CAD881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5-873A-48A4-9C4D-8AB260CAD881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7-873A-48A4-9C4D-8AB260CAD881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9-873A-48A4-9C4D-8AB260CAD881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B-873A-48A4-9C4D-8AB260CAD881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D-873A-48A4-9C4D-8AB260CAD881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F-873A-48A4-9C4D-8AB260CAD881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1-873A-48A4-9C4D-8AB260CAD881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3-873A-48A4-9C4D-8AB260CAD881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5-873A-48A4-9C4D-8AB260CAD881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7-873A-48A4-9C4D-8AB260CAD881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9-873A-48A4-9C4D-8AB260CAD881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B-873A-48A4-9C4D-8AB260CAD881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D-873A-48A4-9C4D-8AB260CAD881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F-873A-48A4-9C4D-8AB260CAD881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1-873A-48A4-9C4D-8AB260CAD881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3-873A-48A4-9C4D-8AB260CAD881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5-873A-48A4-9C4D-8AB260CAD881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7-873A-48A4-9C4D-8AB260CAD881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9-873A-48A4-9C4D-8AB260CAD881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B-873A-48A4-9C4D-8AB260CAD881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D-873A-48A4-9C4D-8AB260CAD881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F-873A-48A4-9C4D-8AB260CAD881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1-873A-48A4-9C4D-8AB260CAD881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3-873A-48A4-9C4D-8AB260CAD881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5-873A-48A4-9C4D-8AB260CAD881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7-873A-48A4-9C4D-8AB260CAD881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9-873A-48A4-9C4D-8AB260CAD881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B-873A-48A4-9C4D-8AB260CAD881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D-873A-48A4-9C4D-8AB260CAD881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F-873A-48A4-9C4D-8AB260CAD881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1-873A-48A4-9C4D-8AB260CAD881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3-873A-48A4-9C4D-8AB260CAD881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5-873A-48A4-9C4D-8AB260CAD881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7-873A-48A4-9C4D-8AB260CAD881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9-873A-48A4-9C4D-8AB260CAD881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B-873A-48A4-9C4D-8AB260CAD881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D-873A-48A4-9C4D-8AB260CAD881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F-873A-48A4-9C4D-8AB260CAD881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1-873A-48A4-9C4D-8AB260CAD881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3-873A-48A4-9C4D-8AB260CAD881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5-873A-48A4-9C4D-8AB260CAD881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7-873A-48A4-9C4D-8AB260CAD881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9-873A-48A4-9C4D-8AB260CAD881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B-873A-48A4-9C4D-8AB260CAD881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D-873A-48A4-9C4D-8AB260CAD881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F-873A-48A4-9C4D-8AB260CAD881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1-873A-48A4-9C4D-8AB260CAD881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3-873A-48A4-9C4D-8AB260CAD881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5-873A-48A4-9C4D-8AB260CAD881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7-873A-48A4-9C4D-8AB260CAD881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9-873A-48A4-9C4D-8AB260CAD881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B-873A-48A4-9C4D-8AB260CAD881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D-873A-48A4-9C4D-8AB260CAD881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F-873A-48A4-9C4D-8AB260CAD881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1-873A-48A4-9C4D-8AB260CAD881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3-873A-48A4-9C4D-8AB260CAD881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5-873A-48A4-9C4D-8AB260CAD881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7-873A-48A4-9C4D-8AB260CAD881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9-873A-48A4-9C4D-8AB260CAD881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B-873A-48A4-9C4D-8AB260CAD881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D-873A-48A4-9C4D-8AB260CAD881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F-873A-48A4-9C4D-8AB260CAD881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1-873A-48A4-9C4D-8AB260CAD881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3-873A-48A4-9C4D-8AB260CAD881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5-873A-48A4-9C4D-8AB260CAD881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7-873A-48A4-9C4D-8AB260CAD881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9-873A-48A4-9C4D-8AB260CAD881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B-873A-48A4-9C4D-8AB260CAD881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D-873A-48A4-9C4D-8AB260CAD881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F-873A-48A4-9C4D-8AB260CAD881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1-873A-48A4-9C4D-8AB260CAD881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3-873A-48A4-9C4D-8AB260CAD881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5-873A-48A4-9C4D-8AB260CAD881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7-873A-48A4-9C4D-8AB260CAD881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9-873A-48A4-9C4D-8AB260CAD881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B-873A-48A4-9C4D-8AB260CAD881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D-873A-48A4-9C4D-8AB260CAD881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F-873A-48A4-9C4D-8AB260CAD881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1-873A-48A4-9C4D-8AB260CAD881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3-873A-48A4-9C4D-8AB260CAD881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5-873A-48A4-9C4D-8AB260CAD881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7-873A-48A4-9C4D-8AB260CAD881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9-873A-48A4-9C4D-8AB260CAD881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B-873A-48A4-9C4D-8AB260CAD881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D-873A-48A4-9C4D-8AB260CAD881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F-873A-48A4-9C4D-8AB260CAD881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1-873A-48A4-9C4D-8AB260CAD881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3-873A-48A4-9C4D-8AB260CAD881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5-873A-48A4-9C4D-8AB260CAD881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7-873A-48A4-9C4D-8AB260CAD881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9-873A-48A4-9C4D-8AB260CAD881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B-873A-48A4-9C4D-8AB260CAD881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D-873A-48A4-9C4D-8AB260CAD881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F-873A-48A4-9C4D-8AB260CAD881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1-873A-48A4-9C4D-8AB260CAD881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3-873A-48A4-9C4D-8AB260CAD881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5-873A-48A4-9C4D-8AB260CAD881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7-873A-48A4-9C4D-8AB260CAD881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9-873A-48A4-9C4D-8AB260CAD881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B-873A-48A4-9C4D-8AB260CAD881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D-873A-48A4-9C4D-8AB260CAD881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F-873A-48A4-9C4D-8AB260CAD881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1-873A-48A4-9C4D-8AB260CAD881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873A-48A4-9C4D-8AB260CAD881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5-873A-48A4-9C4D-8AB260CAD881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7-873A-48A4-9C4D-8AB260CAD881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9-873A-48A4-9C4D-8AB260CAD881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B-873A-48A4-9C4D-8AB260CAD881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D-873A-48A4-9C4D-8AB260CAD881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F-873A-48A4-9C4D-8AB260CAD881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1-873A-48A4-9C4D-8AB260CAD881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3-873A-48A4-9C4D-8AB260CAD881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5-873A-48A4-9C4D-8AB260CAD881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7-873A-48A4-9C4D-8AB260CAD881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9-873A-48A4-9C4D-8AB260CAD881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B-873A-48A4-9C4D-8AB260CAD881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D-873A-48A4-9C4D-8AB260CAD881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F-873A-48A4-9C4D-8AB260CAD881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1-873A-48A4-9C4D-8AB260CAD881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3-873A-48A4-9C4D-8AB260CAD881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5-873A-48A4-9C4D-8AB260CAD881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7-873A-48A4-9C4D-8AB260CAD881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9-873A-48A4-9C4D-8AB260CAD881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B-873A-48A4-9C4D-8AB260CAD881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D-873A-48A4-9C4D-8AB260CAD881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F-873A-48A4-9C4D-8AB260CAD881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1-873A-48A4-9C4D-8AB260CAD881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3-873A-48A4-9C4D-8AB260CAD881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5-873A-48A4-9C4D-8AB260CAD881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7-873A-48A4-9C4D-8AB260CAD881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9-873A-48A4-9C4D-8AB260CAD881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B-873A-48A4-9C4D-8AB260CAD881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D-873A-48A4-9C4D-8AB260CAD881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F-873A-48A4-9C4D-8AB260CAD881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1-873A-48A4-9C4D-8AB260CAD881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3-873A-48A4-9C4D-8AB260CAD881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5-873A-48A4-9C4D-8AB260CAD881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7-873A-48A4-9C4D-8AB260CAD881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9-873A-48A4-9C4D-8AB260CAD881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B-873A-48A4-9C4D-8AB260CAD881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D-873A-48A4-9C4D-8AB260CAD881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F-873A-48A4-9C4D-8AB260CAD881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1-873A-48A4-9C4D-8AB260CAD881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3-873A-48A4-9C4D-8AB260CAD881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5-873A-48A4-9C4D-8AB260CAD881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7-873A-48A4-9C4D-8AB260CAD881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9-873A-48A4-9C4D-8AB260CAD881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B-873A-48A4-9C4D-8AB260CAD881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D-873A-48A4-9C4D-8AB260CAD881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F-873A-48A4-9C4D-8AB260CAD881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1-873A-48A4-9C4D-8AB260CAD881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3-873A-48A4-9C4D-8AB260CAD881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5-873A-48A4-9C4D-8AB260CAD881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7-873A-48A4-9C4D-8AB260CAD881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9-873A-48A4-9C4D-8AB260CAD881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B-873A-48A4-9C4D-8AB260CAD881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D-873A-48A4-9C4D-8AB260CAD881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F-873A-48A4-9C4D-8AB260CAD881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1-873A-48A4-9C4D-8AB260CAD881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3-873A-48A4-9C4D-8AB260CAD881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5-873A-48A4-9C4D-8AB260CAD881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7-873A-48A4-9C4D-8AB260CAD881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9-873A-48A4-9C4D-8AB260CAD881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B-873A-48A4-9C4D-8AB260CAD881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D-873A-48A4-9C4D-8AB260CAD881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F-873A-48A4-9C4D-8AB260CAD881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1-873A-48A4-9C4D-8AB260CAD881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3-873A-48A4-9C4D-8AB260CAD881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5-873A-48A4-9C4D-8AB260CAD881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7-873A-48A4-9C4D-8AB260CAD881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9-873A-48A4-9C4D-8AB260CAD881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B-873A-48A4-9C4D-8AB260CAD881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D-873A-48A4-9C4D-8AB260CAD881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F-873A-48A4-9C4D-8AB260CAD881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1-873A-48A4-9C4D-8AB260CAD881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3-873A-48A4-9C4D-8AB260CAD881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5-873A-48A4-9C4D-8AB260CAD881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7-873A-48A4-9C4D-8AB260CAD881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9-873A-48A4-9C4D-8AB260CAD881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B-873A-48A4-9C4D-8AB260CAD881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D-873A-48A4-9C4D-8AB260CAD881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F-873A-48A4-9C4D-8AB260CAD881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1-873A-48A4-9C4D-8AB260CAD881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3-873A-48A4-9C4D-8AB260CAD881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5-873A-48A4-9C4D-8AB260CAD881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7-873A-48A4-9C4D-8AB260CAD881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9-873A-48A4-9C4D-8AB260CAD881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B-873A-48A4-9C4D-8AB260CAD881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D-873A-48A4-9C4D-8AB260CAD881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F-873A-48A4-9C4D-8AB260CAD881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1-873A-48A4-9C4D-8AB260CAD881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3-873A-48A4-9C4D-8AB260CAD881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5-873A-48A4-9C4D-8AB260CAD881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7-873A-48A4-9C4D-8AB260CAD881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9-873A-48A4-9C4D-8AB260CAD881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B-873A-48A4-9C4D-8AB260CAD881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D-873A-48A4-9C4D-8AB260CAD881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F-873A-48A4-9C4D-8AB260CAD881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1-873A-48A4-9C4D-8AB260CAD881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3-873A-48A4-9C4D-8AB260CAD881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5-873A-48A4-9C4D-8AB260CAD881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7-873A-48A4-9C4D-8AB260CAD881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9-873A-48A4-9C4D-8AB260CAD881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B-873A-48A4-9C4D-8AB260CAD881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D-873A-48A4-9C4D-8AB260CAD881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F-873A-48A4-9C4D-8AB260CAD881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1-873A-48A4-9C4D-8AB260CAD881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3-873A-48A4-9C4D-8AB260CAD881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5-873A-48A4-9C4D-8AB260CAD881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7-873A-48A4-9C4D-8AB260CAD881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9-873A-48A4-9C4D-8AB260CAD881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B-873A-48A4-9C4D-8AB260CAD881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D-873A-48A4-9C4D-8AB260CAD881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F-873A-48A4-9C4D-8AB260CAD881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1-873A-48A4-9C4D-8AB260CAD881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3-873A-48A4-9C4D-8AB260CAD881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5-873A-48A4-9C4D-8AB260CAD881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7-873A-48A4-9C4D-8AB260CAD881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9-873A-48A4-9C4D-8AB260CAD881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B-873A-48A4-9C4D-8AB260CAD881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D-873A-48A4-9C4D-8AB260CAD881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F-873A-48A4-9C4D-8AB260CAD881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1-873A-48A4-9C4D-8AB260CAD881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3-873A-48A4-9C4D-8AB260CAD881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5-873A-48A4-9C4D-8AB260CAD881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7-873A-48A4-9C4D-8AB260CAD881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9-873A-48A4-9C4D-8AB260CAD881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B-873A-48A4-9C4D-8AB260CAD881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D-873A-48A4-9C4D-8AB260CAD881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F-873A-48A4-9C4D-8AB260CAD881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1-873A-48A4-9C4D-8AB260CAD881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3-873A-48A4-9C4D-8AB260CAD881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5-873A-48A4-9C4D-8AB260CAD881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7-873A-48A4-9C4D-8AB260CAD881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9-873A-48A4-9C4D-8AB260CAD881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B-873A-48A4-9C4D-8AB260CAD881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D-873A-48A4-9C4D-8AB260CAD881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F-873A-48A4-9C4D-8AB260CAD881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1-873A-48A4-9C4D-8AB260CAD881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3-873A-48A4-9C4D-8AB260CAD881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5-873A-48A4-9C4D-8AB260CAD881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7-873A-48A4-9C4D-8AB260CAD881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9-873A-48A4-9C4D-8AB260CAD881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B-873A-48A4-9C4D-8AB260CAD881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D-873A-48A4-9C4D-8AB260CAD881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F-873A-48A4-9C4D-8AB260CAD881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1-873A-48A4-9C4D-8AB260CAD881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3-873A-48A4-9C4D-8AB260CAD881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5-873A-48A4-9C4D-8AB260CAD881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7-873A-48A4-9C4D-8AB260CAD881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9-873A-48A4-9C4D-8AB260CAD881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B-873A-48A4-9C4D-8AB260CAD881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D-873A-48A4-9C4D-8AB260CAD881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F-873A-48A4-9C4D-8AB260CAD881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1-873A-48A4-9C4D-8AB260CAD881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3-873A-48A4-9C4D-8AB260CAD881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5-873A-48A4-9C4D-8AB260CAD881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7-873A-48A4-9C4D-8AB260CAD881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9-873A-48A4-9C4D-8AB260CAD881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B-873A-48A4-9C4D-8AB260CAD881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D-873A-48A4-9C4D-8AB260CAD881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F-873A-48A4-9C4D-8AB260CAD881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1-873A-48A4-9C4D-8AB260CAD881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3-873A-48A4-9C4D-8AB260CAD881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5-873A-48A4-9C4D-8AB260CAD881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7-873A-48A4-9C4D-8AB260CAD881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9-873A-48A4-9C4D-8AB260CAD881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B-873A-48A4-9C4D-8AB260CAD881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D-873A-48A4-9C4D-8AB260CAD881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F-873A-48A4-9C4D-8AB260CAD881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1-873A-48A4-9C4D-8AB260CAD881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3-873A-48A4-9C4D-8AB260CAD881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5-873A-48A4-9C4D-8AB260CAD881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7-873A-48A4-9C4D-8AB260CAD881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9-873A-48A4-9C4D-8AB260CAD881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B-873A-48A4-9C4D-8AB260CAD881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D-873A-48A4-9C4D-8AB260CAD881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F-873A-48A4-9C4D-8AB260CAD881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1-873A-48A4-9C4D-8AB260CAD881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3-873A-48A4-9C4D-8AB260CAD881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5-873A-48A4-9C4D-8AB260CAD881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7-873A-48A4-9C4D-8AB260CAD881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9-873A-48A4-9C4D-8AB260CAD881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B-873A-48A4-9C4D-8AB260CAD881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D-873A-48A4-9C4D-8AB260CAD881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F-873A-48A4-9C4D-8AB260CAD881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1-873A-48A4-9C4D-8AB260CAD881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3-873A-48A4-9C4D-8AB260CAD881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5-873A-48A4-9C4D-8AB260CAD881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7-873A-48A4-9C4D-8AB260CAD881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9-873A-48A4-9C4D-8AB260CAD881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B-873A-48A4-9C4D-8AB260CAD881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D-873A-48A4-9C4D-8AB260CAD881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F-873A-48A4-9C4D-8AB260CAD881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1-873A-48A4-9C4D-8AB260CAD881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3-873A-48A4-9C4D-8AB260CAD881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5-873A-48A4-9C4D-8AB260CAD881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7-873A-48A4-9C4D-8AB260CAD881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9-873A-48A4-9C4D-8AB260CAD881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B-873A-48A4-9C4D-8AB260CAD881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D-873A-48A4-9C4D-8AB260CAD881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F-873A-48A4-9C4D-8AB260CAD881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1-873A-48A4-9C4D-8AB260CAD881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3-873A-48A4-9C4D-8AB260CAD881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5-873A-48A4-9C4D-8AB260CAD881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7-873A-48A4-9C4D-8AB260CAD881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9-873A-48A4-9C4D-8AB260CAD881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B-873A-48A4-9C4D-8AB260CAD881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D-873A-48A4-9C4D-8AB260CAD881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F-873A-48A4-9C4D-8AB260CAD881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1-873A-48A4-9C4D-8AB260CAD881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3-873A-48A4-9C4D-8AB260CAD881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5-873A-48A4-9C4D-8AB260CAD881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7-873A-48A4-9C4D-8AB260CAD881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9-873A-48A4-9C4D-8AB260CAD881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B-873A-48A4-9C4D-8AB260CAD881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D-873A-48A4-9C4D-8AB260CAD881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F-873A-48A4-9C4D-8AB260CAD881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1-873A-48A4-9C4D-8AB260CAD881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3-873A-48A4-9C4D-8AB260CAD881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5-873A-48A4-9C4D-8AB260CAD881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7-873A-48A4-9C4D-8AB260CAD881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9-873A-48A4-9C4D-8AB260CAD881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B-873A-48A4-9C4D-8AB260CAD881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D-873A-48A4-9C4D-8AB260CAD881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F-873A-48A4-9C4D-8AB260CAD881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1-873A-48A4-9C4D-8AB260CAD881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3-873A-48A4-9C4D-8AB260CAD881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5-873A-48A4-9C4D-8AB260CAD881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7-873A-48A4-9C4D-8AB260CAD881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9-873A-48A4-9C4D-8AB260CAD881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B-873A-48A4-9C4D-8AB260CAD881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D-873A-48A4-9C4D-8AB260CAD881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F-873A-48A4-9C4D-8AB260CAD881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1-873A-48A4-9C4D-8AB260CAD881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3-873A-48A4-9C4D-8AB260CAD881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5-873A-48A4-9C4D-8AB260CAD881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7-873A-48A4-9C4D-8AB260CAD881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9-873A-48A4-9C4D-8AB260CAD881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B-873A-48A4-9C4D-8AB260CAD881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D-873A-48A4-9C4D-8AB260CAD881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F-873A-48A4-9C4D-8AB260CAD881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1-873A-48A4-9C4D-8AB260CAD881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3-873A-48A4-9C4D-8AB260CAD881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5-873A-48A4-9C4D-8AB260CAD881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7-873A-48A4-9C4D-8AB260CAD881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9-873A-48A4-9C4D-8AB260CAD881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B-873A-48A4-9C4D-8AB260CAD881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D-873A-48A4-9C4D-8AB260CAD881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F-873A-48A4-9C4D-8AB260CAD881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1-873A-48A4-9C4D-8AB260CAD881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3-873A-48A4-9C4D-8AB260CAD881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5-873A-48A4-9C4D-8AB260CAD881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7-873A-48A4-9C4D-8AB260CAD881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9-873A-48A4-9C4D-8AB260CAD881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B-873A-48A4-9C4D-8AB260CAD881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D-873A-48A4-9C4D-8AB260CAD881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F-873A-48A4-9C4D-8AB260CAD881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1-873A-48A4-9C4D-8AB260CAD881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3-873A-48A4-9C4D-8AB260CAD881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5-873A-48A4-9C4D-8AB260CAD881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7-873A-48A4-9C4D-8AB260CAD881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9-873A-48A4-9C4D-8AB260CAD881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B-873A-48A4-9C4D-8AB260CAD881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D-873A-48A4-9C4D-8AB260CAD881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F-873A-48A4-9C4D-8AB260CAD881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1-873A-48A4-9C4D-8AB260CAD881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3-873A-48A4-9C4D-8AB260CAD881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5-873A-48A4-9C4D-8AB260CAD881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7-873A-48A4-9C4D-8AB260CAD881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9-873A-48A4-9C4D-8AB260CAD881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B-873A-48A4-9C4D-8AB260CAD881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D-873A-48A4-9C4D-8AB260CAD881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F-873A-48A4-9C4D-8AB260CAD881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1-873A-48A4-9C4D-8AB260CAD881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3-873A-48A4-9C4D-8AB260CAD881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5-873A-48A4-9C4D-8AB260CAD881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7-873A-48A4-9C4D-8AB260CAD881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9-873A-48A4-9C4D-8AB260CAD881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B-873A-48A4-9C4D-8AB260CAD881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D-873A-48A4-9C4D-8AB260CAD881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F-873A-48A4-9C4D-8AB260CAD881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1-873A-48A4-9C4D-8AB260CAD881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3-873A-48A4-9C4D-8AB260CAD881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5-873A-48A4-9C4D-8AB260CAD881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7-873A-48A4-9C4D-8AB260CAD881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9-873A-48A4-9C4D-8AB260CAD881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B-873A-48A4-9C4D-8AB260CAD881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D-873A-48A4-9C4D-8AB260CAD881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F-873A-48A4-9C4D-8AB260CAD881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1-873A-48A4-9C4D-8AB260CAD881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3-873A-48A4-9C4D-8AB260CAD881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5-873A-48A4-9C4D-8AB260CAD881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7-873A-48A4-9C4D-8AB260CAD881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9-873A-48A4-9C4D-8AB260CAD881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B-873A-48A4-9C4D-8AB260CAD881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D-873A-48A4-9C4D-8AB260CAD881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F-873A-48A4-9C4D-8AB260CAD881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1-873A-48A4-9C4D-8AB260CAD881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3-873A-48A4-9C4D-8AB260CAD881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5-873A-48A4-9C4D-8AB260CAD881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7-873A-48A4-9C4D-8AB260CAD881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9-873A-48A4-9C4D-8AB260CAD881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B-873A-48A4-9C4D-8AB260CAD881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D-873A-48A4-9C4D-8AB260CAD881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F-873A-48A4-9C4D-8AB260CAD881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1-873A-48A4-9C4D-8AB260CAD881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3-873A-48A4-9C4D-8AB260CAD881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5-873A-48A4-9C4D-8AB260CAD881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7-873A-48A4-9C4D-8AB260CAD881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9-873A-48A4-9C4D-8AB260CAD881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B-873A-48A4-9C4D-8AB260CAD881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D-873A-48A4-9C4D-8AB260CAD881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F-873A-48A4-9C4D-8AB260CAD881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1-873A-48A4-9C4D-8AB260CAD881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3-873A-48A4-9C4D-8AB260CAD881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5-873A-48A4-9C4D-8AB260CAD881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7-873A-48A4-9C4D-8AB260CAD881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9-873A-48A4-9C4D-8AB260CAD881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B-873A-48A4-9C4D-8AB260CAD881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D-873A-48A4-9C4D-8AB260CAD881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F-873A-48A4-9C4D-8AB260CAD881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1-873A-48A4-9C4D-8AB260CAD881}"/>
                    </c:ext>
                  </c:extLst>
                </c:dPt>
                <c:dPt>
                  <c:idx val="626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3-873A-48A4-9C4D-8AB260CAD881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5-873A-48A4-9C4D-8AB260CAD881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7-873A-48A4-9C4D-8AB260CAD881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9-873A-48A4-9C4D-8AB260CAD881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B-873A-48A4-9C4D-8AB260CAD881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D-873A-48A4-9C4D-8AB260CAD881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F-873A-48A4-9C4D-8AB260CAD881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1-873A-48A4-9C4D-8AB260CAD881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3-873A-48A4-9C4D-8AB260CAD881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5-873A-48A4-9C4D-8AB260CAD881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7-873A-48A4-9C4D-8AB260CAD881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9-873A-48A4-9C4D-8AB260CAD881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B-873A-48A4-9C4D-8AB260CAD881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D-873A-48A4-9C4D-8AB260CAD881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F-873A-48A4-9C4D-8AB260CAD881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1-873A-48A4-9C4D-8AB260CAD881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3-873A-48A4-9C4D-8AB260CAD881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5-873A-48A4-9C4D-8AB260CAD881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7-873A-48A4-9C4D-8AB260CAD881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9-873A-48A4-9C4D-8AB260CAD881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B-873A-48A4-9C4D-8AB260CAD881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D-873A-48A4-9C4D-8AB260CAD881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F-873A-48A4-9C4D-8AB260CAD881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1-873A-48A4-9C4D-8AB260CAD881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3-873A-48A4-9C4D-8AB260CAD881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5-873A-48A4-9C4D-8AB260CAD881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7-873A-48A4-9C4D-8AB260CAD881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9-873A-48A4-9C4D-8AB260CAD881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B-873A-48A4-9C4D-8AB260CAD881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D-873A-48A4-9C4D-8AB260CAD881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F-873A-48A4-9C4D-8AB260CAD881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1-873A-48A4-9C4D-8AB260CAD881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3-873A-48A4-9C4D-8AB260CAD881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5-873A-48A4-9C4D-8AB260CAD881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7-873A-48A4-9C4D-8AB260CAD881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9-873A-48A4-9C4D-8AB260CAD881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B-873A-48A4-9C4D-8AB260CAD881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D-873A-48A4-9C4D-8AB260CAD881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F-873A-48A4-9C4D-8AB260CAD881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1-873A-48A4-9C4D-8AB260CAD881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3-873A-48A4-9C4D-8AB260CAD881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5-873A-48A4-9C4D-8AB260CAD881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7-873A-48A4-9C4D-8AB260CAD881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9-873A-48A4-9C4D-8AB260CAD881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B-873A-48A4-9C4D-8AB260CAD881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D-873A-48A4-9C4D-8AB260CAD881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F-873A-48A4-9C4D-8AB260CAD881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1-873A-48A4-9C4D-8AB260CAD881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3-873A-48A4-9C4D-8AB260CAD881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5-873A-48A4-9C4D-8AB260CAD881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7-873A-48A4-9C4D-8AB260CAD881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9-873A-48A4-9C4D-8AB260CAD881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B-873A-48A4-9C4D-8AB260CAD881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D-873A-48A4-9C4D-8AB260CAD881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F-873A-48A4-9C4D-8AB260CAD881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1-873A-48A4-9C4D-8AB260CAD881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3-873A-48A4-9C4D-8AB260CAD881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5-873A-48A4-9C4D-8AB260CAD881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7-873A-48A4-9C4D-8AB260CAD881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9-873A-48A4-9C4D-8AB260CAD881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B-873A-48A4-9C4D-8AB260CAD881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D-873A-48A4-9C4D-8AB260CAD881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F-873A-48A4-9C4D-8AB260CAD881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1-873A-48A4-9C4D-8AB260CAD881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3-873A-48A4-9C4D-8AB260CAD881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5-873A-48A4-9C4D-8AB260CAD881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7-873A-48A4-9C4D-8AB260CAD881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9-873A-48A4-9C4D-8AB260CAD881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B-873A-48A4-9C4D-8AB260CAD881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D-873A-48A4-9C4D-8AB260CAD881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F-873A-48A4-9C4D-8AB260CAD881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1-873A-48A4-9C4D-8AB260CAD881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3-873A-48A4-9C4D-8AB260CAD881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5-873A-48A4-9C4D-8AB260CAD881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7-873A-48A4-9C4D-8AB260CAD881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9-873A-48A4-9C4D-8AB260CAD881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B-873A-48A4-9C4D-8AB260CAD881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D-873A-48A4-9C4D-8AB260CAD881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F-873A-48A4-9C4D-8AB260CAD881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1-873A-48A4-9C4D-8AB260CAD881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3-873A-48A4-9C4D-8AB260CAD881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5-873A-48A4-9C4D-8AB260CAD881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7-873A-48A4-9C4D-8AB260CAD881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9-873A-48A4-9C4D-8AB260CAD881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B-873A-48A4-9C4D-8AB260CAD881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D-873A-48A4-9C4D-8AB260CAD881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F-873A-48A4-9C4D-8AB260CAD881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1-873A-48A4-9C4D-8AB260CAD881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3-873A-48A4-9C4D-8AB260CAD881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5-873A-48A4-9C4D-8AB260CAD881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7-873A-48A4-9C4D-8AB260CAD881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9-873A-48A4-9C4D-8AB260CAD881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B-873A-48A4-9C4D-8AB260CAD881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D-873A-48A4-9C4D-8AB260CAD881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F-873A-48A4-9C4D-8AB260CAD881}"/>
                    </c:ext>
                  </c:extLst>
                </c:dPt>
                <c:dPt>
                  <c:idx val="721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1-873A-48A4-9C4D-8AB260CAD881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3-873A-48A4-9C4D-8AB260CAD881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5-873A-48A4-9C4D-8AB260CAD881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7-873A-48A4-9C4D-8AB260CAD881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9-873A-48A4-9C4D-8AB260CAD881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B-873A-48A4-9C4D-8AB260CAD881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D-873A-48A4-9C4D-8AB260CAD881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F-873A-48A4-9C4D-8AB260CAD881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1-873A-48A4-9C4D-8AB260CAD881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3-873A-48A4-9C4D-8AB260CAD881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5-873A-48A4-9C4D-8AB260CAD881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7-873A-48A4-9C4D-8AB260CAD881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9-873A-48A4-9C4D-8AB260CAD881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B-873A-48A4-9C4D-8AB260CAD881}"/>
                    </c:ext>
                  </c:extLst>
                </c:dPt>
                <c:dPt>
                  <c:idx val="735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D-873A-48A4-9C4D-8AB260CAD881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F-873A-48A4-9C4D-8AB260CAD881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1-873A-48A4-9C4D-8AB260CAD881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3-873A-48A4-9C4D-8AB260CAD881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5-873A-48A4-9C4D-8AB260CAD881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7-873A-48A4-9C4D-8AB260CAD881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9-873A-48A4-9C4D-8AB260CAD881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B-873A-48A4-9C4D-8AB260CAD881}"/>
                    </c:ext>
                  </c:extLst>
                </c:dPt>
                <c:dPt>
                  <c:idx val="74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D-873A-48A4-9C4D-8AB260CAD881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F-873A-48A4-9C4D-8AB260CAD881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1-873A-48A4-9C4D-8AB260CAD881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3-873A-48A4-9C4D-8AB260CAD881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5-873A-48A4-9C4D-8AB260CAD881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7-873A-48A4-9C4D-8AB260CAD881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9-873A-48A4-9C4D-8AB260CAD881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B-873A-48A4-9C4D-8AB260CAD881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D-873A-48A4-9C4D-8AB260CAD881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F-873A-48A4-9C4D-8AB260CAD881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1-873A-48A4-9C4D-8AB260CAD881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3-873A-48A4-9C4D-8AB260CAD881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5-873A-48A4-9C4D-8AB260CAD881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7-873A-48A4-9C4D-8AB260CAD881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9-873A-48A4-9C4D-8AB260CAD881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B-873A-48A4-9C4D-8AB260CAD881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D-873A-48A4-9C4D-8AB260CAD881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F-873A-48A4-9C4D-8AB260CAD881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1-873A-48A4-9C4D-8AB260CAD881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3-873A-48A4-9C4D-8AB260CAD881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5-873A-48A4-9C4D-8AB260CAD881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7-873A-48A4-9C4D-8AB260CAD881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9-873A-48A4-9C4D-8AB260CAD881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B-873A-48A4-9C4D-8AB260CAD881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D-873A-48A4-9C4D-8AB260CAD881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F-873A-48A4-9C4D-8AB260CAD881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1-873A-48A4-9C4D-8AB260CAD881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3-873A-48A4-9C4D-8AB260CAD881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5-873A-48A4-9C4D-8AB260CAD881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7-873A-48A4-9C4D-8AB260CAD881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9-873A-48A4-9C4D-8AB260CAD881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B-873A-48A4-9C4D-8AB260CAD881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D-873A-48A4-9C4D-8AB260CAD881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F-873A-48A4-9C4D-8AB260CAD881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1-873A-48A4-9C4D-8AB260CAD881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3-873A-48A4-9C4D-8AB260CAD881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5-873A-48A4-9C4D-8AB260CAD881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7-873A-48A4-9C4D-8AB260CAD881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9-873A-48A4-9C4D-8AB260CAD881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B-873A-48A4-9C4D-8AB260CAD881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D-873A-48A4-9C4D-8AB260CAD881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F-873A-48A4-9C4D-8AB260CAD881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1-873A-48A4-9C4D-8AB260CAD881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3-873A-48A4-9C4D-8AB260CAD881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5-873A-48A4-9C4D-8AB260CAD881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7-873A-48A4-9C4D-8AB260CAD881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9-873A-48A4-9C4D-8AB260CAD881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B-873A-48A4-9C4D-8AB260CAD881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D-873A-48A4-9C4D-8AB260CAD881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F-873A-48A4-9C4D-8AB260CAD881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1-873A-48A4-9C4D-8AB260CAD881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3-873A-48A4-9C4D-8AB260CAD881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5-873A-48A4-9C4D-8AB260CAD881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7-873A-48A4-9C4D-8AB260CAD881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9-873A-48A4-9C4D-8AB260CAD881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B-873A-48A4-9C4D-8AB260CAD881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D-873A-48A4-9C4D-8AB260CAD881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F-873A-48A4-9C4D-8AB260CAD881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1-873A-48A4-9C4D-8AB260CAD881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3-873A-48A4-9C4D-8AB260CAD881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5-873A-48A4-9C4D-8AB260CAD881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7-873A-48A4-9C4D-8AB260CAD881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9-873A-48A4-9C4D-8AB260CAD881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B-873A-48A4-9C4D-8AB260CAD881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D-873A-48A4-9C4D-8AB260CAD881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F-873A-48A4-9C4D-8AB260CAD881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1-873A-48A4-9C4D-8AB260CAD881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3-873A-48A4-9C4D-8AB260CAD881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5-873A-48A4-9C4D-8AB260CAD881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7-873A-48A4-9C4D-8AB260CAD881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9-873A-48A4-9C4D-8AB260CAD881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B-873A-48A4-9C4D-8AB260CAD881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D-873A-48A4-9C4D-8AB260CAD881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F-873A-48A4-9C4D-8AB260CAD881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1-873A-48A4-9C4D-8AB260CAD881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3-873A-48A4-9C4D-8AB260CAD881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5-873A-48A4-9C4D-8AB260CAD881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7-873A-48A4-9C4D-8AB260CAD881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9-873A-48A4-9C4D-8AB260CAD881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B-873A-48A4-9C4D-8AB260CAD881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D-873A-48A4-9C4D-8AB260CAD881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F-873A-48A4-9C4D-8AB260CAD881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1-873A-48A4-9C4D-8AB260CAD881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3-873A-48A4-9C4D-8AB260CAD881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5-873A-48A4-9C4D-8AB260CAD881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7-873A-48A4-9C4D-8AB260CAD881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9-873A-48A4-9C4D-8AB260CAD881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B-873A-48A4-9C4D-8AB260CAD881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D-873A-48A4-9C4D-8AB260CAD881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F-873A-48A4-9C4D-8AB260CAD881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1-873A-48A4-9C4D-8AB260CAD881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3-873A-48A4-9C4D-8AB260CAD881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5-873A-48A4-9C4D-8AB260CAD881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7-873A-48A4-9C4D-8AB260CAD881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9-873A-48A4-9C4D-8AB260CAD881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B-873A-48A4-9C4D-8AB260CAD881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D-873A-48A4-9C4D-8AB260CAD881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F-873A-48A4-9C4D-8AB260CAD881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1-873A-48A4-9C4D-8AB260CAD881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3-873A-48A4-9C4D-8AB260CAD881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5-873A-48A4-9C4D-8AB260CAD881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7-873A-48A4-9C4D-8AB260CAD881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9-873A-48A4-9C4D-8AB260CAD881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B-873A-48A4-9C4D-8AB260CAD881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D-873A-48A4-9C4D-8AB260CAD881}"/>
                    </c:ext>
                  </c:extLst>
                </c:dPt>
                <c:dPt>
                  <c:idx val="848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F-873A-48A4-9C4D-8AB260CAD881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1-873A-48A4-9C4D-8AB260CAD881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3-873A-48A4-9C4D-8AB260CAD881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5-873A-48A4-9C4D-8AB260CAD881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7-873A-48A4-9C4D-8AB260CAD881}"/>
                    </c:ext>
                  </c:extLst>
                </c:dPt>
                <c:dPt>
                  <c:idx val="85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9-873A-48A4-9C4D-8AB260CAD881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initiales'!$D$182,'Données initiales'!$F$182,'Données initiales'!$H$182,'Données initiales'!$J$182,'Données initiales'!$L$182,'Données initiales'!$N$182,'Données initiales'!$P$182)</c15:sqref>
                        </c15:formulaRef>
                      </c:ext>
                    </c:extLst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142-9D65-47E6-A29B-84F0AE2A7889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6"/>
          <c:order val="6"/>
          <c:tx>
            <c:strRef>
              <c:f>'Données initiales'!$C$185</c:f>
              <c:strCache>
                <c:ptCount val="1"/>
                <c:pt idx="0">
                  <c:v>SRI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DAB6-45DA-91D4-882BD746BCF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DAB6-45DA-91D4-882BD746BCF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EDB-4BE8-B6CB-617A718FFB9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AF1-41D9-9DB1-A178C939277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EDB-4BE8-B6CB-617A718FFB9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D13-485A-BA6F-2734FB27719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5EDB-4BE8-B6CB-617A718FFB9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DAF1-41D9-9DB1-A178C939277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5EDB-4BE8-B6CB-617A718FFB9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4ED-4AA9-BC50-D66038FCB95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5EDB-4BE8-B6CB-617A718FFB9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DAF1-41D9-9DB1-A178C939277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D13-485A-BA6F-2734FB27719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DAF1-41D9-9DB1-A178C939277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AB6-45DA-91D4-882BD746BCF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DAF1-41D9-9DB1-A178C939277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1D13-485A-BA6F-2734FB27719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04ED-4AA9-BC50-D66038FCB951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1D13-485A-BA6F-2734FB27719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0BE-40C2-8D55-6632F2E349D0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1D13-485A-BA6F-2734FB27719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544-4033-80F0-E894437B4A4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0BE-40C2-8D55-6632F2E349D0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86C-40C3-A162-230FDBCEA487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5544-4033-80F0-E894437B4A4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056-42B7-88DE-80749CFCCB2D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A86C-40C3-A162-230FDBCEA487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04ED-4AA9-BC50-D66038FCB951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DAB6-45DA-91D4-882BD746BCFB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04ED-4AA9-BC50-D66038FCB951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820-4364-A7E1-C676310E0661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04ED-4AA9-BC50-D66038FCB951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347F-48E4-BBCB-0EE59E974D1D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A820-4364-A7E1-C676310E0661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A5B-4529-960D-90148F46BA02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47F-48E4-BBCB-0EE59E974D1D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2F6-405D-A58F-94551EB1A83D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A5B-4529-960D-90148F46BA02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B056-42B7-88DE-80749CFCCB2D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22F6-405D-A58F-94551EB1A83D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DAB6-45DA-91D4-882BD746BCFB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B056-42B7-88DE-80749CFCCB2D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AB6-45DA-91D4-882BD746BCFB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B056-42B7-88DE-80749CFCCB2D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1DB0-42E1-A747-60680EE0927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initiales'!$D$185,'Données initiales'!$F$185,'Données initiales'!$H$185,'Données initiales'!$J$185,'Données initiales'!$L$185,'Données initiales'!$N$185,'Données initiales'!$P$185)</c:f>
              <c:extLst/>
            </c:numRef>
          </c:val>
          <c:extLst>
            <c:ext xmlns:c16="http://schemas.microsoft.com/office/drawing/2014/chart" uri="{C3380CC4-5D6E-409C-BE32-E72D297353CC}">
              <c16:uniqueId val="{0000264C-68AF-4A70-B683-C4D0C1441A52}"/>
            </c:ext>
          </c:extLst>
        </c:ser>
        <c:ser>
          <c:idx val="7"/>
          <c:order val="7"/>
          <c:tx>
            <c:strRef>
              <c:f>'Données initiales'!$C$186</c:f>
              <c:strCache>
                <c:ptCount val="1"/>
                <c:pt idx="0">
                  <c:v>VAF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AB6-45DA-91D4-882BD746BCF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DAB6-45DA-91D4-882BD746BCF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5EDB-4BE8-B6CB-617A718FFB9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DAF1-41D9-9DB1-A178C939277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5EDB-4BE8-B6CB-617A718FFB9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1D13-485A-BA6F-2734FB27719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5EDB-4BE8-B6CB-617A718FFB9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DAF1-41D9-9DB1-A178C939277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5EDB-4BE8-B6CB-617A718FFB9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04ED-4AA9-BC50-D66038FCB95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5EDB-4BE8-B6CB-617A718FFB9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DAF1-41D9-9DB1-A178C939277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1D13-485A-BA6F-2734FB27719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DAF1-41D9-9DB1-A178C939277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DAB6-45DA-91D4-882BD746BCF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DAF1-41D9-9DB1-A178C939277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1D13-485A-BA6F-2734FB27719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04ED-4AA9-BC50-D66038FCB951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1D13-485A-BA6F-2734FB27719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60BE-40C2-8D55-6632F2E349D0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1D13-485A-BA6F-2734FB27719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5544-4033-80F0-E894437B4A4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60BE-40C2-8D55-6632F2E349D0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A86C-40C3-A162-230FDBCEA487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5544-4033-80F0-E894437B4A4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B056-42B7-88DE-80749CFCCB2D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A86C-40C3-A162-230FDBCEA487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04ED-4AA9-BC50-D66038FCB951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DAB6-45DA-91D4-882BD746BCFB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04ED-4AA9-BC50-D66038FCB951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A820-4364-A7E1-C676310E0661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04ED-4AA9-BC50-D66038FCB951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347F-48E4-BBCB-0EE59E974D1D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A820-4364-A7E1-C676310E0661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CA5B-4529-960D-90148F46BA02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347F-48E4-BBCB-0EE59E974D1D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22F6-405D-A58F-94551EB1A83D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CA5B-4529-960D-90148F46BA02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B056-42B7-88DE-80749CFCCB2D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22F6-405D-A58F-94551EB1A83D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DAB6-45DA-91D4-882BD746BCFB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B056-42B7-88DE-80749CFCCB2D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DAB6-45DA-91D4-882BD746BCFB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B056-42B7-88DE-80749CFCCB2D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1DB0-42E1-A747-60680EE0927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('Données initiales'!$D$179,'Données initiales'!$F$179,'Données initiales'!$H$179,'Données initiales'!$J$179,'Données initiales'!$L$179,'Données initiales'!$N$179,'Données initiales'!$P$179)</c:f>
            </c:strRef>
          </c:cat>
          <c:val>
            <c:numRef>
              <c:f>('Données initiales'!$D$186,'Données initiales'!$F$186,'Données initiales'!$H$186,'Données initiales'!$J$186,'Données initiales'!$L$186,'Données initiales'!$N$186,'Données initiales'!$P$186)</c:f>
              <c:extLst/>
            </c:numRef>
          </c:val>
          <c:extLst>
            <c:ext xmlns:c16="http://schemas.microsoft.com/office/drawing/2014/chart" uri="{C3380CC4-5D6E-409C-BE32-E72D297353CC}">
              <c16:uniqueId val="{0000264D-68AF-4A70-B683-C4D0C1441A5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initiales'!$C$180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265D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('Données initiales'!$D$180,'Données initiales'!$F$180,'Données initiales'!$H$180,'Données initiales'!$J$180,'Données initiales'!$L$180,'Données initiales'!$N$180,'Données initiales'!$P$180)</c15:sqref>
                        </c15:formulaRef>
                      </c:ext>
                    </c:extLst>
                  </c:numRef>
                </c:val>
                <c:extLst>
                  <c:ext xmlns:c16="http://schemas.microsoft.com/office/drawing/2014/chart" uri="{C3380CC4-5D6E-409C-BE32-E72D297353CC}">
                    <c16:uniqueId val="{00000285-DB9F-452A-82DA-49E825A71C5F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initiales'!$C$181</c15:sqref>
                        </c15:formulaRef>
                      </c:ext>
                    </c:extLst>
                    <c:strCache>
                      <c:ptCount val="1"/>
                      <c:pt idx="0">
                        <c:v>DBA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65F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5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7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9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9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D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B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1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7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5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F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D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3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7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1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B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5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1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9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5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5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9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9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B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D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F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3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F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7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3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3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7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F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F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3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7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3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5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7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9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B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D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BF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1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3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5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7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9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B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D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CF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1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3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5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7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9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B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D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DF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1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3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5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7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9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B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D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EF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1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3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5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7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9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B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D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5FF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1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3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5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7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9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B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D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0F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1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3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5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7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9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B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D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1F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1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3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5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7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9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B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D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2F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1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3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5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7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9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B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D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3F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1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3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5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7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9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B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D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4F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1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3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5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7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9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B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D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5F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1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3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5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7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9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B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D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6F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1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3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5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7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9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B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D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7F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1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3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5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7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9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B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D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8F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1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3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5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7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9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B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D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9F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1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3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5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7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9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B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D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AF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1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3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5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7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9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B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D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BF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1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3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5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7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9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B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D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CF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1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3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5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7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9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B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D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DF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1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3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5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7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9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B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D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EF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1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3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5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7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9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B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D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6FF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1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3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5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7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9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B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D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0F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1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3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5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7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9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B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D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1F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1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3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5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7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9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B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D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2F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1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3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5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7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9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B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D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3F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1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3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5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7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9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B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D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4F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1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3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5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7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9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B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D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5F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1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3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5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7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9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B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D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6F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1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3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5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7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9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B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D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7F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1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3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5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7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9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B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D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8F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1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3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5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7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9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B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D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9F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1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3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5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7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9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B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D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AF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1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3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5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7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9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B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D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BF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1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3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5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7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9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B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D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CF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1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3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5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7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9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B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D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DF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1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3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5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7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9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B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D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EF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1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3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5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7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9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B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D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7FF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1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3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5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7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9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B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D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0F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1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3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5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7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9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B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D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1F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1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3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5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7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9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B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D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2F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1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3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5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7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9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B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D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3F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1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3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5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7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9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B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D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4F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1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3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5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7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9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B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D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5F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1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3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5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7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9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B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D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6F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1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3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5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7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9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B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D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7F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1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3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5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7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9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B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D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8F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1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3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5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7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9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B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D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9F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1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3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5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7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9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B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D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AF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1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3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5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7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9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B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D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BF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1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3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5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7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9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B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D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CF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1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3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5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7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9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B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D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DF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1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3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5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7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9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B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D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EF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1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3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5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7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9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B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D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8FF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1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3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5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7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9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B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D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0F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1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3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5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7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9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B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D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1F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1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3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5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7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9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B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D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2F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1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3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5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7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9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B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D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3F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1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3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5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7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9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B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D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4F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1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3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5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7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9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B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D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5F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1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3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5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7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9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B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D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6F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1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3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5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7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9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B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D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7F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1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3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5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7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9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B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D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8F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1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3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5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7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9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B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D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9F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1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3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5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7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9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B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D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AF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1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3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5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7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9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B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D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BF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1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3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5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7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9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B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D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CF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1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3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5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7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9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B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D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DF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1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3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5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7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9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B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D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EF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1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3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5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7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9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B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D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9FF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1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3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5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7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9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B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D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0F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1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3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5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7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9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B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D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1F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1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3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5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7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9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B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D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2F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1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3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5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7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9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B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D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3F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1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3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5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7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9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B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D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4F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1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3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5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7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9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B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D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5F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1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3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5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7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9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B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D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6F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1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3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5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7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9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B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D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7F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1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3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5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7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9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B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D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8F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1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3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5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7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9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B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D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9F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1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3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5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7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9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B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D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AF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1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3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5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7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9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B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D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BF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1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3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5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7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9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B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D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CF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1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3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5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7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9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B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D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DF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1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3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5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7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9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B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D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EF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1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3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5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7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9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B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D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AFF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1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3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5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7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9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B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D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0F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1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3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5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7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9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B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D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1F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1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3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5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7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9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B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D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2F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1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3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5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7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9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B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D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3F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1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3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5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7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9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B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D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4F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1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3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5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7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9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5B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initiales'!$D$181,'Données initiales'!$F$181,'Données initiales'!$H$181,'Données initiales'!$J$181,'Données initiales'!$L$181,'Données initiales'!$N$181,'Données initiales'!$P$181)</c15:sqref>
                        </c15:formulaRef>
                      </c:ext>
                    </c:extLst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3C8-DB9F-452A-82DA-49E825A71C5F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initiales'!$C$182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661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1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9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5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1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9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D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D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9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1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1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5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5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9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9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D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D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F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1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F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3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F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3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3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3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1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5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7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9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7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B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B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7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7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B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B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F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B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7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7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F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B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7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F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3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B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1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F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3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9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5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D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5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1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9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5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9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9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D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3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1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7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3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1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7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D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D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1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7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5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B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1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5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9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3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B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3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F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7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3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B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7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F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7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3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B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F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5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3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F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7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3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F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B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7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3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9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B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D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6F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1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3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5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7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9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B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D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7F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1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3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5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7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9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B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D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8F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1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3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5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7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9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B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D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9F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1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3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5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7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9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B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D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AF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1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3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5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7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9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B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D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BF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1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3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5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7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9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B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D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CF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1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3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5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7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9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B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D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DF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1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3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5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7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9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B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D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EF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1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3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5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7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9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B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D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BFF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1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3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5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7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9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B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D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0F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1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3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5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7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9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B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D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1F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1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3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5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7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9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B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D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2F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1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3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5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7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9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B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D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3F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1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3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5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7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9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B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D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4F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1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3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5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7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9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B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D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5F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1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3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5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7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9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B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D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6F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1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3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5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7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9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B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D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7F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1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3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5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7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9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B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D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8F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1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3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5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7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9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B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D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9F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1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3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5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7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9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B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D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AF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1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3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5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7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9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B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D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BF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1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3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5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7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9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B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D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CF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1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3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5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7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9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B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D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DF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1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3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5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7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9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B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D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EF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1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3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5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7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9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B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D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CFF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1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3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5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7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9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B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D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0F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1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3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5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7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9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B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D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1F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1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3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5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7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9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B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D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2F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1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3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5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7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9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B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D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3F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1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3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5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7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9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B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D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4F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1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3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5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7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9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B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D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5F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1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3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5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7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9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B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D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6F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1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3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5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7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9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B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D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7F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1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3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5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7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9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B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D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8F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1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3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5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7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9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B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D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9F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1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3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5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7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9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B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D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AF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1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3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5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7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9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B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D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BF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1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3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5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7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9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B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D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CF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1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3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5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7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9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B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D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DF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1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3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5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7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9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B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D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EF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1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3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5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7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9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B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D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DFF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1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3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5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7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9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B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D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0F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1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3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5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7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9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B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D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1F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1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3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5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7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9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B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D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2F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1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3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5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7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9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B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D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3F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1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3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5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7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9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B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D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4F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1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3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5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7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9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B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D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5F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1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3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5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7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9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B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D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6F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1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3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5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7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9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B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D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7F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1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3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5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7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9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B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D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8F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1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3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5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7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9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B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D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9F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1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3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5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7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9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B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D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AF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1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3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5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7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9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B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D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BF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1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3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5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7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9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B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D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CF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1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3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5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7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9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B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D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DF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1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3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5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7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9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B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D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EF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1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3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5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7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9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B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D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EFF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1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3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5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7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9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B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D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0F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1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3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5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7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9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B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D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1F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1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3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5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7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9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B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D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2F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1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3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5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7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9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B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D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3F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1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3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5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7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9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B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D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4F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1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3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5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7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9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B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D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5F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1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3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5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7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9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B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D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6F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1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3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5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7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9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B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D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7F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1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3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5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7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9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B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D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8F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1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3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5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7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9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B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D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9F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1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3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5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7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9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B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D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AF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1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3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5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7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9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B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D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BF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1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3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5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7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9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B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D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CF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1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3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5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7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9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B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D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DF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1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3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5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7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9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B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D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EF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1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3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5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7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9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B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D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FFF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1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3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5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7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9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B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D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0F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1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3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5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7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9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B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D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1F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1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3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5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7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9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B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D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2F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1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3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5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7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9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B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D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3F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1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3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5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7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9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B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D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4F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1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3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5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7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9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B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D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5F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1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3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5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7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9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B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D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6F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1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3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5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7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9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B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D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7F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1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3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5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7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9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B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D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8F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1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3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5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7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9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B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D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9F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1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3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5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7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9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B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D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AF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1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3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5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7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9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B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D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BF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1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3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5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7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9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B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D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CF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1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3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5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7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9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B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D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DF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1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3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5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7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9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B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D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EF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1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3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5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7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9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B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D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0FF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1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3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5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7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9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initiales'!$D$182,'Données initiales'!$F$182,'Données initiales'!$H$182,'Données initiales'!$J$182,'Données initiales'!$L$182,'Données initiales'!$N$182,'Données initiales'!$P$182)</c15:sqref>
                        </c15:formulaRef>
                      </c:ext>
                    </c:extLst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0B-DB9F-452A-82DA-49E825A71C5F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initiales'!$C$183</c15:sqref>
                        </c15:formulaRef>
                      </c:ext>
                    </c:extLst>
                    <c:strCache>
                      <c:ptCount val="1"/>
                      <c:pt idx="0">
                        <c:v>DAM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663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D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B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1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9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5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F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9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B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D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3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D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7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B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1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F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5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D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9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9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1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5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D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B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9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3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7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F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B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B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3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F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3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F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7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3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7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F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3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3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F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7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B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3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F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7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B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3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F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7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B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1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D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5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3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9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3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D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7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1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B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7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F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B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F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0F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3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5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7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9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5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D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9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B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F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3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F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3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3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7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7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B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F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3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3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7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7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B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1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3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7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3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B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9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D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D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1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1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5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5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7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9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B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D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1F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1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3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5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7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9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B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D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2F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1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3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5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7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9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B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D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3F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1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3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5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7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9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B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D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4F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1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3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5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7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9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B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D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5F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1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3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5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7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9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B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D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6F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1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3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5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7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9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B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D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7F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1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3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5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7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9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B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D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8F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1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3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5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7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9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B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D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9F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1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3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5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7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9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B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D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AF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1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3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5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7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9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B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D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BF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1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3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5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7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9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B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D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CF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1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3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5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7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9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B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D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DF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1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3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5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7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9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B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D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EF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1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3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5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7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9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B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D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1FF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1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3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5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7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9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B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D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0F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1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3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5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7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9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B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D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1F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1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3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5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7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9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B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D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2F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1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3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5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7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9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B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D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3F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1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3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5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7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9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B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D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4F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1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3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5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7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9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B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D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5F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1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3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5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7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9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B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D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6F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1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3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5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7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9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B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D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7F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1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3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5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7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9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B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D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8F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1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3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5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7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9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B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D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9F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1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3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5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7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9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B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D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AF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1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3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5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7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9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B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D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BF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1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3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5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7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9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B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D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CF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1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3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5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7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9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B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D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DF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1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3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5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7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9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B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D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EF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1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3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5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7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9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B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D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2FF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1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3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5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7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9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B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D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0F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1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3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5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7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9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B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D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1F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1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3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5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7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9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B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D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2F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1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3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5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7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9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B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D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3F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1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3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5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7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9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B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D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4F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1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3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5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7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9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B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D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5F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1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3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5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7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9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B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D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6F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1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3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5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7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9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B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D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7F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1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3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5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7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9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B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D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8F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1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3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5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7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9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B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D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9F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1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3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5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7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9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B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D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AF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1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3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5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7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9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B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D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BF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1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3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5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7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9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B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D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CF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1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3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5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7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9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B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D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DF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1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3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5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7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9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B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D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EF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1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3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5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7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9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B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D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3FF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1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3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5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7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9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B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D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0F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1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3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5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7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9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B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D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1F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1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3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5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7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9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B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D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2F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1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3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5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7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9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B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D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3F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1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3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5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7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9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B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D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4F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1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3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5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7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9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B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D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5F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1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3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5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7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9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B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D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6F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1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3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5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7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9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B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D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7F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1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3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5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7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9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B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D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8F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1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3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5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7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9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B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D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9F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1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3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5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7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9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B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D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AF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1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3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5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7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9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B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D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BF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1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3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5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7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9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B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D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CF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1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3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5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7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9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B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D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DF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1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3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5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7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9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B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D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EF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1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3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5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7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9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B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D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4FF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1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3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5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7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9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B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D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0F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1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3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5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7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9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B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D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1F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1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3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5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7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9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B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D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2F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1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3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5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7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9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B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D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3F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1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3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5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7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9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B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D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4F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1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3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5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7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9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B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D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5F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1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3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5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7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9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B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D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6F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1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3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5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7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9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B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D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7F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1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3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5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7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9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B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D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8F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1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3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5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7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9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B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D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9F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1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3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5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7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9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B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D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AF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1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3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5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7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9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B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D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BF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1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3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5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7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9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B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D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CF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1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3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5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7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9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B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D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DF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1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3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5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7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9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B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D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EF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1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3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5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7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9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B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D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5FF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1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3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5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7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9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B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D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0F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1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3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5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7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9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B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D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1F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1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3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5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7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9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B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D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2F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1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3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5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7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9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B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D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3F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1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3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5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7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9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B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D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4F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1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3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5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7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9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B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D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5F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1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3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5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7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9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B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D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6F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1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3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5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7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9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B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D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7F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1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3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5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7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9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B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D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8F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1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3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5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7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9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B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D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9F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1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3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5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7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9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B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D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AF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1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3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5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7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initiales'!$D$183,'Données initiales'!$F$183,'Données initiales'!$H$183,'Données initiales'!$J$183,'Données initiales'!$L$183,'Données initiales'!$N$183,'Données initiales'!$P$183)</c15:sqref>
                        </c15:formulaRef>
                      </c:ext>
                    </c:extLst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64E-DB9F-452A-82DA-49E825A71C5F}"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initiales'!$C$184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665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9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D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D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1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1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1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5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D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9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5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5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9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D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9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1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D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B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1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3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F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B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7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3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F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5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9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7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D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F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B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3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F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7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3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B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F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B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B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F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7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F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3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B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7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F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3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B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D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F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3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9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5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D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1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1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D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5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5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9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9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B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D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F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B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D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F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D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1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1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3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5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7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5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9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D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B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B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F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B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F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F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B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B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F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B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F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F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BF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B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F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1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3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3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3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7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3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7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3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7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5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7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9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B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D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CF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1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3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5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7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9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B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D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DF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1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3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5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7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9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B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D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EF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1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3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5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7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9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B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D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6FF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1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3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5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7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9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B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D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0F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1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3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5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7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9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B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D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1F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1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3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5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7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9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B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D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2F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1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3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5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7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9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B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D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3F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1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3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5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7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9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B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D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4F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1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3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5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7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9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B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D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5F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1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3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5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7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9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B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D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6F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1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3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5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7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9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B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D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7F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1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3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5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7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9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B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D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8F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1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3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5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7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9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B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D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9F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1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3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5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7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9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B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D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AF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1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3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5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7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9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B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D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BF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1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3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5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7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9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B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D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CF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1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3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5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7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9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B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D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DF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1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3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5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7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9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B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D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EF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1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3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5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7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9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B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D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7FF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1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3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5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7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9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B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D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0F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1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3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5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7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9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B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D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1F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1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3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5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7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9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B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D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2F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1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3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5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7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9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B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D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3F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1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3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5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7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9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B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D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4F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1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3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5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7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9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B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D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5F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1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3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5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7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9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B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D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6F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1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3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5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7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9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B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D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7F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1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3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5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7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9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B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D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8F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1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3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5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7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9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B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D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9F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1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3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5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7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9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B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D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AF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1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3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5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7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9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B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D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BF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1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3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5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7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9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B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D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CF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1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3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5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7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9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B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D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DF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1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3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5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7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9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B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D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EF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1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3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5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7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9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B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D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8FF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1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3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5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7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9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B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D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0F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1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3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5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7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9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B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D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1F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1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3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5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7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9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B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D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2F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1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3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5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7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9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B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D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3F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1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3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5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7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9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B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D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4F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1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3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5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7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9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B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D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5F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1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3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5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7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9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B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D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6F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1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3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5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7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9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B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D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7F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1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3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5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7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9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B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D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8F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1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3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5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7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9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B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D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9F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1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3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5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7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9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B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D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AF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1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3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5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7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9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B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D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BF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1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3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5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7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9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B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D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CF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1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3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5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7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9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B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D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DF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1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3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5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7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9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B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D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EF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1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3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5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7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9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B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D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9FF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1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3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5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7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9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B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D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0F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1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3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5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7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9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B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D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1F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1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3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5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7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9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B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D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2F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1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3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5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7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9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B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D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3F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1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3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5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7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9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B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D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4F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1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3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5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7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9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B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D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5F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1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3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5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7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9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B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D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6F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1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3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5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7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9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B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D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7F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1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3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5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7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9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B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D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8F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1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3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5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7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9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B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D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9F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1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3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5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7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9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B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D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AF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1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3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5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7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9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B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D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BF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1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3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5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7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9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B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D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CF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1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3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5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7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9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B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D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DF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1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3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5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7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9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B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D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EF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1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3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5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7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9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B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D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AFF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1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3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5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7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9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B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D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0F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1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3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5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7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9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B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D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1F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1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3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5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7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9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B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D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2F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1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3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5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7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9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B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D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3F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1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3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5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7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9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B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D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4F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1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3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5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7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9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B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D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5F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1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3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5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7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9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B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D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6F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1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3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5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7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9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B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D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7F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1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3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5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7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9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B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D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8F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1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3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5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7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9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B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D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9F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1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3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5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7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9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B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D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AF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1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3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5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7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9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B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D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BF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1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3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5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7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9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B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D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CF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1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3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5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7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9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B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D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DF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1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3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5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7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9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B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D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EF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1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3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5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7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9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B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D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BFF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1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3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5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7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9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B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D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0F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1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3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5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7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9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B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D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1F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1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3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5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7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9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B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D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2F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1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3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5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7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9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B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D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3F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1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3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5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7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9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B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D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4F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1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3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5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7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9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B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D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5F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1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3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5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initiales'!$D$184,'Données initiales'!$F$184,'Données initiales'!$H$184,'Données initiales'!$J$184,'Données initiales'!$L$184,'Données initiales'!$N$184,'Données initiales'!$P$184)</c15:sqref>
                        </c15:formulaRef>
                      </c:ext>
                    </c:extLst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791-DB9F-452A-82DA-49E825A71C5F}"/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667-1115-4863-B690-D60CB1C70F91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F-DAB6-45DA-91D4-882BD746BCFB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15-5EDB-4BE8-B6CB-617A718FFB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F-DAF1-41D9-9DB1-A178C939277F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19-5EDB-4BE8-B6CB-617A718FFB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9-1D13-485A-BA6F-2734FB27719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1D-5EDB-4BE8-B6CB-617A718FFB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3-DAF1-41D9-9DB1-A178C939277F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21-5EDB-4BE8-B6CB-617A718FFB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F-04ED-4AA9-BC50-D66038FCB951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25-5EDB-4BE8-B6CB-617A718FFB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7-DAF1-41D9-9DB1-A178C939277F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D-1D13-485A-BA6F-2734FB27719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B-DAF1-41D9-9DB1-A178C939277F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1-DAB6-45DA-91D4-882BD746BCFB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F-DAF1-41D9-9DB1-A178C939277F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1-1D13-485A-BA6F-2734FB27719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3-04ED-4AA9-BC50-D66038FCB951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5-1D13-485A-BA6F-2734FB27719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9-60BE-40C2-8D55-6632F2E349D0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9-1D13-485A-BA6F-2734FB27719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D-5544-4033-80F0-E894437B4A40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D-60BE-40C2-8D55-6632F2E349D0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1-A86C-40C3-A162-230FDBCEA48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1-5544-4033-80F0-E894437B4A40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B-B056-42B7-88DE-80749CFCCB2D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5-A86C-40C3-A162-230FDBCEA48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7-04ED-4AA9-BC50-D66038FCB951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3-DAB6-45DA-91D4-882BD746BCFB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B-04ED-4AA9-BC50-D66038FCB951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F-A820-4364-A7E1-C676310E0661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F-04ED-4AA9-BC50-D66038FCB951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3-347F-48E4-BBCB-0EE59E974D1D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3-A820-4364-A7E1-C676310E0661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7-CA5B-4529-960D-90148F46BA02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7-347F-48E4-BBCB-0EE59E974D1D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B-22F6-405D-A58F-94551EB1A83D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B-CA5B-4529-960D-90148F46BA02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F-B056-42B7-88DE-80749CFCCB2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F-22F6-405D-A58F-94551EB1A83D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5-DAB6-45DA-91D4-882BD746BCFB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3-B056-42B7-88DE-80749CFCCB2D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7-DAB6-45DA-91D4-882BD746BCFB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7-B056-42B7-88DE-80749CFCCB2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7-596B-4D92-9954-301040E220ED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F-68AF-4A70-B683-C4D0C1441A52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3-2141-4CAD-8321-B92A7034E6C6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B-596B-4D92-9954-301040E220ED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F-59B7-4954-977F-FA691076C96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7-2141-4CAD-8321-B92A7034E6C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B-6E46-49EC-894E-39393BA39F32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B-2141-4CAD-8321-B92A7034E6C6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7-5597-45E1-A31B-D524361EF8E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F-6E46-49EC-894E-39393BA39F32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3-59B7-4954-977F-FA691076C96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3-6E46-49EC-894E-39393BA39F32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F-CC2F-4B13-B669-E8947D387CAC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7-59B7-4954-977F-FA691076C96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B-5597-45E1-A31B-D524361EF8E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B-59B7-4954-977F-FA691076C96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7-23E5-487F-B5FC-486D3B6F33A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F-5597-45E1-A31B-D524361EF8E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3-CC2F-4B13-B669-E8947D387CAC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3-5597-45E1-A31B-D524361EF8E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B-C9B8-4D8E-BB56-5E3C88048355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7-CC2F-4B13-B669-E8947D387CAC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B-23E5-487F-B5FC-486D3B6F33A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B-CC2F-4B13-B669-E8947D387CAC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1-7E19-43B5-AFD0-AA8159069CA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F-23E5-487F-B5FC-486D3B6F33A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D-AB76-4C01-B0E9-A19E035A66C4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3-23E5-487F-B5FC-486D3B6F33A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5-7E19-43B5-AFD0-AA8159069CA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F-C9B8-4D8E-BB56-5E3C88048355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9-7E19-43B5-AFD0-AA8159069CA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7-F87F-4084-9D74-26F54D9DCDC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D-7E19-43B5-AFD0-AA8159069CA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3-C9B8-4D8E-BB56-5E3C88048355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1-AB76-4C01-B0E9-A19E035A66C4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7-C9B8-4D8E-BB56-5E3C88048355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F-3B3F-4C0F-9836-96B52C253EE0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B-C9B8-4D8E-BB56-5E3C8804835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B-98AC-40BA-9E50-0D29417390D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3-3B3F-4C0F-9836-96B52C253EE0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7-517B-4D48-8CAD-2056264369A5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F-98AC-40BA-9E50-0D29417390D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B-E1EB-456A-BEBE-EF697796FB60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B-517B-4D48-8CAD-2056264369A5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5-AB76-4C01-B0E9-A19E035A66C4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B-F87F-4084-9D74-26F54D9DCDC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9-AB76-4C01-B0E9-A19E035A66C4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1-A4AA-4F75-BAEF-2070A4AEC42C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D-AB76-4C01-B0E9-A19E035A66C4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7-DBCB-40F3-AAE3-A7FE123E6F9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5-A4AA-4F75-BAEF-2070A4AEC42C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F-F87F-4084-9D74-26F54D9DCDC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9-DBCB-40F3-AAE3-A7FE123E6F9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3-F87F-4084-9D74-26F54D9DCDC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B-DBCB-40F3-AAE3-A7FE123E6F9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7-F87F-4084-9D74-26F54D9DCDC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7-13FB-448F-AF5B-C2B348685C35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F-DBCB-40F3-AAE3-A7FE123E6F9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3-A92A-4A17-B06C-67702BFFE346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B-13FB-448F-AF5B-C2B348685C35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F-8EF1-442F-839B-C60B34E428DD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7-A92A-4A17-B06C-67702BFFE346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B-4CA5-42DA-BA81-20CB7E934741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3-8EF1-442F-839B-C60B34E428DD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7-9CAE-4E2A-A7F6-AF1D53AB3760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F-4CA5-42DA-BA81-20CB7E934741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3-EB9E-43AE-8257-EBF97BE94AB2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B-9CAE-4E2A-A7F6-AF1D53AB3760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F-2D1E-4B95-BA8A-55C2EB21D0B5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7-EB9E-43AE-8257-EBF97BE94AB2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B-437E-4019-BCA3-0E44F50CDF0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3-2D1E-4B95-BA8A-55C2EB21D0B5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D-E1EB-456A-BEBE-EF697796FB60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F-437E-4019-BCA3-0E44F50CDF0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3-59A0-40C0-AD98-10F8257B2D31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3-437E-4019-BCA3-0E44F50CDF0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9-0974-456E-BCB0-67A94FCED641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7-59A0-40C0-AD98-10F8257B2D31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6F-E1EB-456A-BEBE-EF697796FB60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B-59A0-40C0-AD98-10F8257B2D31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D-0974-456E-BCB0-67A94FCED641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D-56D1-4B49-8296-DC493F75A7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1-0974-456E-BCB0-67A94FCED641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9-A1EF-4F42-976F-AFFE4AC901E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1-56D1-4B49-8296-DC493F75A7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5-EFE7-4A98-8625-4B8E9E30DD15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D-A1EF-4F42-976F-AFFE4AC901E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1-E1EB-456A-BEBE-EF697796FB60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9-EFE7-4A98-8625-4B8E9E30DD15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3-E1EB-456A-BEBE-EF697796FB60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5-E1EB-456A-BEBE-EF697796FB60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7-E1EB-456A-BEBE-EF697796FB60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9-E1EB-456A-BEBE-EF697796FB60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B-E1EB-456A-BEBE-EF697796FB60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D-E1EB-456A-BEBE-EF697796FB60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7F-E1EB-456A-BEBE-EF697796FB60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1-E1EB-456A-BEBE-EF697796FB60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3-E1EB-456A-BEBE-EF697796FB60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5-E1EB-456A-BEBE-EF697796FB60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7-E1EB-456A-BEBE-EF697796FB60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9-E1EB-456A-BEBE-EF697796FB60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B-E1EB-456A-BEBE-EF697796FB60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D-E1EB-456A-BEBE-EF697796FB60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8F-E1EB-456A-BEBE-EF697796FB60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1-E1EB-456A-BEBE-EF697796FB60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3-E1EB-456A-BEBE-EF697796FB60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5-E1EB-456A-BEBE-EF697796FB60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7-E1EB-456A-BEBE-EF697796FB60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9-E1EB-456A-BEBE-EF697796FB60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B-E1EB-456A-BEBE-EF697796FB60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D-E1EB-456A-BEBE-EF697796FB60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9F-E1EB-456A-BEBE-EF697796FB60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1-E1EB-456A-BEBE-EF697796FB60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3-E1EB-456A-BEBE-EF697796FB60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5-E1EB-456A-BEBE-EF697796FB60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7-E1EB-456A-BEBE-EF697796FB60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9-E1EB-456A-BEBE-EF697796FB60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B-E1EB-456A-BEBE-EF697796FB60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D-E1EB-456A-BEBE-EF697796FB60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AF-E1EB-456A-BEBE-EF697796FB60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1-E1EB-456A-BEBE-EF697796FB60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3-E1EB-456A-BEBE-EF697796FB60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5-E1EB-456A-BEBE-EF697796FB60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7-E1EB-456A-BEBE-EF697796FB60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9-E1EB-456A-BEBE-EF697796FB60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B-E1EB-456A-BEBE-EF697796FB60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D-E1EB-456A-BEBE-EF697796FB60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BF-E1EB-456A-BEBE-EF697796FB60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1-E1EB-456A-BEBE-EF697796FB60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3-E1EB-456A-BEBE-EF697796FB60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5-E1EB-456A-BEBE-EF697796FB60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7-E1EB-456A-BEBE-EF697796FB60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9-E1EB-456A-BEBE-EF697796FB60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B-E1EB-456A-BEBE-EF697796FB60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D-E1EB-456A-BEBE-EF697796FB60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CF-E1EB-456A-BEBE-EF697796FB60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1-E1EB-456A-BEBE-EF697796FB60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3-E1EB-456A-BEBE-EF697796FB60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5-E1EB-456A-BEBE-EF697796FB60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7-E1EB-456A-BEBE-EF697796FB60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9-E1EB-456A-BEBE-EF697796FB60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B-E1EB-456A-BEBE-EF697796FB60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D-E1EB-456A-BEBE-EF697796FB60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DF-E1EB-456A-BEBE-EF697796FB60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1-E1EB-456A-BEBE-EF697796FB60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3-E1EB-456A-BEBE-EF697796FB60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5-E1EB-456A-BEBE-EF697796FB60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7-E1EB-456A-BEBE-EF697796FB60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9-E1EB-456A-BEBE-EF697796FB60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B-E1EB-456A-BEBE-EF697796FB60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D-E1EB-456A-BEBE-EF697796FB60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EF-E1EB-456A-BEBE-EF697796FB60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1-E1EB-456A-BEBE-EF697796FB60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3-E1EB-456A-BEBE-EF697796FB60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5-E1EB-456A-BEBE-EF697796FB60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7-E1EB-456A-BEBE-EF697796FB60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9-E1EB-456A-BEBE-EF697796FB60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B-E1EB-456A-BEBE-EF697796FB60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D-E1EB-456A-BEBE-EF697796FB60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CFF-E1EB-456A-BEBE-EF697796FB60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1-E1EB-456A-BEBE-EF697796FB60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3-E1EB-456A-BEBE-EF697796FB60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5-E1EB-456A-BEBE-EF697796FB60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7-E1EB-456A-BEBE-EF697796FB60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9-E1EB-456A-BEBE-EF697796FB60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B-E1EB-456A-BEBE-EF697796FB60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D-E1EB-456A-BEBE-EF697796FB60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0F-E1EB-456A-BEBE-EF697796FB60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1-E1EB-456A-BEBE-EF697796FB60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3-E1EB-456A-BEBE-EF697796FB60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5-E1EB-456A-BEBE-EF697796FB60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7-E1EB-456A-BEBE-EF697796FB60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9-E1EB-456A-BEBE-EF697796FB60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B-E1EB-456A-BEBE-EF697796FB60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D-E1EB-456A-BEBE-EF697796FB60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1F-E1EB-456A-BEBE-EF697796FB60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1-E1EB-456A-BEBE-EF697796FB60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3-E1EB-456A-BEBE-EF697796FB60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5-E1EB-456A-BEBE-EF697796FB60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7-E1EB-456A-BEBE-EF697796FB60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9-E1EB-456A-BEBE-EF697796FB60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B-E1EB-456A-BEBE-EF697796FB60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D-E1EB-456A-BEBE-EF697796FB60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2F-E1EB-456A-BEBE-EF697796FB60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1-E1EB-456A-BEBE-EF697796FB60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3-E1EB-456A-BEBE-EF697796FB60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5-E1EB-456A-BEBE-EF697796FB60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7-E1EB-456A-BEBE-EF697796FB60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9-E1EB-456A-BEBE-EF697796FB60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B-E1EB-456A-BEBE-EF697796FB60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D-E1EB-456A-BEBE-EF697796FB60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3F-E1EB-456A-BEBE-EF697796FB60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1-E1EB-456A-BEBE-EF697796FB60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3-E1EB-456A-BEBE-EF697796FB60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5-E1EB-456A-BEBE-EF697796FB60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7-E1EB-456A-BEBE-EF697796FB60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9-E1EB-456A-BEBE-EF697796FB60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B-E1EB-456A-BEBE-EF697796FB60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D-E1EB-456A-BEBE-EF697796FB60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4F-E1EB-456A-BEBE-EF697796FB60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1-E1EB-456A-BEBE-EF697796FB60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3-E1EB-456A-BEBE-EF697796FB60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5-E1EB-456A-BEBE-EF697796FB60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7-E1EB-456A-BEBE-EF697796FB60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9-E1EB-456A-BEBE-EF697796FB60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B-E1EB-456A-BEBE-EF697796FB60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D-E1EB-456A-BEBE-EF697796FB60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5F-E1EB-456A-BEBE-EF697796FB60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1-E1EB-456A-BEBE-EF697796FB60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3-E1EB-456A-BEBE-EF697796FB60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5-E1EB-456A-BEBE-EF697796FB60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7-E1EB-456A-BEBE-EF697796FB60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9-E1EB-456A-BEBE-EF697796FB60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B-E1EB-456A-BEBE-EF697796FB60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D-E1EB-456A-BEBE-EF697796FB60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6F-E1EB-456A-BEBE-EF697796FB60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1-E1EB-456A-BEBE-EF697796FB60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3-E1EB-456A-BEBE-EF697796FB60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5-E1EB-456A-BEBE-EF697796FB60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7-E1EB-456A-BEBE-EF697796FB60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9-E1EB-456A-BEBE-EF697796FB60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B-E1EB-456A-BEBE-EF697796FB60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D-E1EB-456A-BEBE-EF697796FB60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7F-E1EB-456A-BEBE-EF697796FB60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1-E1EB-456A-BEBE-EF697796FB60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3-E1EB-456A-BEBE-EF697796FB60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5-E1EB-456A-BEBE-EF697796FB60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7-E1EB-456A-BEBE-EF697796FB60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9-E1EB-456A-BEBE-EF697796FB60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B-E1EB-456A-BEBE-EF697796FB60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D-E1EB-456A-BEBE-EF697796FB60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8F-E1EB-456A-BEBE-EF697796FB60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1-E1EB-456A-BEBE-EF697796FB60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3-E1EB-456A-BEBE-EF697796FB60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5-E1EB-456A-BEBE-EF697796FB60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7-E1EB-456A-BEBE-EF697796FB60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9-E1EB-456A-BEBE-EF697796FB60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B-E1EB-456A-BEBE-EF697796FB60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D-E1EB-456A-BEBE-EF697796FB60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9F-E1EB-456A-BEBE-EF697796FB60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1-E1EB-456A-BEBE-EF697796FB60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3-E1EB-456A-BEBE-EF697796FB60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5-E1EB-456A-BEBE-EF697796FB60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7-E1EB-456A-BEBE-EF697796FB60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9-E1EB-456A-BEBE-EF697796FB60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B-E1EB-456A-BEBE-EF697796FB60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D-E1EB-456A-BEBE-EF697796FB60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AF-E1EB-456A-BEBE-EF697796FB60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1-E1EB-456A-BEBE-EF697796FB60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3-E1EB-456A-BEBE-EF697796FB60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5-E1EB-456A-BEBE-EF697796FB60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7-E1EB-456A-BEBE-EF697796FB60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9-E1EB-456A-BEBE-EF697796FB60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B-E1EB-456A-BEBE-EF697796FB60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D-E1EB-456A-BEBE-EF697796FB60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BF-E1EB-456A-BEBE-EF697796FB60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1-E1EB-456A-BEBE-EF697796FB60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3-E1EB-456A-BEBE-EF697796FB60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5-E1EB-456A-BEBE-EF697796FB60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7-E1EB-456A-BEBE-EF697796FB60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9-E1EB-456A-BEBE-EF697796FB60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B-E1EB-456A-BEBE-EF697796FB60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D-E1EB-456A-BEBE-EF697796FB60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CF-E1EB-456A-BEBE-EF697796FB60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1-E1EB-456A-BEBE-EF697796FB60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3-E1EB-456A-BEBE-EF697796FB60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5-E1EB-456A-BEBE-EF697796FB60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7-E1EB-456A-BEBE-EF697796FB60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9-E1EB-456A-BEBE-EF697796FB60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B-E1EB-456A-BEBE-EF697796FB60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D-E1EB-456A-BEBE-EF697796FB60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DF-E1EB-456A-BEBE-EF697796FB60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1-E1EB-456A-BEBE-EF697796FB60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3-E1EB-456A-BEBE-EF697796FB60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5-E1EB-456A-BEBE-EF697796FB60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7-E1EB-456A-BEBE-EF697796FB60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9-E1EB-456A-BEBE-EF697796FB60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B-E1EB-456A-BEBE-EF697796FB60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D-E1EB-456A-BEBE-EF697796FB60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EF-E1EB-456A-BEBE-EF697796FB60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1-E1EB-456A-BEBE-EF697796FB60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3-E1EB-456A-BEBE-EF697796FB60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5-E1EB-456A-BEBE-EF697796FB60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7-E1EB-456A-BEBE-EF697796FB60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9-E1EB-456A-BEBE-EF697796FB60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B-E1EB-456A-BEBE-EF697796FB60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D-E1EB-456A-BEBE-EF697796FB60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DFF-E1EB-456A-BEBE-EF697796FB60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1-E1EB-456A-BEBE-EF697796FB60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3-E1EB-456A-BEBE-EF697796FB60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5-E1EB-456A-BEBE-EF697796FB60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7-E1EB-456A-BEBE-EF697796FB60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9-E1EB-456A-BEBE-EF697796FB60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B-E1EB-456A-BEBE-EF697796FB60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D-E1EB-456A-BEBE-EF697796FB60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0F-E1EB-456A-BEBE-EF697796FB60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1-E1EB-456A-BEBE-EF697796FB60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3-E1EB-456A-BEBE-EF697796FB60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5-E1EB-456A-BEBE-EF697796FB60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7-E1EB-456A-BEBE-EF697796FB60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9-E1EB-456A-BEBE-EF697796FB60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B-E1EB-456A-BEBE-EF697796FB60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D-E1EB-456A-BEBE-EF697796FB60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1F-E1EB-456A-BEBE-EF697796FB60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1-E1EB-456A-BEBE-EF697796FB60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3-E1EB-456A-BEBE-EF697796FB60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5-E1EB-456A-BEBE-EF697796FB60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7-E1EB-456A-BEBE-EF697796FB60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9-E1EB-456A-BEBE-EF697796FB60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B-E1EB-456A-BEBE-EF697796FB60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D-E1EB-456A-BEBE-EF697796FB60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2F-E1EB-456A-BEBE-EF697796FB60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1-E1EB-456A-BEBE-EF697796FB60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3-E1EB-456A-BEBE-EF697796FB60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5-E1EB-456A-BEBE-EF697796FB60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7-E1EB-456A-BEBE-EF697796FB60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9-E1EB-456A-BEBE-EF697796FB60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B-E1EB-456A-BEBE-EF697796FB60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D-E1EB-456A-BEBE-EF697796FB60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3F-E1EB-456A-BEBE-EF697796FB60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1-E1EB-456A-BEBE-EF697796FB60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3-E1EB-456A-BEBE-EF697796FB60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5-E1EB-456A-BEBE-EF697796FB60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7-E1EB-456A-BEBE-EF697796FB60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9-E1EB-456A-BEBE-EF697796FB60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B-E1EB-456A-BEBE-EF697796FB60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D-E1EB-456A-BEBE-EF697796FB60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4F-E1EB-456A-BEBE-EF697796FB60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1-E1EB-456A-BEBE-EF697796FB60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3-E1EB-456A-BEBE-EF697796FB60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5-E1EB-456A-BEBE-EF697796FB60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7-E1EB-456A-BEBE-EF697796FB60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9-E1EB-456A-BEBE-EF697796FB60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B-E1EB-456A-BEBE-EF697796FB60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D-E1EB-456A-BEBE-EF697796FB60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5F-E1EB-456A-BEBE-EF697796FB60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1-E1EB-456A-BEBE-EF697796FB60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3-E1EB-456A-BEBE-EF697796FB60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5-E1EB-456A-BEBE-EF697796FB60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7-E1EB-456A-BEBE-EF697796FB60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9-E1EB-456A-BEBE-EF697796FB60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B-E1EB-456A-BEBE-EF697796FB60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D-E1EB-456A-BEBE-EF697796FB60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6F-E1EB-456A-BEBE-EF697796FB60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1-E1EB-456A-BEBE-EF697796FB60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3-E1EB-456A-BEBE-EF697796FB60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5-E1EB-456A-BEBE-EF697796FB60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7-E1EB-456A-BEBE-EF697796FB60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9-E1EB-456A-BEBE-EF697796FB60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B-E1EB-456A-BEBE-EF697796FB60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D-E1EB-456A-BEBE-EF697796FB60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7F-E1EB-456A-BEBE-EF697796FB60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1-E1EB-456A-BEBE-EF697796FB60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3-E1EB-456A-BEBE-EF697796FB60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5-E1EB-456A-BEBE-EF697796FB60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7-E1EB-456A-BEBE-EF697796FB60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9-E1EB-456A-BEBE-EF697796FB60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B-E1EB-456A-BEBE-EF697796FB60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D-E1EB-456A-BEBE-EF697796FB60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8F-E1EB-456A-BEBE-EF697796FB60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1-E1EB-456A-BEBE-EF697796FB60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3-E1EB-456A-BEBE-EF697796FB60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5-E1EB-456A-BEBE-EF697796FB60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7-E1EB-456A-BEBE-EF697796FB60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9-E1EB-456A-BEBE-EF697796FB60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B-E1EB-456A-BEBE-EF697796FB60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D-E1EB-456A-BEBE-EF697796FB60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9F-E1EB-456A-BEBE-EF697796FB60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1-E1EB-456A-BEBE-EF697796FB60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3-E1EB-456A-BEBE-EF697796FB60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5-E1EB-456A-BEBE-EF697796FB60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7-E1EB-456A-BEBE-EF697796FB60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9-E1EB-456A-BEBE-EF697796FB60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B-E1EB-456A-BEBE-EF697796FB60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D-E1EB-456A-BEBE-EF697796FB60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AF-E1EB-456A-BEBE-EF697796FB60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1-E1EB-456A-BEBE-EF697796FB60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3-E1EB-456A-BEBE-EF697796FB60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5-E1EB-456A-BEBE-EF697796FB60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7-E1EB-456A-BEBE-EF697796FB60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9-E1EB-456A-BEBE-EF697796FB60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B-E1EB-456A-BEBE-EF697796FB60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D-E1EB-456A-BEBE-EF697796FB60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BF-E1EB-456A-BEBE-EF697796FB60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1-E1EB-456A-BEBE-EF697796FB60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3-E1EB-456A-BEBE-EF697796FB60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5-E1EB-456A-BEBE-EF697796FB60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7-E1EB-456A-BEBE-EF697796FB60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9-E1EB-456A-BEBE-EF697796FB60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B-E1EB-456A-BEBE-EF697796FB60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D-E1EB-456A-BEBE-EF697796FB60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CF-E1EB-456A-BEBE-EF697796FB60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1-E1EB-456A-BEBE-EF697796FB60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3-E1EB-456A-BEBE-EF697796FB60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5-E1EB-456A-BEBE-EF697796FB60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7-E1EB-456A-BEBE-EF697796FB60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9-E1EB-456A-BEBE-EF697796FB60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B-E1EB-456A-BEBE-EF697796FB60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D-E1EB-456A-BEBE-EF697796FB60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DF-E1EB-456A-BEBE-EF697796FB60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1-E1EB-456A-BEBE-EF697796FB60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3-E1EB-456A-BEBE-EF697796FB60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5-E1EB-456A-BEBE-EF697796FB60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7-E1EB-456A-BEBE-EF697796FB60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9-E1EB-456A-BEBE-EF697796FB60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B-E1EB-456A-BEBE-EF697796FB60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D-E1EB-456A-BEBE-EF697796FB60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EF-E1EB-456A-BEBE-EF697796FB60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1-E1EB-456A-BEBE-EF697796FB60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3-E1EB-456A-BEBE-EF697796FB60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5-E1EB-456A-BEBE-EF697796FB60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7-E1EB-456A-BEBE-EF697796FB60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9-E1EB-456A-BEBE-EF697796FB60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B-E1EB-456A-BEBE-EF697796FB60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D-E1EB-456A-BEBE-EF697796FB60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EFF-E1EB-456A-BEBE-EF697796FB60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1-E1EB-456A-BEBE-EF697796FB60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3-E1EB-456A-BEBE-EF697796FB60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5-E1EB-456A-BEBE-EF697796FB60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7-E1EB-456A-BEBE-EF697796FB60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9-E1EB-456A-BEBE-EF697796FB60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B-E1EB-456A-BEBE-EF697796FB60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D-E1EB-456A-BEBE-EF697796FB60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0F-E1EB-456A-BEBE-EF697796FB60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1-E1EB-456A-BEBE-EF697796FB60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3-E1EB-456A-BEBE-EF697796FB60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5-E1EB-456A-BEBE-EF697796FB60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7-E1EB-456A-BEBE-EF697796FB60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9-E1EB-456A-BEBE-EF697796FB60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B-E1EB-456A-BEBE-EF697796FB60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D-E1EB-456A-BEBE-EF697796FB60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1F-E1EB-456A-BEBE-EF697796FB60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1-E1EB-456A-BEBE-EF697796FB60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3-E1EB-456A-BEBE-EF697796FB60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5-E1EB-456A-BEBE-EF697796FB60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7-E1EB-456A-BEBE-EF697796FB60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9-E1EB-456A-BEBE-EF697796FB60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B-E1EB-456A-BEBE-EF697796FB60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D-E1EB-456A-BEBE-EF697796FB60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2F-E1EB-456A-BEBE-EF697796FB60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1-E1EB-456A-BEBE-EF697796FB60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3-E1EB-456A-BEBE-EF697796FB60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5-E1EB-456A-BEBE-EF697796FB60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7-E1EB-456A-BEBE-EF697796FB60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9-E1EB-456A-BEBE-EF697796FB60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B-E1EB-456A-BEBE-EF697796FB60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D-E1EB-456A-BEBE-EF697796FB60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3F-E1EB-456A-BEBE-EF697796FB60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1-E1EB-456A-BEBE-EF697796FB60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3-E1EB-456A-BEBE-EF697796FB60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5-E1EB-456A-BEBE-EF697796FB60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7-E1EB-456A-BEBE-EF697796FB60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9-E1EB-456A-BEBE-EF697796FB60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B-E1EB-456A-BEBE-EF697796FB60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D-E1EB-456A-BEBE-EF697796FB60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4F-E1EB-456A-BEBE-EF697796FB60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1-E1EB-456A-BEBE-EF697796FB60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3-E1EB-456A-BEBE-EF697796FB60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5-E1EB-456A-BEBE-EF697796FB60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7-E1EB-456A-BEBE-EF697796FB60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9-E1EB-456A-BEBE-EF697796FB60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B-E1EB-456A-BEBE-EF697796FB60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D-E1EB-456A-BEBE-EF697796FB60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5F-E1EB-456A-BEBE-EF697796FB60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1-E1EB-456A-BEBE-EF697796FB60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3-E1EB-456A-BEBE-EF697796FB60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5-E1EB-456A-BEBE-EF697796FB60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7-E1EB-456A-BEBE-EF697796FB60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9-E1EB-456A-BEBE-EF697796FB60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B-E1EB-456A-BEBE-EF697796FB60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D-E1EB-456A-BEBE-EF697796FB60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6F-E1EB-456A-BEBE-EF697796FB60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1-E1EB-456A-BEBE-EF697796FB60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3-E1EB-456A-BEBE-EF697796FB60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5-E1EB-456A-BEBE-EF697796FB60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7-E1EB-456A-BEBE-EF697796FB60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9-E1EB-456A-BEBE-EF697796FB60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B-E1EB-456A-BEBE-EF697796FB60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D-E1EB-456A-BEBE-EF697796FB60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7F-E1EB-456A-BEBE-EF697796FB60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1-E1EB-456A-BEBE-EF697796FB60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3-E1EB-456A-BEBE-EF697796FB60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5-E1EB-456A-BEBE-EF697796FB60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7-E1EB-456A-BEBE-EF697796FB60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9-E1EB-456A-BEBE-EF697796FB60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B-E1EB-456A-BEBE-EF697796FB60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D-E1EB-456A-BEBE-EF697796FB60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8F-E1EB-456A-BEBE-EF697796FB60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1-E1EB-456A-BEBE-EF697796FB60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3-E1EB-456A-BEBE-EF697796FB60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5-E1EB-456A-BEBE-EF697796FB60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7-E1EB-456A-BEBE-EF697796FB60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9-E1EB-456A-BEBE-EF697796FB60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B-E1EB-456A-BEBE-EF697796FB60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D-E1EB-456A-BEBE-EF697796FB60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9F-E1EB-456A-BEBE-EF697796FB60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1-E1EB-456A-BEBE-EF697796FB60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3-E1EB-456A-BEBE-EF697796FB60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5-E1EB-456A-BEBE-EF697796FB60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7-E1EB-456A-BEBE-EF697796FB60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9-E1EB-456A-BEBE-EF697796FB60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B-E1EB-456A-BEBE-EF697796FB60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D-E1EB-456A-BEBE-EF697796FB60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AF-E1EB-456A-BEBE-EF697796FB60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1-E1EB-456A-BEBE-EF697796FB60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3-E1EB-456A-BEBE-EF697796FB60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5-E1EB-456A-BEBE-EF697796FB60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7-E1EB-456A-BEBE-EF697796FB60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9-E1EB-456A-BEBE-EF697796FB60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B-E1EB-456A-BEBE-EF697796FB60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D-E1EB-456A-BEBE-EF697796FB60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BF-E1EB-456A-BEBE-EF697796FB60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1-E1EB-456A-BEBE-EF697796FB60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3-E1EB-456A-BEBE-EF697796FB60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5-E1EB-456A-BEBE-EF697796FB60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7-E1EB-456A-BEBE-EF697796FB60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9-E1EB-456A-BEBE-EF697796FB60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B-E1EB-456A-BEBE-EF697796FB60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D-E1EB-456A-BEBE-EF697796FB60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CF-E1EB-456A-BEBE-EF697796FB60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1-E1EB-456A-BEBE-EF697796FB60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3-E1EB-456A-BEBE-EF697796FB60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5-E1EB-456A-BEBE-EF697796FB60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7-E1EB-456A-BEBE-EF697796FB60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9-E1EB-456A-BEBE-EF697796FB60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B-E1EB-456A-BEBE-EF697796FB60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D-E1EB-456A-BEBE-EF697796FB60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DF-E1EB-456A-BEBE-EF697796FB60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1-E1EB-456A-BEBE-EF697796FB60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3-E1EB-456A-BEBE-EF697796FB60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5-E1EB-456A-BEBE-EF697796FB60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7-E1EB-456A-BEBE-EF697796FB60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9-E1EB-456A-BEBE-EF697796FB60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B-E1EB-456A-BEBE-EF697796FB60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D-E1EB-456A-BEBE-EF697796FB60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EF-E1EB-456A-BEBE-EF697796FB60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1-E1EB-456A-BEBE-EF697796FB60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3-E1EB-456A-BEBE-EF697796FB60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5-E1EB-456A-BEBE-EF697796FB60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7-E1EB-456A-BEBE-EF697796FB60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9-E1EB-456A-BEBE-EF697796FB60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B-E1EB-456A-BEBE-EF697796FB60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D-E1EB-456A-BEBE-EF697796FB60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1FFF-E1EB-456A-BEBE-EF697796FB60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1-E1EB-456A-BEBE-EF697796FB60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3-E1EB-456A-BEBE-EF697796FB60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5-E1EB-456A-BEBE-EF697796FB60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7-E1EB-456A-BEBE-EF697796FB60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9-E1EB-456A-BEBE-EF697796FB60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B-E1EB-456A-BEBE-EF697796FB60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D-E1EB-456A-BEBE-EF697796FB60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0F-E1EB-456A-BEBE-EF697796FB60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1-E1EB-456A-BEBE-EF697796FB60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3-E1EB-456A-BEBE-EF697796FB60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5-E1EB-456A-BEBE-EF697796FB60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7-E1EB-456A-BEBE-EF697796FB60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9-E1EB-456A-BEBE-EF697796FB60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B-E1EB-456A-BEBE-EF697796FB60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D-E1EB-456A-BEBE-EF697796FB60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1F-E1EB-456A-BEBE-EF697796FB60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1-E1EB-456A-BEBE-EF697796FB60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3-E1EB-456A-BEBE-EF697796FB60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5-E1EB-456A-BEBE-EF697796FB60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7-E1EB-456A-BEBE-EF697796FB60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9-E1EB-456A-BEBE-EF697796FB60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B-E1EB-456A-BEBE-EF697796FB60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D-E1EB-456A-BEBE-EF697796FB60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2F-E1EB-456A-BEBE-EF697796FB60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1-E1EB-456A-BEBE-EF697796FB60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3-E1EB-456A-BEBE-EF697796FB60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5-E1EB-456A-BEBE-EF697796FB60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7-E1EB-456A-BEBE-EF697796FB60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9-E1EB-456A-BEBE-EF697796FB60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B-E1EB-456A-BEBE-EF697796FB60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D-E1EB-456A-BEBE-EF697796FB60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3F-E1EB-456A-BEBE-EF697796FB60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1-E1EB-456A-BEBE-EF697796FB60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3-E1EB-456A-BEBE-EF697796FB60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5-E1EB-456A-BEBE-EF697796FB60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7-E1EB-456A-BEBE-EF697796FB60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9-E1EB-456A-BEBE-EF697796FB60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B-E1EB-456A-BEBE-EF697796FB60}"/>
                    </c:ext>
                  </c:extLst>
                </c:dPt>
                <c:dPt>
                  <c:idx val="626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D-E1EB-456A-BEBE-EF697796FB60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4F-E1EB-456A-BEBE-EF697796FB60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1-E1EB-456A-BEBE-EF697796FB60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3-E1EB-456A-BEBE-EF697796FB60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5-E1EB-456A-BEBE-EF697796FB60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7-E1EB-456A-BEBE-EF697796FB60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9-E1EB-456A-BEBE-EF697796FB60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B-E1EB-456A-BEBE-EF697796FB60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D-E1EB-456A-BEBE-EF697796FB60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5F-E1EB-456A-BEBE-EF697796FB60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1-E1EB-456A-BEBE-EF697796FB60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3-E1EB-456A-BEBE-EF697796FB60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5-E1EB-456A-BEBE-EF697796FB60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7-E1EB-456A-BEBE-EF697796FB60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9-E1EB-456A-BEBE-EF697796FB60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B-E1EB-456A-BEBE-EF697796FB60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D-E1EB-456A-BEBE-EF697796FB60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6F-E1EB-456A-BEBE-EF697796FB60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1-E1EB-456A-BEBE-EF697796FB60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3-E1EB-456A-BEBE-EF697796FB60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5-E1EB-456A-BEBE-EF697796FB60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7-E1EB-456A-BEBE-EF697796FB60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9-E1EB-456A-BEBE-EF697796FB60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B-E1EB-456A-BEBE-EF697796FB60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D-E1EB-456A-BEBE-EF697796FB60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7F-E1EB-456A-BEBE-EF697796FB60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1-E1EB-456A-BEBE-EF697796FB60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3-E1EB-456A-BEBE-EF697796FB60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5-E1EB-456A-BEBE-EF697796FB60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7-E1EB-456A-BEBE-EF697796FB60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9-E1EB-456A-BEBE-EF697796FB60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B-E1EB-456A-BEBE-EF697796FB60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D-E1EB-456A-BEBE-EF697796FB60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8F-E1EB-456A-BEBE-EF697796FB60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1-E1EB-456A-BEBE-EF697796FB60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3-E1EB-456A-BEBE-EF697796FB60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5-E1EB-456A-BEBE-EF697796FB60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7-E1EB-456A-BEBE-EF697796FB60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9-E1EB-456A-BEBE-EF697796FB60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B-E1EB-456A-BEBE-EF697796FB60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D-E1EB-456A-BEBE-EF697796FB60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9F-E1EB-456A-BEBE-EF697796FB60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1-E1EB-456A-BEBE-EF697796FB60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3-E1EB-456A-BEBE-EF697796FB60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5-E1EB-456A-BEBE-EF697796FB60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7-E1EB-456A-BEBE-EF697796FB60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9-E1EB-456A-BEBE-EF697796FB60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B-E1EB-456A-BEBE-EF697796FB60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D-E1EB-456A-BEBE-EF697796FB60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AF-E1EB-456A-BEBE-EF697796FB60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1-E1EB-456A-BEBE-EF697796FB60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3-E1EB-456A-BEBE-EF697796FB60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5-E1EB-456A-BEBE-EF697796FB60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7-E1EB-456A-BEBE-EF697796FB60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9-E1EB-456A-BEBE-EF697796FB60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B-E1EB-456A-BEBE-EF697796FB60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D-E1EB-456A-BEBE-EF697796FB60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BF-E1EB-456A-BEBE-EF697796FB60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1-E1EB-456A-BEBE-EF697796FB60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3-E1EB-456A-BEBE-EF697796FB60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5-E1EB-456A-BEBE-EF697796FB60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7-E1EB-456A-BEBE-EF697796FB60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9-E1EB-456A-BEBE-EF697796FB60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B-E1EB-456A-BEBE-EF697796FB60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D-E1EB-456A-BEBE-EF697796FB60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CF-E1EB-456A-BEBE-EF697796FB60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1-E1EB-456A-BEBE-EF697796FB60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3-E1EB-456A-BEBE-EF697796FB60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5-E1EB-456A-BEBE-EF697796FB60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7-E1EB-456A-BEBE-EF697796FB60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9-E1EB-456A-BEBE-EF697796FB60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B-E1EB-456A-BEBE-EF697796FB60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D-E1EB-456A-BEBE-EF697796FB60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DF-E1EB-456A-BEBE-EF697796FB60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1-E1EB-456A-BEBE-EF697796FB60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3-E1EB-456A-BEBE-EF697796FB60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5-E1EB-456A-BEBE-EF697796FB60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7-E1EB-456A-BEBE-EF697796FB60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9-E1EB-456A-BEBE-EF697796FB60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B-E1EB-456A-BEBE-EF697796FB60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D-E1EB-456A-BEBE-EF697796FB60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EF-E1EB-456A-BEBE-EF697796FB60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1-E1EB-456A-BEBE-EF697796FB60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3-E1EB-456A-BEBE-EF697796FB60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5-E1EB-456A-BEBE-EF697796FB60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7-E1EB-456A-BEBE-EF697796FB60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9-E1EB-456A-BEBE-EF697796FB60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B-E1EB-456A-BEBE-EF697796FB60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D-E1EB-456A-BEBE-EF697796FB60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0FF-E1EB-456A-BEBE-EF697796FB60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1-E1EB-456A-BEBE-EF697796FB60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3-E1EB-456A-BEBE-EF697796FB60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5-E1EB-456A-BEBE-EF697796FB60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7-E1EB-456A-BEBE-EF697796FB60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9-E1EB-456A-BEBE-EF697796FB60}"/>
                    </c:ext>
                  </c:extLst>
                </c:dPt>
                <c:dPt>
                  <c:idx val="721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B-E1EB-456A-BEBE-EF697796FB60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D-E1EB-456A-BEBE-EF697796FB60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0F-E1EB-456A-BEBE-EF697796FB60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1-E1EB-456A-BEBE-EF697796FB60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3-E1EB-456A-BEBE-EF697796FB60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5-E1EB-456A-BEBE-EF697796FB60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7-E1EB-456A-BEBE-EF697796FB60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9-E1EB-456A-BEBE-EF697796FB60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B-E1EB-456A-BEBE-EF697796FB60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D-E1EB-456A-BEBE-EF697796FB60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1F-E1EB-456A-BEBE-EF697796FB60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1-E1EB-456A-BEBE-EF697796FB60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3-E1EB-456A-BEBE-EF697796FB60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5-E1EB-456A-BEBE-EF697796FB60}"/>
                    </c:ext>
                  </c:extLst>
                </c:dPt>
                <c:dPt>
                  <c:idx val="735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7-E1EB-456A-BEBE-EF697796FB60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9-E1EB-456A-BEBE-EF697796FB60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B-E1EB-456A-BEBE-EF697796FB60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D-E1EB-456A-BEBE-EF697796FB60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2F-E1EB-456A-BEBE-EF697796FB60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1-E1EB-456A-BEBE-EF697796FB60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3-E1EB-456A-BEBE-EF697796FB60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5-E1EB-456A-BEBE-EF697796FB60}"/>
                    </c:ext>
                  </c:extLst>
                </c:dPt>
                <c:dPt>
                  <c:idx val="74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7-E1EB-456A-BEBE-EF697796FB60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9-E1EB-456A-BEBE-EF697796FB60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B-E1EB-456A-BEBE-EF697796FB60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D-E1EB-456A-BEBE-EF697796FB60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3F-E1EB-456A-BEBE-EF697796FB60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1-E1EB-456A-BEBE-EF697796FB60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3-E1EB-456A-BEBE-EF697796FB60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5-E1EB-456A-BEBE-EF697796FB60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7-E1EB-456A-BEBE-EF697796FB60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9-E1EB-456A-BEBE-EF697796FB60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B-E1EB-456A-BEBE-EF697796FB60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D-E1EB-456A-BEBE-EF697796FB60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4F-E1EB-456A-BEBE-EF697796FB60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1-E1EB-456A-BEBE-EF697796FB60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3-E1EB-456A-BEBE-EF697796FB60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5-E1EB-456A-BEBE-EF697796FB60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7-E1EB-456A-BEBE-EF697796FB60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9-E1EB-456A-BEBE-EF697796FB60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B-E1EB-456A-BEBE-EF697796FB60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D-E1EB-456A-BEBE-EF697796FB60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5F-E1EB-456A-BEBE-EF697796FB60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1-E1EB-456A-BEBE-EF697796FB60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3-E1EB-456A-BEBE-EF697796FB60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5-E1EB-456A-BEBE-EF697796FB60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7-E1EB-456A-BEBE-EF697796FB60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9-E1EB-456A-BEBE-EF697796FB60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B-E1EB-456A-BEBE-EF697796FB60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D-E1EB-456A-BEBE-EF697796FB60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6F-E1EB-456A-BEBE-EF697796FB60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1-E1EB-456A-BEBE-EF697796FB60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3-E1EB-456A-BEBE-EF697796FB60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5-E1EB-456A-BEBE-EF697796FB60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7-E1EB-456A-BEBE-EF697796FB60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9-E1EB-456A-BEBE-EF697796FB60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B-E1EB-456A-BEBE-EF697796FB60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D-E1EB-456A-BEBE-EF697796FB60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7F-E1EB-456A-BEBE-EF697796FB60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1-E1EB-456A-BEBE-EF697796FB60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3-E1EB-456A-BEBE-EF697796FB60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5-E1EB-456A-BEBE-EF697796FB60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7-E1EB-456A-BEBE-EF697796FB60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9-E1EB-456A-BEBE-EF697796FB60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B-E1EB-456A-BEBE-EF697796FB60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D-E1EB-456A-BEBE-EF697796FB60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8F-E1EB-456A-BEBE-EF697796FB60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1-E1EB-456A-BEBE-EF697796FB60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3-E1EB-456A-BEBE-EF697796FB60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5-E1EB-456A-BEBE-EF697796FB60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7-E1EB-456A-BEBE-EF697796FB60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9-E1EB-456A-BEBE-EF697796FB60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B-E1EB-456A-BEBE-EF697796FB60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D-E1EB-456A-BEBE-EF697796FB60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9F-E1EB-456A-BEBE-EF697796FB60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1-E1EB-456A-BEBE-EF697796FB60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3-E1EB-456A-BEBE-EF697796FB60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5-E1EB-456A-BEBE-EF697796FB60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7-E1EB-456A-BEBE-EF697796FB60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9-E1EB-456A-BEBE-EF697796FB60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B-E1EB-456A-BEBE-EF697796FB60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D-E1EB-456A-BEBE-EF697796FB60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AF-E1EB-456A-BEBE-EF697796FB60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1-E1EB-456A-BEBE-EF697796FB60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3-E1EB-456A-BEBE-EF697796FB60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5-E1EB-456A-BEBE-EF697796FB60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7-E1EB-456A-BEBE-EF697796FB60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9-E1EB-456A-BEBE-EF697796FB60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B-E1EB-456A-BEBE-EF697796FB60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D-E1EB-456A-BEBE-EF697796FB60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BF-E1EB-456A-BEBE-EF697796FB60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1-E1EB-456A-BEBE-EF697796FB60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3-E1EB-456A-BEBE-EF697796FB60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5-E1EB-456A-BEBE-EF697796FB60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7-E1EB-456A-BEBE-EF697796FB60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9-E1EB-456A-BEBE-EF697796FB60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B-E1EB-456A-BEBE-EF697796FB60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D-E1EB-456A-BEBE-EF697796FB60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CF-E1EB-456A-BEBE-EF697796FB60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1-E1EB-456A-BEBE-EF697796FB60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3-E1EB-456A-BEBE-EF697796FB60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5-E1EB-456A-BEBE-EF697796FB60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7-E1EB-456A-BEBE-EF697796FB60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9-E1EB-456A-BEBE-EF697796FB60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B-E1EB-456A-BEBE-EF697796FB60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D-E1EB-456A-BEBE-EF697796FB60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DF-E1EB-456A-BEBE-EF697796FB60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1-E1EB-456A-BEBE-EF697796FB60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3-E1EB-456A-BEBE-EF697796FB60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5-E1EB-456A-BEBE-EF697796FB60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7-E1EB-456A-BEBE-EF697796FB60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9-E1EB-456A-BEBE-EF697796FB60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B-E1EB-456A-BEBE-EF697796FB60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D-E1EB-456A-BEBE-EF697796FB60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EF-E1EB-456A-BEBE-EF697796FB60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1-E1EB-456A-BEBE-EF697796FB60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3-E1EB-456A-BEBE-EF697796FB60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5-E1EB-456A-BEBE-EF697796FB60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7-E1EB-456A-BEBE-EF697796FB60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9-E1EB-456A-BEBE-EF697796FB60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B-E1EB-456A-BEBE-EF697796FB60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D-E1EB-456A-BEBE-EF697796FB60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1FF-E1EB-456A-BEBE-EF697796FB60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1-E1EB-456A-BEBE-EF697796FB60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3-E1EB-456A-BEBE-EF697796FB60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5-E1EB-456A-BEBE-EF697796FB60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7-E1EB-456A-BEBE-EF697796FB60}"/>
                    </c:ext>
                  </c:extLst>
                </c:dPt>
                <c:dPt>
                  <c:idx val="848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9-E1EB-456A-BEBE-EF697796FB60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B-E1EB-456A-BEBE-EF697796FB60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D-E1EB-456A-BEBE-EF697796FB60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0F-E1EB-456A-BEBE-EF697796FB60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11-E1EB-456A-BEBE-EF697796FB60}"/>
                    </c:ext>
                  </c:extLst>
                </c:dPt>
                <c:dPt>
                  <c:idx val="85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2213-E1EB-456A-BEBE-EF697796FB60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initiales'!$D$179,'Données initiales'!$F$179,'Données initiales'!$H$179,'Données initiales'!$J$179,'Données initiales'!$L$179,'Données initiales'!$N$179,'Données initiales'!$P$179)</c15:sqref>
                        </c15:formulaRef>
                      </c:ext>
                    </c:extLst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142-DB9F-452A-82DA-49E825A71C5F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2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4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185261</xdr:colOff>
      <xdr:row>1</xdr:row>
      <xdr:rowOff>153156</xdr:rowOff>
    </xdr:from>
    <xdr:to>
      <xdr:col>19</xdr:col>
      <xdr:colOff>489646</xdr:colOff>
      <xdr:row>22</xdr:row>
      <xdr:rowOff>3478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624168</xdr:colOff>
      <xdr:row>110</xdr:row>
      <xdr:rowOff>45944</xdr:rowOff>
    </xdr:from>
    <xdr:to>
      <xdr:col>8</xdr:col>
      <xdr:colOff>60833</xdr:colOff>
      <xdr:row>118</xdr:row>
      <xdr:rowOff>70437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435429</xdr:colOff>
      <xdr:row>120</xdr:row>
      <xdr:rowOff>79600</xdr:rowOff>
    </xdr:from>
    <xdr:to>
      <xdr:col>10</xdr:col>
      <xdr:colOff>122464</xdr:colOff>
      <xdr:row>131</xdr:row>
      <xdr:rowOff>108857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859973</xdr:colOff>
      <xdr:row>163</xdr:row>
      <xdr:rowOff>145595</xdr:rowOff>
    </xdr:from>
    <xdr:to>
      <xdr:col>9</xdr:col>
      <xdr:colOff>272143</xdr:colOff>
      <xdr:row>178</xdr:row>
      <xdr:rowOff>81643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413817</xdr:colOff>
      <xdr:row>180</xdr:row>
      <xdr:rowOff>167208</xdr:rowOff>
    </xdr:from>
    <xdr:to>
      <xdr:col>11</xdr:col>
      <xdr:colOff>268942</xdr:colOff>
      <xdr:row>190</xdr:row>
      <xdr:rowOff>123266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425822</xdr:colOff>
      <xdr:row>192</xdr:row>
      <xdr:rowOff>11206</xdr:rowOff>
    </xdr:from>
    <xdr:to>
      <xdr:col>11</xdr:col>
      <xdr:colOff>313764</xdr:colOff>
      <xdr:row>202</xdr:row>
      <xdr:rowOff>134471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</xdr:col>
      <xdr:colOff>324971</xdr:colOff>
      <xdr:row>120</xdr:row>
      <xdr:rowOff>89646</xdr:rowOff>
    </xdr:from>
    <xdr:to>
      <xdr:col>13</xdr:col>
      <xdr:colOff>1019735</xdr:colOff>
      <xdr:row>131</xdr:row>
      <xdr:rowOff>134471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</xdr:col>
      <xdr:colOff>268941</xdr:colOff>
      <xdr:row>140</xdr:row>
      <xdr:rowOff>78442</xdr:rowOff>
    </xdr:from>
    <xdr:to>
      <xdr:col>9</xdr:col>
      <xdr:colOff>562855</xdr:colOff>
      <xdr:row>153</xdr:row>
      <xdr:rowOff>163888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7</xdr:col>
      <xdr:colOff>44824</xdr:colOff>
      <xdr:row>204</xdr:row>
      <xdr:rowOff>169208</xdr:rowOff>
    </xdr:from>
    <xdr:to>
      <xdr:col>12</xdr:col>
      <xdr:colOff>974912</xdr:colOff>
      <xdr:row>219</xdr:row>
      <xdr:rowOff>54908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718703</xdr:colOff>
      <xdr:row>188</xdr:row>
      <xdr:rowOff>178377</xdr:rowOff>
    </xdr:from>
    <xdr:to>
      <xdr:col>8</xdr:col>
      <xdr:colOff>95249</xdr:colOff>
      <xdr:row>203</xdr:row>
      <xdr:rowOff>64077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331593</xdr:colOff>
      <xdr:row>189</xdr:row>
      <xdr:rowOff>6</xdr:rowOff>
    </xdr:from>
    <xdr:to>
      <xdr:col>11</xdr:col>
      <xdr:colOff>1169996</xdr:colOff>
      <xdr:row>203</xdr:row>
      <xdr:rowOff>100655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1463385</xdr:colOff>
      <xdr:row>189</xdr:row>
      <xdr:rowOff>22512</xdr:rowOff>
    </xdr:from>
    <xdr:to>
      <xdr:col>15</xdr:col>
      <xdr:colOff>320385</xdr:colOff>
      <xdr:row>203</xdr:row>
      <xdr:rowOff>98712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1476374</xdr:colOff>
      <xdr:row>204</xdr:row>
      <xdr:rowOff>152400</xdr:rowOff>
    </xdr:from>
    <xdr:to>
      <xdr:col>15</xdr:col>
      <xdr:colOff>357187</xdr:colOff>
      <xdr:row>219</xdr:row>
      <xdr:rowOff>38100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0%20-%20%20DOP%20G&#233;n&#233;ral\suivi%20d'activit&#233;\PCA\TABLEAUX%20DE%20BORD\HONORAIRES%20PAC\Pr&#233;visionnel%20HONO%202019\Avancement%20HONO%20PAC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9\0205-VEFA%20MIAMI\3.%20Budget\4.%20APS\19_01_14%20v2\BUDGET%20VEFA%20MIAMI%20140119%20v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Financement,%20PRD,%20Gest&#176;%20OP\Suivi%20appels%20de%20fond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Prév Hono Amgt 2019"/>
      <sheetName val="Prevision Hono REHAB 2019"/>
      <sheetName val="Mensuel Rem"/>
      <sheetName val="Prév Hono Construction 2019"/>
      <sheetName val="Rem par phase"/>
    </sheetNames>
    <sheetDataSet>
      <sheetData sheetId="0" refreshError="1"/>
      <sheetData sheetId="1" refreshError="1"/>
      <sheetData sheetId="2" refreshError="1"/>
      <sheetData sheetId="3">
        <row r="3">
          <cell r="E3" t="str">
            <v>YFR</v>
          </cell>
          <cell r="AI3">
            <v>0</v>
          </cell>
          <cell r="BK3">
            <v>42868</v>
          </cell>
        </row>
        <row r="4">
          <cell r="E4" t="str">
            <v>APU</v>
          </cell>
          <cell r="AI4">
            <v>0</v>
          </cell>
          <cell r="BK4">
            <v>14755</v>
          </cell>
        </row>
        <row r="5">
          <cell r="E5" t="str">
            <v>FBR</v>
          </cell>
          <cell r="AI5">
            <v>0</v>
          </cell>
          <cell r="BK5">
            <v>193002</v>
          </cell>
        </row>
        <row r="6">
          <cell r="E6" t="str">
            <v>YFR</v>
          </cell>
          <cell r="AI6">
            <v>21013</v>
          </cell>
          <cell r="BK6">
            <v>0</v>
          </cell>
        </row>
        <row r="7">
          <cell r="E7" t="str">
            <v>FHO</v>
          </cell>
          <cell r="AI7">
            <v>10799</v>
          </cell>
          <cell r="BK7">
            <v>29206</v>
          </cell>
        </row>
        <row r="8">
          <cell r="E8" t="str">
            <v>YFR</v>
          </cell>
          <cell r="AI8">
            <v>0</v>
          </cell>
          <cell r="BK8">
            <v>0</v>
          </cell>
        </row>
        <row r="9">
          <cell r="E9" t="str">
            <v>YFR</v>
          </cell>
          <cell r="AI9">
            <v>0</v>
          </cell>
          <cell r="BK9">
            <v>0</v>
          </cell>
        </row>
        <row r="10">
          <cell r="E10" t="str">
            <v>YFR</v>
          </cell>
          <cell r="AI10">
            <v>0</v>
          </cell>
          <cell r="BK10">
            <v>0</v>
          </cell>
        </row>
        <row r="11">
          <cell r="E11" t="str">
            <v>FHO</v>
          </cell>
          <cell r="AI11">
            <v>0</v>
          </cell>
          <cell r="BK11">
            <v>0</v>
          </cell>
        </row>
        <row r="12">
          <cell r="E12" t="str">
            <v>FHO</v>
          </cell>
          <cell r="AI12">
            <v>24368</v>
          </cell>
          <cell r="BK12">
            <v>11733</v>
          </cell>
        </row>
        <row r="13">
          <cell r="E13" t="str">
            <v>FVA</v>
          </cell>
          <cell r="AI13">
            <v>0</v>
          </cell>
          <cell r="BK13">
            <v>0</v>
          </cell>
        </row>
        <row r="14">
          <cell r="E14" t="str">
            <v>FHO</v>
          </cell>
        </row>
        <row r="15">
          <cell r="E15" t="str">
            <v>APU</v>
          </cell>
          <cell r="AI15">
            <v>0</v>
          </cell>
          <cell r="BK15">
            <v>41000</v>
          </cell>
        </row>
        <row r="16">
          <cell r="E16" t="str">
            <v>FBR</v>
          </cell>
          <cell r="AI16">
            <v>0</v>
          </cell>
          <cell r="BK16">
            <v>0</v>
          </cell>
        </row>
        <row r="17">
          <cell r="E17" t="str">
            <v>FBR</v>
          </cell>
          <cell r="AI17">
            <v>0</v>
          </cell>
          <cell r="BK17">
            <v>0</v>
          </cell>
        </row>
        <row r="18">
          <cell r="E18" t="str">
            <v>FBR</v>
          </cell>
          <cell r="AI18">
            <v>0</v>
          </cell>
          <cell r="BK18">
            <v>0</v>
          </cell>
        </row>
        <row r="19">
          <cell r="E19" t="str">
            <v>FHO</v>
          </cell>
          <cell r="AI19">
            <v>0</v>
          </cell>
          <cell r="BK19">
            <v>0</v>
          </cell>
        </row>
        <row r="20">
          <cell r="E20" t="str">
            <v>FVA</v>
          </cell>
          <cell r="AI20">
            <v>0</v>
          </cell>
          <cell r="BK20">
            <v>0</v>
          </cell>
        </row>
        <row r="21">
          <cell r="E21" t="str">
            <v>YFR</v>
          </cell>
          <cell r="AI21">
            <v>58040</v>
          </cell>
          <cell r="BK21">
            <v>25155</v>
          </cell>
        </row>
        <row r="22">
          <cell r="E22" t="str">
            <v>ADE</v>
          </cell>
          <cell r="AI22">
            <v>0</v>
          </cell>
          <cell r="BK22">
            <v>0</v>
          </cell>
        </row>
        <row r="23">
          <cell r="E23" t="str">
            <v>ADE</v>
          </cell>
          <cell r="AI23">
            <v>0</v>
          </cell>
          <cell r="BK23">
            <v>0</v>
          </cell>
        </row>
        <row r="24">
          <cell r="E24" t="str">
            <v>FHO</v>
          </cell>
          <cell r="AI24">
            <v>0</v>
          </cell>
          <cell r="BK24">
            <v>0</v>
          </cell>
        </row>
        <row r="25">
          <cell r="E25" t="str">
            <v>ADE</v>
          </cell>
        </row>
        <row r="26">
          <cell r="E26" t="str">
            <v>APU</v>
          </cell>
        </row>
        <row r="27">
          <cell r="E27" t="str">
            <v>FHO</v>
          </cell>
        </row>
        <row r="28">
          <cell r="E28" t="str">
            <v>FBR</v>
          </cell>
        </row>
        <row r="29">
          <cell r="E29" t="str">
            <v>FBR</v>
          </cell>
        </row>
        <row r="30">
          <cell r="E30" t="str">
            <v>ADE</v>
          </cell>
        </row>
        <row r="31">
          <cell r="E31" t="str">
            <v>APU</v>
          </cell>
        </row>
        <row r="33">
          <cell r="E33" t="str">
            <v>ADE</v>
          </cell>
        </row>
        <row r="34">
          <cell r="E34" t="str">
            <v>YFR</v>
          </cell>
        </row>
        <row r="35">
          <cell r="E35" t="str">
            <v>YFR</v>
          </cell>
        </row>
        <row r="36">
          <cell r="E36" t="str">
            <v>FVA</v>
          </cell>
        </row>
        <row r="37">
          <cell r="E37" t="str">
            <v>FVA</v>
          </cell>
        </row>
        <row r="38">
          <cell r="E38" t="str">
            <v>FVA</v>
          </cell>
        </row>
        <row r="39">
          <cell r="AI39">
            <v>0</v>
          </cell>
          <cell r="BK39">
            <v>0</v>
          </cell>
        </row>
        <row r="40">
          <cell r="E40" t="str">
            <v>APU</v>
          </cell>
        </row>
        <row r="41">
          <cell r="E41" t="str">
            <v>ADE</v>
          </cell>
        </row>
        <row r="42">
          <cell r="E42" t="str">
            <v>BBL</v>
          </cell>
        </row>
        <row r="43">
          <cell r="E43" t="str">
            <v>APU</v>
          </cell>
        </row>
        <row r="44">
          <cell r="E44" t="str">
            <v>APU</v>
          </cell>
        </row>
        <row r="45">
          <cell r="E45" t="str">
            <v>ADE</v>
          </cell>
        </row>
        <row r="46">
          <cell r="E46" t="str">
            <v>FVA</v>
          </cell>
        </row>
        <row r="47">
          <cell r="E47" t="str">
            <v>ADE</v>
          </cell>
        </row>
        <row r="48">
          <cell r="E48" t="str">
            <v>BBL</v>
          </cell>
        </row>
        <row r="49">
          <cell r="E49" t="str">
            <v>ADE</v>
          </cell>
        </row>
        <row r="50">
          <cell r="E50" t="str">
            <v>YFR</v>
          </cell>
        </row>
        <row r="51">
          <cell r="E51" t="str">
            <v>ADE</v>
          </cell>
        </row>
        <row r="53">
          <cell r="E53" t="str">
            <v>FVA</v>
          </cell>
        </row>
        <row r="54">
          <cell r="E54" t="str">
            <v>FVA</v>
          </cell>
        </row>
        <row r="55">
          <cell r="E55" t="str">
            <v>TQU</v>
          </cell>
        </row>
        <row r="56">
          <cell r="E56" t="str">
            <v>TQU</v>
          </cell>
        </row>
        <row r="58">
          <cell r="E58" t="str">
            <v>FVA</v>
          </cell>
          <cell r="AI58">
            <v>0</v>
          </cell>
          <cell r="BK58">
            <v>5850</v>
          </cell>
        </row>
        <row r="59">
          <cell r="E59" t="str">
            <v>YFR</v>
          </cell>
          <cell r="AI59">
            <v>0</v>
          </cell>
          <cell r="BK59">
            <v>0</v>
          </cell>
        </row>
        <row r="60">
          <cell r="E60" t="str">
            <v>OET</v>
          </cell>
          <cell r="AI60">
            <v>0</v>
          </cell>
          <cell r="BK60">
            <v>0</v>
          </cell>
        </row>
        <row r="61">
          <cell r="AI61">
            <v>36088</v>
          </cell>
          <cell r="BK61">
            <v>0</v>
          </cell>
        </row>
        <row r="62">
          <cell r="E62" t="str">
            <v>FVA</v>
          </cell>
        </row>
        <row r="63">
          <cell r="AI63">
            <v>0</v>
          </cell>
          <cell r="BK63">
            <v>0</v>
          </cell>
        </row>
        <row r="64">
          <cell r="AI64">
            <v>0</v>
          </cell>
          <cell r="BK64">
            <v>0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d'entrée"/>
      <sheetName val="GUIDE DEAL"/>
      <sheetName val="première page"/>
      <sheetName val="Planning VEFA"/>
      <sheetName val="1"/>
      <sheetName val="2"/>
      <sheetName val="3"/>
      <sheetName val="5"/>
      <sheetName val="6"/>
      <sheetName val="7"/>
      <sheetName val="9"/>
      <sheetName val="8"/>
      <sheetName val="Calculs détaillés"/>
      <sheetName val="Notice explicative"/>
      <sheetName val="Test de compensation"/>
      <sheetName val="FFD LLS"/>
      <sheetName val="DPR LLS"/>
      <sheetName val="SF previsio LLS"/>
      <sheetName val="Synthèse LLS"/>
      <sheetName val="DPR LLTS"/>
      <sheetName val="FFD LLTS"/>
      <sheetName val="SF previsio LLTS "/>
      <sheetName val="Synthèse LLTS"/>
      <sheetName val="Base éligible globale"/>
      <sheetName val="Bdgt"/>
      <sheetName val="SYNTHESE DG"/>
      <sheetName val="Prgr. 2018"/>
      <sheetName val="FFD PLS"/>
      <sheetName val="DPR PLS"/>
      <sheetName val="SF previsio PLS"/>
      <sheetName val="Synthèse PLS"/>
      <sheetName val="Loyers Max"/>
      <sheetName val="Base éligible LLS"/>
      <sheetName val="Calcul CIDOM"/>
      <sheetName val="Estim MOE"/>
      <sheetName val="PRD"/>
    </sheetNames>
    <sheetDataSet>
      <sheetData sheetId="0">
        <row r="6">
          <cell r="F6" t="str">
            <v>VEFA MIAMI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8">
          <cell r="E68">
            <v>0</v>
          </cell>
        </row>
      </sheetData>
      <sheetData sheetId="17"/>
      <sheetData sheetId="18"/>
      <sheetData sheetId="19">
        <row r="68">
          <cell r="E68">
            <v>0</v>
          </cell>
        </row>
      </sheetData>
      <sheetData sheetId="20"/>
      <sheetData sheetId="21"/>
      <sheetData sheetId="22"/>
      <sheetData sheetId="23"/>
      <sheetData sheetId="24">
        <row r="12">
          <cell r="R12">
            <v>0</v>
          </cell>
        </row>
      </sheetData>
      <sheetData sheetId="25"/>
      <sheetData sheetId="26">
        <row r="1">
          <cell r="D1" t="str">
            <v>VEFA MIAMI</v>
          </cell>
        </row>
      </sheetData>
      <sheetData sheetId="27"/>
      <sheetData sheetId="28">
        <row r="68">
          <cell r="E68">
            <v>11311598.726738488</v>
          </cell>
        </row>
      </sheetData>
      <sheetData sheetId="29"/>
      <sheetData sheetId="30"/>
      <sheetData sheetId="31">
        <row r="3">
          <cell r="A3" t="str">
            <v>T I Bis a</v>
          </cell>
        </row>
      </sheetData>
      <sheetData sheetId="32"/>
      <sheetData sheetId="33"/>
      <sheetData sheetId="34"/>
      <sheetData sheetId="3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CONVENTIONS SIGNEES 2018"/>
      <sheetName val="FRAFU DEAL"/>
      <sheetName val="LBU DEAL"/>
      <sheetName val="ST LEU"/>
      <sheetName val="GLOBAL OPERATION"/>
      <sheetName val="ADEME"/>
      <sheetName val="EDF"/>
      <sheetName val="LBU REHAB"/>
      <sheetName val="CAF"/>
      <sheetName val="REGION"/>
      <sheetName val="RECTORAT"/>
      <sheetName val="DIECCTE"/>
      <sheetName val="TCO"/>
      <sheetName val="FEDER"/>
      <sheetName val="PETITE ILE"/>
      <sheetName val="OFFICE DE L'EAU"/>
      <sheetName val="ETANG-SALE"/>
      <sheetName val="ST JOSEPH"/>
      <sheetName val="CILGERE"/>
      <sheetName val="cilgère"/>
    </sheetNames>
    <sheetDataSet>
      <sheetData sheetId="0"/>
      <sheetData sheetId="1"/>
      <sheetData sheetId="2"/>
      <sheetData sheetId="3"/>
      <sheetData sheetId="4"/>
      <sheetData sheetId="5">
        <row r="32">
          <cell r="AG32">
            <v>260226.06</v>
          </cell>
        </row>
        <row r="36">
          <cell r="AG36">
            <v>480000</v>
          </cell>
        </row>
        <row r="37">
          <cell r="AG37">
            <v>325531</v>
          </cell>
        </row>
        <row r="41">
          <cell r="AG41">
            <v>288000</v>
          </cell>
        </row>
        <row r="44">
          <cell r="AG44">
            <v>529000</v>
          </cell>
        </row>
        <row r="45">
          <cell r="AG45">
            <v>740000</v>
          </cell>
        </row>
        <row r="46">
          <cell r="AG46">
            <v>27159.56</v>
          </cell>
        </row>
        <row r="47">
          <cell r="AG47">
            <v>629698.44999999995</v>
          </cell>
        </row>
        <row r="51">
          <cell r="AG51">
            <v>0</v>
          </cell>
        </row>
        <row r="53">
          <cell r="AG53">
            <v>0</v>
          </cell>
        </row>
        <row r="55">
          <cell r="AG55">
            <v>0</v>
          </cell>
        </row>
        <row r="57">
          <cell r="AG57">
            <v>470470</v>
          </cell>
        </row>
        <row r="60">
          <cell r="AG60">
            <v>5600</v>
          </cell>
        </row>
        <row r="62">
          <cell r="AG62">
            <v>1227844</v>
          </cell>
        </row>
        <row r="63">
          <cell r="AG63">
            <v>655125</v>
          </cell>
        </row>
        <row r="64">
          <cell r="AG64">
            <v>0</v>
          </cell>
        </row>
        <row r="67">
          <cell r="AG67">
            <v>201456</v>
          </cell>
        </row>
        <row r="68">
          <cell r="AG68">
            <v>0</v>
          </cell>
        </row>
        <row r="69">
          <cell r="AG69">
            <v>0</v>
          </cell>
        </row>
        <row r="70">
          <cell r="AG70">
            <v>0</v>
          </cell>
        </row>
        <row r="73">
          <cell r="AG73">
            <v>151200</v>
          </cell>
        </row>
        <row r="74">
          <cell r="AG74">
            <v>515686.5</v>
          </cell>
        </row>
        <row r="75">
          <cell r="AG75">
            <v>539805.38</v>
          </cell>
        </row>
        <row r="76">
          <cell r="AG76">
            <v>836746.44</v>
          </cell>
        </row>
        <row r="77">
          <cell r="AG77">
            <v>808060</v>
          </cell>
        </row>
        <row r="78">
          <cell r="AG78">
            <v>4200</v>
          </cell>
        </row>
        <row r="79">
          <cell r="AG79">
            <v>0</v>
          </cell>
        </row>
        <row r="85">
          <cell r="AG85">
            <v>0</v>
          </cell>
        </row>
        <row r="86">
          <cell r="AG86">
            <v>640000</v>
          </cell>
        </row>
        <row r="87">
          <cell r="AG87">
            <v>454440</v>
          </cell>
        </row>
        <row r="89">
          <cell r="AG89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athalie BLANDINO" refreshedDate="43424.701436921299" createdVersion="5" refreshedVersion="5" minRefreshableVersion="3" recordCount="126">
  <cacheSource type="worksheet">
    <worksheetSource ref="E71" sheet="Données initiales"/>
  </cacheSource>
  <cacheFields count="288">
    <cacheField name="OPERATION" numFmtId="0">
      <sharedItems/>
    </cacheField>
    <cacheField name="ESTIA" numFmtId="0">
      <sharedItems containsBlank="1"/>
    </cacheField>
    <cacheField name="COMMUNE" numFmtId="0">
      <sharedItems count="14">
        <s v="Petite-Ile"/>
        <s v="St Pierre"/>
        <s v="Tampon"/>
        <s v="St Leu"/>
        <s v="Etang-Salé"/>
        <s v="St Philippe"/>
        <s v="Trois Bassins"/>
        <s v="St Joseph"/>
        <s v="St Paul"/>
        <s v="Entre-Deux"/>
        <s v="St Louis"/>
        <s v="Avirons"/>
        <s v="Cilaos"/>
        <s v="La Possession"/>
      </sharedItems>
    </cacheField>
    <cacheField name="BASSIN" numFmtId="0">
      <sharedItems count="3">
        <s v="CIVIS"/>
        <s v="CA SUD"/>
        <s v="TCO"/>
      </sharedItems>
    </cacheField>
    <cacheField name="Prog" numFmtId="0">
      <sharedItems containsBlank="1" containsMixedTypes="1" containsNumber="1" containsInteger="1" minValue="2010" maxValue="2022" count="17">
        <n v="2010"/>
        <n v="2011"/>
        <n v="2012"/>
        <n v="2013"/>
        <n v="2014"/>
        <n v="2015"/>
        <n v="2016"/>
        <n v="2017"/>
        <n v="2018"/>
        <n v="2019"/>
        <n v="2020"/>
        <n v="2021"/>
        <n v="2022"/>
        <s v="abandon"/>
        <s v="abandon Mairie"/>
        <s v="non inscrit"/>
        <m/>
      </sharedItems>
    </cacheField>
    <cacheField name="CODE" numFmtId="0">
      <sharedItems containsBlank="1"/>
    </cacheField>
    <cacheField name="RO" numFmtId="0">
      <sharedItems containsBlank="1"/>
    </cacheField>
    <cacheField name="ASSISTANTE" numFmtId="0">
      <sharedItems containsBlank="1"/>
    </cacheField>
    <cacheField name="AVANCEMENT" numFmtId="0">
      <sharedItems containsBlank="1" count="16">
        <s v="patrimoine"/>
        <s v="cloture"/>
        <s v="GPA"/>
        <s v="Tvx"/>
        <s v="AO"/>
        <s v="DCE"/>
        <s v="APD"/>
        <s v="PRO"/>
        <s v="APS"/>
        <s v="ESQ"/>
        <s v="Faisa"/>
        <s v="Etude urbaine"/>
        <s v="Prosp"/>
        <m/>
        <s v="OS" u="1"/>
        <s v="PC" u="1"/>
      </sharedItems>
    </cacheField>
    <cacheField name="CONTRÔLE DEAL" numFmtId="0">
      <sharedItems containsBlank="1" containsMixedTypes="1" containsNumber="1" minValue="15914.36866359447" maxValue="28778.48575"/>
    </cacheField>
    <cacheField name="PARCELLE" numFmtId="0">
      <sharedItems containsBlank="1"/>
    </cacheField>
    <cacheField name="FONCIER" numFmtId="0">
      <sharedItems containsBlank="1" longText="1"/>
    </cacheField>
    <cacheField name="Propriétaire" numFmtId="0">
      <sharedItems containsBlank="1"/>
    </cacheField>
    <cacheField name="Notaire Terrain" numFmtId="0">
      <sharedItems containsBlank="1"/>
    </cacheField>
    <cacheField name="Signature Acte" numFmtId="0">
      <sharedItems containsDate="1" containsBlank="1" containsMixedTypes="1" minDate="1993-01-25T00:00:00" maxDate="2013-12-20T00:00:00"/>
    </cacheField>
    <cacheField name="S TERRAIN" numFmtId="3">
      <sharedItems containsString="0" containsBlank="1" containsNumber="1" minValue="606" maxValue="52241"/>
    </cacheField>
    <cacheField name="PRIX TERRAIN BRUT" numFmtId="3">
      <sharedItems containsString="0" containsBlank="1" containsNumber="1" minValue="1" maxValue="2460000"/>
    </cacheField>
    <cacheField name="PRIX TERRAIN AMENAGE" numFmtId="3">
      <sharedItems containsString="0" containsBlank="1" containsNumber="1" minValue="51520" maxValue="1500000"/>
    </cacheField>
    <cacheField name="PRIX BRUT / LGT " numFmtId="3">
      <sharedItems containsBlank="1" containsMixedTypes="1" containsNumber="1" minValue="0" maxValue="37856"/>
    </cacheField>
    <cacheField name="PRIX m² terrain brut" numFmtId="3">
      <sharedItems containsBlank="1" containsMixedTypes="1" containsNumber="1" minValue="0" maxValue="700.63694267515928"/>
    </cacheField>
    <cacheField name="PRIX m² terrain aménagé" numFmtId="3">
      <sharedItems containsBlank="1" containsMixedTypes="1" containsNumber="1" minValue="0" maxValue="700.63694267515928"/>
    </cacheField>
    <cacheField name="PRIX m² SF" numFmtId="3">
      <sharedItems containsBlank="1" containsMixedTypes="1" containsNumber="1" minValue="0" maxValue="416.95086825847386"/>
    </cacheField>
    <cacheField name="PRIX AMENAGE/ LGT" numFmtId="3">
      <sharedItems containsBlank="1" containsMixedTypes="1" containsNumber="1" minValue="0" maxValue="37856"/>
    </cacheField>
    <cacheField name="M² TERRAIN / LGT" numFmtId="3">
      <sharedItems containsBlank="1" containsMixedTypes="1" containsNumber="1" minValue="0" maxValue="870.68333333333328"/>
    </cacheField>
    <cacheField name="S EMPRISE" numFmtId="0">
      <sharedItems containsString="0" containsBlank="1" containsNumber="1" minValue="300" maxValue="2205.9499999999998"/>
    </cacheField>
    <cacheField name="DENSITE lgt/ha" numFmtId="0">
      <sharedItems containsMixedTypes="1" containsNumber="1" minValue="0" maxValue="575.70523891767414"/>
    </cacheField>
    <cacheField name="ZONAGE" numFmtId="0">
      <sharedItems containsBlank="1"/>
    </cacheField>
    <cacheField name="Altitude" numFmtId="0">
      <sharedItems containsString="0" containsBlank="1" containsNumber="1" containsInteger="1" minValue="20" maxValue="1300"/>
    </cacheField>
    <cacheField name="Pente" numFmtId="0">
      <sharedItems containsString="0" containsBlank="1" containsNumber="1" minValue="0" maxValue="0.3"/>
    </cacheField>
    <cacheField name="TYPE" numFmtId="0">
      <sharedItems containsBlank="1" count="5">
        <s v="LLTS"/>
        <s v="LLS"/>
        <s v="PLS"/>
        <s v="Rehab"/>
        <m u="1"/>
      </sharedItems>
    </cacheField>
    <cacheField name="N" numFmtId="1">
      <sharedItems containsSemiMixedTypes="0" containsString="0" containsNumber="1" containsInteger="1" minValue="0" maxValue="200" count="62">
        <n v="27"/>
        <n v="30"/>
        <n v="23"/>
        <n v="20"/>
        <n v="51"/>
        <n v="6"/>
        <n v="16"/>
        <n v="4"/>
        <n v="14"/>
        <n v="7"/>
        <n v="84"/>
        <n v="40"/>
        <n v="29"/>
        <n v="13"/>
        <n v="10"/>
        <n v="75"/>
        <n v="22"/>
        <n v="24"/>
        <n v="17"/>
        <n v="65"/>
        <n v="9"/>
        <n v="44"/>
        <n v="37"/>
        <n v="15"/>
        <n v="83"/>
        <n v="18"/>
        <n v="34"/>
        <n v="54"/>
        <n v="47"/>
        <n v="50"/>
        <n v="21"/>
        <n v="46"/>
        <n v="12"/>
        <n v="19"/>
        <n v="55"/>
        <n v="35"/>
        <n v="28"/>
        <n v="69"/>
        <n v="200"/>
        <n v="74"/>
        <n v="45"/>
        <n v="31"/>
        <n v="26"/>
        <n v="100"/>
        <n v="128"/>
        <n v="39"/>
        <n v="33"/>
        <n v="60"/>
        <n v="41"/>
        <n v="38"/>
        <n v="32"/>
        <n v="52"/>
        <n v="0"/>
        <n v="88"/>
        <n v="176"/>
        <n v="134"/>
        <n v="120"/>
        <n v="115"/>
        <n v="70"/>
        <n v="90"/>
        <n v="42"/>
        <n v="53"/>
      </sharedItems>
    </cacheField>
    <cacheField name="N hors REHAB" numFmtId="0">
      <sharedItems containsString="0" containsBlank="1" containsNumber="1" containsInteger="1" minValue="0" maxValue="200"/>
    </cacheField>
    <cacheField name="LLS" numFmtId="0">
      <sharedItems containsString="0" containsBlank="1" containsNumber="1" containsInteger="1" minValue="4" maxValue="134"/>
    </cacheField>
    <cacheField name="LLTS" numFmtId="0">
      <sharedItems containsString="0" containsBlank="1" containsNumber="1" containsInteger="1" minValue="6" maxValue="146"/>
    </cacheField>
    <cacheField name="PLS" numFmtId="0">
      <sharedItems containsString="0" containsBlank="1" containsNumber="1" containsInteger="1" minValue="12" maxValue="200"/>
    </cacheField>
    <cacheField name="REHAB" numFmtId="0">
      <sharedItems containsString="0" containsBlank="1" containsNumber="1" containsInteger="1" minValue="6" maxValue="128"/>
    </cacheField>
    <cacheField name="SHAB VEFA y/c V" numFmtId="0">
      <sharedItems containsString="0" containsBlank="1" containsNumber="1" minValue="391.83999999999992" maxValue="4547.8599999999997"/>
    </cacheField>
    <cacheField name="SF" numFmtId="4">
      <sharedItems containsString="0" containsBlank="1" containsNumber="1" minValue="317.76" maxValue="7367.96"/>
    </cacheField>
    <cacheField name="SF VEFA" numFmtId="4">
      <sharedItems containsString="0" containsBlank="1" containsNumber="1" minValue="470.86" maxValue="5326.01"/>
    </cacheField>
    <cacheField name="SF priorisée" numFmtId="4">
      <sharedItems containsString="0" containsBlank="1" containsNumber="1" minValue="317.76" maxValue="7367.66"/>
    </cacheField>
    <cacheField name="SF / lgt" numFmtId="4">
      <sharedItems containsMixedTypes="1" containsNumber="1" minValue="0" maxValue="104.25703703703704"/>
    </cacheField>
    <cacheField name="T1" numFmtId="0">
      <sharedItems containsString="0" containsBlank="1" containsNumber="1" minValue="0" maxValue="0.42105263157894735"/>
    </cacheField>
    <cacheField name="T2" numFmtId="0">
      <sharedItems containsString="0" containsBlank="1" containsNumber="1" minValue="0" maxValue="7"/>
    </cacheField>
    <cacheField name="T3" numFmtId="0">
      <sharedItems containsString="0" containsBlank="1" containsNumber="1" minValue="0" maxValue="8"/>
    </cacheField>
    <cacheField name="T4" numFmtId="0">
      <sharedItems containsString="0" containsBlank="1" containsNumber="1" minValue="0" maxValue="5"/>
    </cacheField>
    <cacheField name="T5" numFmtId="0">
      <sharedItems containsString="0" containsBlank="1" containsNumber="1" minValue="0" maxValue="1"/>
    </cacheField>
    <cacheField name="S espaces verts collectifs" numFmtId="0">
      <sharedItems containsBlank="1" containsMixedTypes="1" containsNumber="1" minValue="0" maxValue="12480"/>
    </cacheField>
    <cacheField name="S ANC" numFmtId="0">
      <sharedItems containsBlank="1" containsMixedTypes="1" containsNumber="1" minValue="0" maxValue="2000"/>
    </cacheField>
    <cacheField name="Emprise ANC" numFmtId="0">
      <sharedItems containsBlank="1" containsMixedTypes="1" containsNumber="1" minValue="0" maxValue="598"/>
    </cacheField>
    <cacheField name="N niveaux lgt y/c RDC" numFmtId="0">
      <sharedItems containsBlank="1" containsMixedTypes="1" containsNumber="1" minValue="1" maxValue="7"/>
    </cacheField>
    <cacheField name="Type Habitat" numFmtId="0">
      <sharedItems containsBlank="1"/>
    </cacheField>
    <cacheField name="Pkgs couverts" numFmtId="0">
      <sharedItems containsBlank="1"/>
    </cacheField>
    <cacheField name="Prix Achat TTC" numFmtId="0">
      <sharedItems containsString="0" containsBlank="1" containsNumber="1" minValue="1052631.5789473683" maxValue="10893131"/>
    </cacheField>
    <cacheField name="Prix achat /m² SF" numFmtId="0">
      <sharedItems containsString="0" containsBlank="1" containsNumber="1" minValue="1820.2168532022688" maxValue="4898.5441435057428"/>
    </cacheField>
    <cacheField name="PPA" numFmtId="0">
      <sharedItems containsNonDate="0" containsDate="1" containsString="0" containsBlank="1" minDate="2013-11-13T00:00:00" maxDate="2018-06-27T00:00:00"/>
    </cacheField>
    <cacheField name="Archi conseil DEAL" numFmtId="0">
      <sharedItems containsDate="1" containsBlank="1" containsMixedTypes="1" minDate="2012-09-18T00:00:00" maxDate="2018-04-19T00:00:00"/>
    </cacheField>
    <cacheField name="CA" numFmtId="0">
      <sharedItems containsNonDate="0" containsDate="1" containsString="0" containsBlank="1" minDate="2011-09-30T00:00:00" maxDate="2018-07-28T00:00:00"/>
    </cacheField>
    <cacheField name="Arrangeur" numFmtId="0">
      <sharedItems containsBlank="1"/>
    </cacheField>
    <cacheField name="Structure" numFmtId="0">
      <sharedItems containsBlank="1"/>
    </cacheField>
    <cacheField name="Convention CAF" numFmtId="0">
      <sharedItems containsBlank="1" containsMixedTypes="1" containsNumber="1" containsInteger="1" minValue="120000" maxValue="415000"/>
    </cacheField>
    <cacheField name="Arrêté LBU" numFmtId="14">
      <sharedItems containsNonDate="0" containsDate="1" containsString="0" containsBlank="1" minDate="2010-11-09T00:00:00" maxDate="2018-09-29T00:00:00"/>
    </cacheField>
    <cacheField name="Transmission à DAF" numFmtId="14">
      <sharedItems containsNonDate="0" containsDate="1" containsString="0" containsBlank="1" minDate="2015-10-14T00:00:00" maxDate="2018-01-17T00:00:00"/>
    </cacheField>
    <cacheField name="Date Dépôt DRFIP" numFmtId="14">
      <sharedItems containsDate="1" containsBlank="1" containsMixedTypes="1" minDate="2013-07-12T00:00:00" maxDate="2016-10-07T00:00:00"/>
    </cacheField>
    <cacheField name="Date Agrément DRFIP" numFmtId="14">
      <sharedItems containsDate="1" containsBlank="1" containsMixedTypes="1" minDate="2012-08-13T00:00:00" maxDate="2016-11-24T00:00:00"/>
    </cacheField>
    <cacheField name="Transmission à DAF2" numFmtId="14">
      <sharedItems containsDate="1" containsBlank="1" containsMixedTypes="1" minDate="2015-10-14T00:00:00" maxDate="2016-11-25T00:00:00"/>
    </cacheField>
    <cacheField name="Dde édition prêt" numFmtId="0">
      <sharedItems containsNonDate="0" containsDate="1" containsString="0" containsBlank="1" minDate="2013-10-02T00:00:00" maxDate="2019-06-19T00:00:00"/>
    </cacheField>
    <cacheField name="Contrat de prêt" numFmtId="0">
      <sharedItems containsDate="1" containsBlank="1" containsMixedTypes="1" minDate="2013-10-28T00:00:00" maxDate="2019-07-19T00:00:00"/>
    </cacheField>
    <cacheField name="Limite validité Ct prêt" numFmtId="0">
      <sharedItems containsDate="1" containsBlank="1" containsMixedTypes="1" minDate="2014-01-03T00:00:00" maxDate="2019-10-19T00:00:00"/>
    </cacheField>
    <cacheField name="Transmission Ct Prêt à DAF" numFmtId="0">
      <sharedItems containsDate="1" containsBlank="1" containsMixedTypes="1" minDate="2015-03-11T00:00:00" maxDate="2018-10-13T00:00:00"/>
    </cacheField>
    <cacheField name="Début préfinancement (date contrat de prêt)" numFmtId="164">
      <sharedItems containsSemiMixedTypes="0" containsNonDate="0" containsDate="1" containsString="0" minDate="1899-12-30T00:00:00" maxDate="2019-07-19T00:00:00"/>
    </cacheField>
    <cacheField name="Fin préfinancement (24 mois)" numFmtId="164">
      <sharedItems containsSemiMixedTypes="0" containsNonDate="0" containsDate="1" containsString="0" minDate="1901-12-31T00:00:00" maxDate="2021-07-19T00:00:00"/>
    </cacheField>
    <cacheField name="1e échéance prêt (12 mois après fin préfinancement)" numFmtId="164">
      <sharedItems containsSemiMixedTypes="0" containsNonDate="0" containsDate="1" containsString="0" minDate="1902-12-31T00:00:00" maxDate="2022-07-19T00:00:00"/>
    </cacheField>
    <cacheField name="Montant échéance annuelle" numFmtId="0">
      <sharedItems containsBlank="1" containsMixedTypes="1" containsNumber="1" minValue="44850" maxValue="235126.41"/>
    </cacheField>
    <cacheField name="PROBLEME" numFmtId="164">
      <sharedItems/>
    </cacheField>
    <cacheField name="Mois de loyers avant 1e échéance" numFmtId="3">
      <sharedItems containsMixedTypes="1" containsNumber="1" containsInteger="1" minValue="0" maxValue="1438"/>
    </cacheField>
    <cacheField name="Montant des loyers perçus avant 1e échéance" numFmtId="3">
      <sharedItems containsMixedTypes="1" containsNumber="1" minValue="0" maxValue="703064"/>
    </cacheField>
    <cacheField name="Perte" numFmtId="3">
      <sharedItems containsMixedTypes="1" containsNumber="1" minValue="-158948.52943073068" maxValue="0"/>
    </cacheField>
    <cacheField name="Dde dossier Ass" numFmtId="0">
      <sharedItems containsDate="1" containsBlank="1" containsMixedTypes="1" minDate="2016-07-13T00:00:00" maxDate="2017-07-05T00:00:00"/>
    </cacheField>
    <cacheField name="Transmission garanties à CDC" numFmtId="0">
      <sharedItems containsDate="1" containsBlank="1" containsMixedTypes="1" minDate="2014-01-13T00:00:00" maxDate="2018-10-24T00:00:00"/>
    </cacheField>
    <cacheField name="Demande de garantie CM" numFmtId="0">
      <sharedItems containsNonDate="0" containsDate="1" containsString="0" containsBlank="1" minDate="2018-10-16T00:00:00" maxDate="2018-10-17T00:00:00"/>
    </cacheField>
    <cacheField name="Garantie CM" numFmtId="0">
      <sharedItems containsNonDate="0" containsDate="1" containsString="0" containsBlank="1" minDate="2018-08-28T00:00:00" maxDate="2018-10-06T00:00:00"/>
    </cacheField>
    <cacheField name="Réception Garantie CM" numFmtId="0">
      <sharedItems containsNonDate="0" containsDate="1" containsString="0" containsBlank="1" minDate="2018-09-14T00:00:00" maxDate="2018-10-18T00:00:00"/>
    </cacheField>
    <cacheField name="Transmission à DAF_x000a_Garantie CM" numFmtId="0">
      <sharedItems containsDate="1" containsBlank="1" containsMixedTypes="1" minDate="2016-02-01T00:00:00" maxDate="2018-10-24T00:00:00"/>
    </cacheField>
    <cacheField name="Demande de garantie EPCI" numFmtId="0">
      <sharedItems containsNonDate="0" containsDate="1" containsString="0" containsBlank="1" minDate="2018-10-01T00:00:00" maxDate="2018-10-17T00:00:00"/>
    </cacheField>
    <cacheField name="Garantie EPCI" numFmtId="0">
      <sharedItems containsNonDate="0" containsDate="1" containsString="0" containsBlank="1" minDate="2018-10-29T00:00:00" maxDate="2018-12-01T00:00:00"/>
    </cacheField>
    <cacheField name="Réception Garantie EPCI" numFmtId="0">
      <sharedItems containsNonDate="0" containsString="0" containsBlank="1"/>
    </cacheField>
    <cacheField name="Transmission à DAF_x000a_Garantie EPCI" numFmtId="0">
      <sharedItems containsNonDate="0" containsString="0" containsBlank="1"/>
    </cacheField>
    <cacheField name="Demande de garantie CR" numFmtId="0">
      <sharedItems containsNonDate="0" containsDate="1" containsString="0" containsBlank="1" minDate="2018-10-16T00:00:00" maxDate="2018-10-19T00:00:00"/>
    </cacheField>
    <cacheField name="Garantie CR" numFmtId="0">
      <sharedItems containsNonDate="0" containsString="0" containsBlank="1"/>
    </cacheField>
    <cacheField name="Réception Garantie CR" numFmtId="0">
      <sharedItems containsDate="1" containsBlank="1" containsMixedTypes="1" minDate="2015-09-29T00:00:00" maxDate="2018-10-23T00:00:00"/>
    </cacheField>
    <cacheField name="Transmission à DAF_x000a_Garantie CR" numFmtId="0">
      <sharedItems containsDate="1" containsBlank="1" containsMixedTypes="1" minDate="2015-12-22T00:00:00" maxDate="2017-07-07T00:00:00"/>
    </cacheField>
    <cacheField name="Demande de garantie CG" numFmtId="0">
      <sharedItems containsNonDate="0" containsDate="1" containsString="0" containsBlank="1" minDate="2018-10-16T00:00:00" maxDate="2018-10-17T00:00:00"/>
    </cacheField>
    <cacheField name="Garantie CG" numFmtId="0">
      <sharedItems containsNonDate="0" containsString="0" containsBlank="1"/>
    </cacheField>
    <cacheField name="Réception Garantie CG" numFmtId="0">
      <sharedItems containsNonDate="0" containsString="0" containsBlank="1"/>
    </cacheField>
    <cacheField name="Transmission à DAF_x000a_Garantie CG" numFmtId="0">
      <sharedItems containsNonDate="0" containsString="0" containsBlank="1"/>
    </cacheField>
    <cacheField name="Notaire VEFA" numFmtId="0">
      <sharedItems containsBlank="1"/>
    </cacheField>
    <cacheField name="Signature VEFA / Placement defisc" numFmtId="14">
      <sharedItems containsDate="1" containsMixedTypes="1" minDate="2011-12-21T00:00:00" maxDate="2018-03-24T00:00:00"/>
    </cacheField>
    <cacheField name="Transmission VEFA à DAF" numFmtId="14">
      <sharedItems containsDate="1" containsBlank="1" containsMixedTypes="1" minDate="2016-06-27T00:00:00" maxDate="2016-06-28T00:00:00"/>
    </cacheField>
    <cacheField name="PRIX VEFA HT" numFmtId="0">
      <sharedItems containsBlank="1" containsMixedTypes="1" containsNumber="1" minValue="1051215.9099999999" maxValue="18979814"/>
    </cacheField>
    <cacheField name="Date limite d'utilisation des fonds" numFmtId="14">
      <sharedItems containsDate="1" containsMixedTypes="1" minDate="2014-06-12T00:00:00" maxDate="2018-06-24T00:00:00"/>
    </cacheField>
    <cacheField name="LIMITE AF FONDATIONS" numFmtId="14">
      <sharedItems containsDate="1" containsBlank="1" containsMixedTypes="1" minDate="2014-12-12T00:00:00" maxDate="2018-12-24T00:00:00"/>
    </cacheField>
    <cacheField name="AF FONDATIONS" numFmtId="14">
      <sharedItems containsDate="1" containsBlank="1" containsMixedTypes="1" minDate="2012-03-16T00:00:00" maxDate="2018-05-03T00:00:00"/>
    </cacheField>
    <cacheField name="ACHEVEMENT VEFA" numFmtId="14">
      <sharedItems containsDate="1" containsBlank="1" containsMixedTypes="1" minDate="2013-03-31T00:00:00" maxDate="2019-10-31T00:00:00"/>
    </cacheField>
    <cacheField name="Retard livraison VEFA (mois)" numFmtId="0">
      <sharedItems containsBlank="1" containsMixedTypes="1" containsNumber="1" minValue="-8.5666666666666664" maxValue="1456.4333333333334"/>
    </cacheField>
    <cacheField name="Marché MOE notifié" numFmtId="164">
      <sharedItems containsNonDate="0" containsDate="1" containsString="0" containsBlank="1" minDate="2011-07-10T00:00:00" maxDate="2018-02-20T00:00:00"/>
    </cacheField>
    <cacheField name="OS ESQ - prévu" numFmtId="0">
      <sharedItems containsNonDate="0" containsDate="1" containsString="0" containsBlank="1" minDate="2011-07-30T00:00:00" maxDate="2018-02-21T00:00:00"/>
    </cacheField>
    <cacheField name="OS ESQ - Réalisé" numFmtId="0">
      <sharedItems containsNonDate="0" containsDate="1" containsString="0" containsBlank="1" minDate="2011-07-11T00:00:00" maxDate="2017-11-01T00:00:00"/>
    </cacheField>
    <cacheField name="ECART (j)" numFmtId="1">
      <sharedItems containsBlank="1" containsMixedTypes="1" containsNumber="1" containsInteger="1" minValue="-27" maxValue="768"/>
    </cacheField>
    <cacheField name="Dépôt du dossier PC en Mairie (GANTT)-Prévu" numFmtId="164">
      <sharedItems containsNonDate="0" containsDate="1" containsString="0" containsBlank="1" minDate="1900-01-30T00:00:00" maxDate="2018-06-16T00:00:00"/>
    </cacheField>
    <cacheField name="Dépôt du dossier PC en Mairie - Réalisé" numFmtId="164">
      <sharedItems containsNonDate="0" containsDate="1" containsString="0" containsBlank="1" minDate="1900-03-02T00:00:00" maxDate="2018-11-21T00:00:00"/>
    </cacheField>
    <cacheField name="Ecart dépôt PC (j)" numFmtId="1">
      <sharedItems containsMixedTypes="1" containsNumber="1" containsInteger="1" minValue="-730" maxValue="1519"/>
    </cacheField>
    <cacheField name="OS APD - prévu" numFmtId="0">
      <sharedItems containsNonDate="0" containsDate="1" containsString="0" containsBlank="1" minDate="2011-11-18T00:00:00" maxDate="2018-05-26T00:00:00"/>
    </cacheField>
    <cacheField name="OS APD - Réalisé" numFmtId="164">
      <sharedItems containsNonDate="0" containsDate="1" containsString="0" containsBlank="1" minDate="2012-01-03T00:00:00" maxDate="2018-11-21T00:00:00"/>
    </cacheField>
    <cacheField name="Ecart" numFmtId="1">
      <sharedItems containsBlank="1" containsMixedTypes="1" containsNumber="1" containsInteger="1" minValue="-24" maxValue="476"/>
    </cacheField>
    <cacheField name="OS PRO - prévu" numFmtId="0">
      <sharedItems containsNonDate="0" containsDate="1" containsString="0" containsBlank="1" minDate="2012-02-10T00:00:00" maxDate="2018-08-15T00:00:00"/>
    </cacheField>
    <cacheField name="OS PRO - Réalisé" numFmtId="164">
      <sharedItems containsNonDate="0" containsDate="1" containsString="0" containsBlank="1" minDate="2013-05-22T00:00:00" maxDate="2018-11-21T00:00:00"/>
    </cacheField>
    <cacheField name="Ecart2" numFmtId="1">
      <sharedItems containsMixedTypes="1" containsNumber="1" containsInteger="1" minValue="0" maxValue="755"/>
    </cacheField>
    <cacheField name="OS DCE - prévu" numFmtId="0">
      <sharedItems containsNonDate="0" containsDate="1" containsString="0" containsBlank="1" minDate="2013-08-25T00:00:00" maxDate="2018-06-30T00:00:00"/>
    </cacheField>
    <cacheField name="OS DCE - Réalisé" numFmtId="0">
      <sharedItems containsNonDate="0" containsDate="1" containsString="0" containsBlank="1" minDate="2013-09-12T00:00:00" maxDate="2018-11-21T00:00:00"/>
    </cacheField>
    <cacheField name="Ecart3" numFmtId="1">
      <sharedItems containsMixedTypes="1" containsNumber="1" containsInteger="1" minValue="-411" maxValue="462"/>
    </cacheField>
    <cacheField name="Taux conformité DCE au CRATE " numFmtId="0">
      <sharedItems containsNonDate="0" containsString="0" containsBlank="1"/>
    </cacheField>
    <cacheField name="CAO" numFmtId="0">
      <sharedItems containsNonDate="0" containsDate="1" containsString="0" containsBlank="1" minDate="2014-02-14T00:00:00" maxDate="2018-11-13T00:00:00"/>
    </cacheField>
    <cacheField name="Signature Marché Travaux - Prévu" numFmtId="164">
      <sharedItems containsNonDate="0" containsDate="1" containsString="0" containsBlank="1" minDate="2013-10-26T00:00:00" maxDate="2019-07-31T00:00:00"/>
    </cacheField>
    <cacheField name="Signature Marché Travaux - Réalisé" numFmtId="0">
      <sharedItems containsNonDate="0" containsDate="1" containsString="0" containsBlank="1" minDate="2014-04-14T00:00:00" maxDate="2019-07-31T00:00:00"/>
    </cacheField>
    <cacheField name="Ecart4" numFmtId="1">
      <sharedItems containsMixedTypes="1" containsNumber="1" containsInteger="1" minValue="-29" maxValue="603"/>
    </cacheField>
    <cacheField name="Date OS Prévu" numFmtId="164">
      <sharedItems containsNonDate="0" containsDate="1" containsString="0" containsBlank="1" minDate="2014-04-14T00:00:00" maxDate="2023-07-02T00:00:00"/>
    </cacheField>
    <cacheField name="OS démarrage" numFmtId="164">
      <sharedItems containsNonDate="0" containsDate="1" containsString="0" containsBlank="1" minDate="2011-06-27T00:00:00" maxDate="2023-07-02T00:00:00" count="82">
        <d v="2011-06-27T00:00:00"/>
        <d v="2012-02-06T00:00:00"/>
        <d v="2011-12-21T00:00:00"/>
        <d v="2011-12-22T00:00:00"/>
        <d v="2012-02-01T00:00:00"/>
        <d v="2012-03-02T00:00:00"/>
        <d v="2013-05-06T00:00:00"/>
        <d v="2013-02-04T00:00:00"/>
        <d v="2013-01-21T00:00:00"/>
        <d v="2013-06-26T00:00:00"/>
        <d v="2013-06-03T00:00:00"/>
        <d v="2013-10-25T00:00:00"/>
        <d v="2013-02-15T00:00:00"/>
        <d v="2014-07-28T00:00:00"/>
        <d v="2014-09-18T00:00:00"/>
        <d v="2014-05-07T00:00:00"/>
        <d v="2014-06-11T00:00:00"/>
        <d v="2014-08-25T00:00:00"/>
        <d v="2015-12-03T00:00:00"/>
        <d v="2015-05-15T00:00:00"/>
        <d v="2014-04-22T00:00:00"/>
        <d v="2014-03-31T00:00:00"/>
        <d v="2014-05-05T00:00:00"/>
        <d v="2015-02-02T00:00:00"/>
        <d v="2016-04-28T00:00:00"/>
        <d v="2015-12-10T00:00:00"/>
        <d v="2016-05-10T00:00:00"/>
        <d v="2017-02-06T00:00:00"/>
        <d v="2017-07-17T00:00:00"/>
        <d v="2017-02-20T00:00:00"/>
        <d v="2017-02-16T00:00:00"/>
        <d v="2017-07-31T00:00:00"/>
        <d v="2017-02-01T00:00:00"/>
        <d v="2018-01-22T00:00:00"/>
        <d v="2018-01-29T00:00:00"/>
        <d v="2016-08-01T00:00:00"/>
        <d v="2017-02-14T00:00:00"/>
        <d v="2018-03-05T00:00:00"/>
        <d v="2018-06-12T00:00:00"/>
        <d v="2019-04-01T00:00:00"/>
        <d v="2019-02-07T00:00:00"/>
        <d v="2019-02-15T00:00:00"/>
        <d v="2019-07-15T00:00:00"/>
        <m/>
        <d v="2017-12-01T00:00:00"/>
        <d v="2017-12-22T00:00:00"/>
        <d v="2018-09-12T00:00:00"/>
        <d v="2018-09-19T00:00:00"/>
        <d v="2018-09-01T00:00:00"/>
        <d v="2018-09-20T00:00:00"/>
        <d v="2019-02-01T00:00:00"/>
        <d v="2019-07-01T00:00:00"/>
        <d v="2019-05-24T00:00:00"/>
        <d v="2018-03-09T00:00:00"/>
        <d v="2018-12-15T00:00:00"/>
        <d v="2019-05-05T00:00:00"/>
        <d v="2019-04-24T00:00:00"/>
        <d v="2020-06-06T00:00:00"/>
        <d v="2020-10-16T00:00:00"/>
        <d v="2020-01-20T00:00:00"/>
        <d v="2021-07-01T00:00:00"/>
        <d v="2021-05-20T00:00:00"/>
        <d v="2022-07-01T00:00:00"/>
        <d v="2023-07-01T00:00:00"/>
        <d v="2018-11-30T00:00:00" u="1"/>
        <d v="2019-04-05T00:00:00" u="1"/>
        <d v="2018-08-06T00:00:00" u="1"/>
        <d v="2020-04-05T00:00:00" u="1"/>
        <d v="2020-07-01T00:00:00" u="1"/>
        <d v="2018-12-07T00:00:00" u="1"/>
        <d v="2019-10-16T00:00:00" u="1"/>
        <d v="2019-06-06T00:00:00" u="1"/>
        <d v="2018-12-17T00:00:00" u="1"/>
        <d v="2019-01-24T00:00:00" u="1"/>
        <d v="2019-03-15T00:00:00" u="1"/>
        <d v="2018-11-17T00:00:00" u="1"/>
        <d v="2018-10-24T00:00:00" u="1"/>
        <d v="2018-11-15T00:00:00" u="1"/>
        <d v="2020-02-01T00:00:00" u="1"/>
        <d v="2019-11-15T00:00:00" u="1"/>
        <d v="2020-01-15T00:00:00" u="1"/>
        <d v="2021-02-01T00:00:00" u="1"/>
      </sharedItems>
    </cacheField>
    <cacheField name="ANNEE DEMARRAGE" numFmtId="0">
      <sharedItems containsString="0" containsBlank="1" containsNumber="1" containsInteger="1" minValue="2011" maxValue="2018" count="9">
        <n v="2011"/>
        <n v="2012"/>
        <n v="2013"/>
        <n v="2014"/>
        <n v="2015"/>
        <n v="2016"/>
        <n v="2017"/>
        <n v="2018"/>
        <m/>
      </sharedItems>
    </cacheField>
    <cacheField name="ECART Arrêté DEAL / OS" numFmtId="1">
      <sharedItems containsMixedTypes="1" containsNumber="1" minValue="0" maxValue="1503.6"/>
    </cacheField>
    <cacheField name="Ecart " numFmtId="1">
      <sharedItems containsMixedTypes="1" containsNumber="1" containsInteger="1" minValue="-198" maxValue="554"/>
    </cacheField>
    <cacheField name="Délai chantier initial" numFmtId="1">
      <sharedItems containsSemiMixedTypes="0" containsString="0" containsNumber="1" containsInteger="1" minValue="10" maxValue="62"/>
    </cacheField>
    <cacheField name="Délai chantier réel" numFmtId="1">
      <sharedItems containsSemiMixedTypes="0" containsString="0" containsNumber="1" containsInteger="1" minValue="12" maxValue="64"/>
    </cacheField>
    <cacheField name="Terrassement - Prévu" numFmtId="164">
      <sharedItems containsNonDate="0" containsDate="1" containsString="0" containsBlank="1" minDate="2014-07-15T00:00:00" maxDate="2018-06-13T00:00:00"/>
    </cacheField>
    <cacheField name="Terrassement Réalisé" numFmtId="0">
      <sharedItems containsDate="1" containsString="0" containsBlank="1" containsMixedTypes="1" minDate="1900-01-04T16:49:04" maxDate="2018-11-21T00:00:00"/>
    </cacheField>
    <cacheField name="Ecart5" numFmtId="1">
      <sharedItems containsMixedTypes="1" containsNumber="1" containsInteger="1" minValue="-17" maxValue="354"/>
    </cacheField>
    <cacheField name="Fondations - Prévu" numFmtId="164">
      <sharedItems containsNonDate="0" containsDate="1" containsString="0" containsBlank="1" minDate="2014-08-29T00:00:00" maxDate="2018-08-11T00:00:00"/>
    </cacheField>
    <cacheField name="Fondations Réalisé" numFmtId="164">
      <sharedItems containsNonDate="0" containsDate="1" containsString="0" containsBlank="1" minDate="2008-05-31T00:00:00" maxDate="2018-11-21T00:00:00"/>
    </cacheField>
    <cacheField name="Ecart6" numFmtId="1">
      <sharedItems containsMixedTypes="1" containsNumber="1" containsInteger="1" minValue="-51" maxValue="273"/>
    </cacheField>
    <cacheField name="Elevations - Prévu" numFmtId="0">
      <sharedItems containsNonDate="0" containsDate="1" containsString="0" containsBlank="1" minDate="2015-02-16T00:00:00" maxDate="2019-03-06T00:00:00"/>
    </cacheField>
    <cacheField name="Elevations Réalisé" numFmtId="0">
      <sharedItems containsNonDate="0" containsDate="1" containsString="0" containsBlank="1" minDate="2015-09-08T00:00:00" maxDate="2019-03-06T00:00:00"/>
    </cacheField>
    <cacheField name="Ecart7" numFmtId="1">
      <sharedItems containsMixedTypes="1" containsNumber="1" containsInteger="1" minValue="-56" maxValue="213"/>
    </cacheField>
    <cacheField name="Charpente / Couv - Prévu" numFmtId="0">
      <sharedItems containsNonDate="0" containsDate="1" containsString="0" containsBlank="1" minDate="2015-03-18T00:00:00" maxDate="2019-05-31T00:00:00"/>
    </cacheField>
    <cacheField name="Charpente / Couv - Réalisé" numFmtId="164">
      <sharedItems containsNonDate="0" containsDate="1" containsString="0" containsBlank="1" minDate="2017-07-13T00:00:00" maxDate="2019-05-31T00:00:00"/>
    </cacheField>
    <cacheField name="Ecart8" numFmtId="1">
      <sharedItems containsMixedTypes="1" containsNumber="1" containsInteger="1" minValue="0" maxValue="862"/>
    </cacheField>
    <cacheField name="Clos - Prévu" numFmtId="0">
      <sharedItems containsNonDate="0" containsDate="1" containsString="0" containsBlank="1" minDate="2015-03-18T00:00:00" maxDate="2019-06-07T00:00:00"/>
    </cacheField>
    <cacheField name="Clos - Réalisé" numFmtId="0">
      <sharedItems containsNonDate="0" containsDate="1" containsString="0" containsBlank="1" minDate="2017-07-27T00:00:00" maxDate="2019-06-07T00:00:00"/>
    </cacheField>
    <cacheField name="Ecart9" numFmtId="1">
      <sharedItems containsMixedTypes="1" containsNumber="1" containsInteger="1" minValue="0" maxValue="862"/>
    </cacheField>
    <cacheField name="Cloisons - Prévu" numFmtId="0">
      <sharedItems containsNonDate="0" containsDate="1" containsString="0" containsBlank="1" minDate="2015-05-17T00:00:00" maxDate="2019-06-11T00:00:00"/>
    </cacheField>
    <cacheField name="Cloisons - Réalisé" numFmtId="0">
      <sharedItems containsNonDate="0" containsDate="1" containsString="0" containsBlank="1" minDate="2017-07-18T00:00:00" maxDate="2019-06-11T00:00:00"/>
    </cacheField>
    <cacheField name="Ecart10" numFmtId="1">
      <sharedItems containsMixedTypes="1" containsNumber="1" containsInteger="1" minValue="0" maxValue="793"/>
    </cacheField>
    <cacheField name="Finitions int - Prévu" numFmtId="0">
      <sharedItems containsNonDate="0" containsDate="1" containsString="0" containsBlank="1" minDate="2015-08-15T00:00:00" maxDate="2019-07-03T00:00:00"/>
    </cacheField>
    <cacheField name="Finitions int - Réalisé" numFmtId="0">
      <sharedItems containsNonDate="0" containsDate="1" containsString="0" containsBlank="1" minDate="2017-09-07T00:00:00" maxDate="2019-07-03T00:00:00"/>
    </cacheField>
    <cacheField name="Ecart11" numFmtId="1">
      <sharedItems containsMixedTypes="1" containsNumber="1" containsInteger="1" minValue="0" maxValue="754"/>
    </cacheField>
    <cacheField name="Réception AEP" numFmtId="0">
      <sharedItems containsNonDate="0" containsDate="1" containsString="0" containsBlank="1" minDate="2017-11-13T00:00:00" maxDate="2019-08-27T00:00:00"/>
    </cacheField>
    <cacheField name="Réception FT" numFmtId="0">
      <sharedItems containsDate="1" containsBlank="1" containsMixedTypes="1" minDate="2017-11-02T00:00:00" maxDate="2019-08-27T00:00:00"/>
    </cacheField>
    <cacheField name="Réception EDF" numFmtId="0">
      <sharedItems containsNonDate="0" containsDate="1" containsString="0" containsBlank="1" minDate="2017-10-23T00:00:00" maxDate="2019-07-12T00:00:00"/>
    </cacheField>
    <cacheField name="Date réception prévue initialement" numFmtId="164">
      <sharedItems containsSemiMixedTypes="0" containsNonDate="0" containsDate="1" containsString="0" minDate="1901-04-30T00:00:00" maxDate="2027-12-02T00:00:00"/>
    </cacheField>
    <cacheField name="Date réception recalée" numFmtId="164">
      <sharedItems containsSemiMixedTypes="0" containsNonDate="0" containsDate="1" containsString="0" minDate="1901-05-30T00:00:00" maxDate="2028-03-02T00:00:00"/>
    </cacheField>
    <cacheField name="Retard réception (m)" numFmtId="0">
      <sharedItems containsSemiMixedTypes="0" containsString="0" containsNumber="1" minValue="0" maxValue="32.666666666666664"/>
    </cacheField>
    <cacheField name="DATE LIMITE DAT DEFISC" numFmtId="0">
      <sharedItems containsNonDate="0" containsDate="1" containsString="0" containsBlank="1" minDate="1901-12-31T00:00:00" maxDate="2020-05-03T00:00:00"/>
    </cacheField>
    <cacheField name="DAT" numFmtId="0">
      <sharedItems containsNonDate="0" containsDate="1" containsString="0" containsBlank="1" minDate="2013-06-04T00:00:00" maxDate="2018-09-18T00:00:00"/>
    </cacheField>
    <cacheField name="Transmission Fiche Pgr GL" numFmtId="0">
      <sharedItems containsDate="1" containsBlank="1" containsMixedTypes="1" minDate="2015-12-04T00:00:00" maxDate="2018-10-20T00:00:00"/>
    </cacheField>
    <cacheField name="Date RDC Patrimoine" numFmtId="164">
      <sharedItems containsDate="1" containsBlank="1" containsMixedTypes="1" minDate="1901-10-02T00:00:00" maxDate="2028-07-04T00:00:00"/>
    </cacheField>
    <cacheField name="Date EDLE" numFmtId="164">
      <sharedItems containsDate="1" containsBlank="1" containsMixedTypes="1" minDate="2018-08-16T00:00:00" maxDate="2018-08-29T00:00:00"/>
    </cacheField>
    <cacheField name="Date inauguration initiale" numFmtId="164">
      <sharedItems containsSemiMixedTypes="0" containsNonDate="0" containsDate="1" containsString="0" minDate="1901-05-30T00:00:00" maxDate="2028-01-02T00:00:00"/>
    </cacheField>
    <cacheField name="Date inauguration recalée" numFmtId="164">
      <sharedItems containsSemiMixedTypes="0" containsNonDate="0" containsDate="1" containsString="0" minDate="1901-05-30T00:00:00" maxDate="2028-08-04T00:00:00" count="179">
        <d v="2013-07-26T00:00:00"/>
        <d v="2014-01-24T00:00:00"/>
        <d v="2013-07-31T00:00:00"/>
        <d v="2013-09-12T00:00:00"/>
        <d v="2014-02-13T00:00:00"/>
        <d v="2014-02-26T00:00:00"/>
        <d v="2014-05-15T00:00:00"/>
        <d v="2014-09-12T00:00:00"/>
        <d v="2014-11-04T00:00:00"/>
        <d v="2014-11-12T00:00:00"/>
        <d v="2015-05-27T00:00:00"/>
        <d v="2015-06-03T00:00:00"/>
        <d v="2015-10-09T00:00:00"/>
        <d v="2015-11-24T00:00:00"/>
        <d v="2016-02-09T00:00:00"/>
        <d v="2016-09-14T00:00:00"/>
        <d v="2016-12-22T00:00:00"/>
        <d v="2017-05-24T00:00:00"/>
        <d v="2015-11-05T00:00:00"/>
        <d v="2016-07-26T00:00:00"/>
        <d v="2016-10-28T00:00:00"/>
        <d v="2016-11-30T00:00:00"/>
        <d v="2017-02-08T00:00:00"/>
        <d v="2017-03-20T00:00:00"/>
        <d v="2017-11-29T00:00:00"/>
        <d v="2017-11-30T00:00:00"/>
        <d v="2017-12-04T00:00:00"/>
        <d v="2017-12-12T00:00:00"/>
        <d v="2016-11-08T00:00:00"/>
        <d v="2017-08-10T00:00:00"/>
        <d v="2018-04-17T00:00:00"/>
        <d v="2018-04-25T00:00:00"/>
        <d v="2018-08-27T00:00:00"/>
        <d v="2019-03-01T00:00:00"/>
        <d v="2018-08-24T00:00:00"/>
        <d v="2018-09-27T00:00:00"/>
        <d v="2018-12-18T00:00:00"/>
        <d v="2019-02-15T00:00:00"/>
        <d v="2019-07-10T00:00:00"/>
        <d v="2020-04-02T00:00:00"/>
        <d v="2018-05-22T00:00:00"/>
        <d v="2018-08-30T00:00:00"/>
        <d v="2019-08-16T00:00:00"/>
        <d v="2019-11-12T00:00:00"/>
        <d v="2021-01-03T00:00:00"/>
        <d v="2020-12-09T00:00:00"/>
        <d v="2020-12-17T00:00:00"/>
        <d v="2021-07-17T00:00:00"/>
        <d v="1901-10-02T00:00:00"/>
        <d v="2019-06-16T00:00:00"/>
        <d v="2020-01-14T00:00:00"/>
        <d v="2020-01-21T00:00:00"/>
        <d v="2020-05-03T00:00:00"/>
        <d v="2020-05-21T00:00:00"/>
        <d v="2020-05-22T00:00:00"/>
        <d v="2020-11-03T00:00:00"/>
        <d v="2021-05-03T00:00:00"/>
        <d v="2021-11-26T00:00:00"/>
        <d v="2020-10-17T00:00:00"/>
        <d v="2021-06-07T00:00:00"/>
        <d v="2021-05-26T00:00:00"/>
        <d v="2022-06-08T00:00:00"/>
        <d v="2022-10-18T00:00:00"/>
        <d v="2022-04-22T00:00:00"/>
        <d v="2022-05-22T00:00:00"/>
        <d v="2022-06-22T00:00:00"/>
        <d v="2022-07-22T00:00:00"/>
        <d v="2022-08-22T00:00:00"/>
        <d v="2024-03-03T00:00:00"/>
        <d v="2024-04-03T00:00:00"/>
        <d v="2024-05-03T00:00:00"/>
        <d v="2024-06-03T00:00:00"/>
        <d v="2024-07-03T00:00:00"/>
        <d v="2024-08-03T00:00:00"/>
        <d v="2024-09-03T00:00:00"/>
        <d v="2024-10-03T00:00:00"/>
        <d v="2024-11-03T00:00:00"/>
        <d v="2024-12-03T00:00:00"/>
        <d v="2025-01-03T00:00:00"/>
        <d v="2024-12-22T00:00:00"/>
        <d v="2025-03-03T00:00:00"/>
        <d v="2025-04-03T00:00:00"/>
        <d v="2025-05-03T00:00:00"/>
        <d v="2026-06-03T00:00:00"/>
        <d v="2026-07-03T00:00:00"/>
        <d v="2026-08-03T00:00:00"/>
        <d v="2027-09-03T00:00:00"/>
        <d v="2027-10-03T00:00:00"/>
        <d v="2027-11-03T00:00:00"/>
        <d v="2027-12-03T00:00:00"/>
        <d v="2028-01-03T00:00:00"/>
        <d v="2028-02-03T00:00:00"/>
        <d v="2028-03-03T00:00:00"/>
        <d v="1904-10-03T00:00:00"/>
        <d v="1904-11-01T00:00:00"/>
        <d v="1904-12-03T00:00:00"/>
        <d v="2028-07-03T00:00:00"/>
        <d v="2028-08-03T00:00:00"/>
        <d v="1905-03-01T00:00:00"/>
        <d v="1905-04-05T00:00:00"/>
        <d v="1905-05-03T00:00:00"/>
        <d v="1905-06-02T00:00:00"/>
        <d v="1905-07-02T00:00:00"/>
        <d v="1905-08-04T00:00:00"/>
        <d v="1905-09-02T00:00:00"/>
        <d v="2028-04-03T00:00:00"/>
        <d v="1905-10-30T00:00:00"/>
        <d v="2020-08-15T00:00:00" u="1"/>
        <d v="2019-09-06T00:00:00" u="1"/>
        <d v="2018-09-25T00:00:00" u="1"/>
        <d v="2020-07-15T00:00:00" u="1"/>
        <d v="2020-03-07T00:00:00" u="1"/>
        <d v="2023-08-01T00:00:00" u="1"/>
        <d v="2024-08-01T00:00:00" u="1"/>
        <d v="2023-11-16T00:00:00" u="1"/>
        <d v="2020-07-01T00:00:00" u="1"/>
        <d v="2024-11-16T00:00:00" u="1"/>
        <d v="2020-04-24T00:00:00" u="1"/>
        <d v="2020-06-15T00:00:00" u="1"/>
        <d v="2025-11-16T00:00:00" u="1"/>
        <d v="2021-04-24T00:00:00" u="1"/>
        <d v="2021-10-16T00:00:00" u="1"/>
        <d v="2019-06-27T00:00:00" u="1"/>
        <d v="2022-10-16T00:00:00" u="1"/>
        <d v="2020-05-15T00:00:00" u="1"/>
        <d v="2019-12-12T00:00:00" u="1"/>
        <d v="2023-06-01T00:00:00" u="1"/>
        <d v="2025-06-01T00:00:00" u="1"/>
        <d v="2020-01-19T00:00:00" u="1"/>
        <d v="2021-02-05T00:00:00" u="1"/>
        <d v="2021-02-24T00:00:00" u="1"/>
        <d v="2021-04-15T00:00:00" u="1"/>
        <d v="2023-05-20T00:00:00" u="1"/>
        <d v="2019-10-19T00:00:00" u="1"/>
        <d v="2021-01-05T00:00:00" u="1"/>
        <d v="2022-01-05T00:00:00" u="1"/>
        <d v="2022-04-01T00:00:00" u="1"/>
        <d v="2019-10-12T00:00:00" u="1"/>
        <d v="2020-09-07T00:00:00" u="1"/>
        <d v="2023-04-01T00:00:00" u="1"/>
        <d v="2025-04-01T00:00:00" u="1"/>
        <d v="2019-12-15T00:00:00" u="1"/>
        <d v="2020-02-15T00:00:00" u="1"/>
        <d v="2021-02-15T00:00:00" u="1"/>
        <d v="2022-03-01T00:00:00" u="1"/>
        <d v="2019-02-01T00:00:00" u="1"/>
        <d v="2018-11-15T00:00:00" u="1"/>
        <d v="2020-02-01T00:00:00" u="1"/>
        <d v="2021-02-01T00:00:00" u="1"/>
        <d v="2020-02-20T00:00:00" u="1"/>
        <d v="2021-03-06T00:00:00" u="1"/>
        <d v="2021-12-01T00:00:00" u="1"/>
        <d v="2022-02-01T00:00:00" u="1"/>
        <d v="2022-03-06T00:00:00" u="1"/>
        <d v="2022-12-01T00:00:00" u="1"/>
        <d v="2023-02-01T00:00:00" u="1"/>
        <d v="2020-04-30T00:00:00" u="1"/>
        <d v="2022-02-20T00:00:00" u="1"/>
        <d v="2024-12-01T00:00:00" u="1"/>
        <d v="2025-12-01T00:00:00" u="1"/>
        <d v="2020-01-01T00:00:00" u="1"/>
        <d v="2019-04-16T00:00:00" u="1"/>
        <d v="2020-08-24T00:00:00" u="1"/>
        <d v="2020-10-15T00:00:00" u="1"/>
        <d v="2021-08-24T00:00:00" u="1"/>
        <d v="2019-08-17T00:00:00" u="1"/>
        <d v="2022-01-20T00:00:00" u="1"/>
        <d v="2019-10-01T00:00:00" u="1"/>
        <d v="2020-10-01T00:00:00" u="1"/>
        <d v="2020-09-15T00:00:00" u="1"/>
        <d v="2021-03-16T00:00:00" u="1"/>
        <d v="2022-03-16T00:00:00" u="1"/>
        <d v="1901-05-30T00:00:00" u="1"/>
        <d v="2023-03-16T00:00:00" u="1"/>
        <d v="2019-09-01T00:00:00" u="1"/>
        <d v="2022-02-04T00:00:00" u="1"/>
        <d v="2024-03-16T00:00:00" u="1"/>
        <d v="2020-09-01T00:00:00" u="1"/>
        <d v="2025-03-16T00:00:00" u="1"/>
      </sharedItems>
    </cacheField>
    <cacheField name="Année Inauguration" numFmtId="0">
      <sharedItems containsBlank="1" containsMixedTypes="1" containsNumber="1" containsInteger="1" minValue="2013" maxValue="2018" count="8">
        <n v="2013"/>
        <n v="2014"/>
        <n v="2015"/>
        <n v="2016"/>
        <n v="2017"/>
        <n v="2018"/>
        <m/>
        <s v="invitation sem 26/11 au plus tard"/>
      </sharedItems>
    </cacheField>
    <cacheField name="Retard Inauguration (m)" numFmtId="0">
      <sharedItems containsMixedTypes="1" containsNumber="1" minValue="0" maxValue="32.1"/>
    </cacheField>
    <cacheField name="Loyer mensuel" numFmtId="0">
      <sharedItems containsString="0" containsBlank="1" containsNumber="1" minValue="2035" maxValue="38106.375015552585"/>
    </cacheField>
    <cacheField name="Perte loyer" numFmtId="3">
      <sharedItems containsMixedTypes="1" containsNumber="1" minValue="0" maxValue="843391.87190730055"/>
    </cacheField>
    <cacheField name="CAL" numFmtId="0">
      <sharedItems containsDate="1" containsBlank="1" containsMixedTypes="1" minDate="2016-10-27T00:00:00" maxDate="2018-08-17T00:00:00"/>
    </cacheField>
    <cacheField name="Fonds propres au démarrage" numFmtId="0">
      <sharedItems containsString="0" containsBlank="1" containsNumber="1" containsInteger="1" minValue="0" maxValue="368628"/>
    </cacheField>
    <cacheField name="Fonds propres actualisés" numFmtId="0">
      <sharedItems containsString="0" containsBlank="1" containsNumber="1" minValue="0" maxValue="406263"/>
    </cacheField>
    <cacheField name="IMPREVUS AU DEMARRAGE" numFmtId="3">
      <sharedItems containsBlank="1" containsMixedTypes="1" containsNumber="1" minValue="0" maxValue="491714.43721999996"/>
    </cacheField>
    <cacheField name="IMPREVUS ACTUALISES" numFmtId="0">
      <sharedItems containsString="0" containsBlank="1" containsNumber="1" minValue="0" maxValue="131635.37"/>
    </cacheField>
    <cacheField name="TS Correspondant à des imprévus chantier (or résiliation)" numFmtId="3">
      <sharedItems containsString="0" containsBlank="1" containsNumber="1" minValue="0" maxValue="713667.76899999997"/>
    </cacheField>
    <cacheField name="% TS / PRP" numFmtId="10">
      <sharedItems containsBlank="1" containsMixedTypes="1" containsNumber="1" minValue="0" maxValue="3.5947813466163943E-2"/>
    </cacheField>
    <cacheField name="RO successifs" numFmtId="0">
      <sharedItems containsBlank="1"/>
    </cacheField>
    <cacheField name="Résiliations marchés" numFmtId="0">
      <sharedItems containsBlank="1" longText="1"/>
    </cacheField>
    <cacheField name="Problémes chantier" numFmtId="0">
      <sharedItems containsBlank="1"/>
    </cacheField>
    <cacheField name="Observations générales" numFmtId="0">
      <sharedItems containsBlank="1" longText="1"/>
    </cacheField>
    <cacheField name="RFCT" numFmtId="164">
      <sharedItems containsDate="1" containsBlank="1" containsMixedTypes="1" minDate="2015-11-13T00:00:00" maxDate="2016-12-22T00:00:00"/>
    </cacheField>
    <cacheField name="H2" numFmtId="164">
      <sharedItems containsDate="1" containsBlank="1" containsMixedTypes="1" minDate="2017-04-26T00:00:00" maxDate="2018-03-08T00:00:00"/>
    </cacheField>
    <cacheField name="DGD" numFmtId="164">
      <sharedItems containsBlank="1"/>
    </cacheField>
    <cacheField name="DOE" numFmtId="164">
      <sharedItems containsDate="1" containsBlank="1" containsMixedTypes="1" minDate="2015-12-10T00:00:00" maxDate="2015-12-11T00:00:00"/>
    </cacheField>
    <cacheField name="Attestation conformité Mairie" numFmtId="0">
      <sharedItems containsDate="1" containsBlank="1" containsMixedTypes="1" minDate="2014-01-22T00:00:00" maxDate="2018-08-23T00:00:00"/>
    </cacheField>
    <cacheField name="Clôture DO" numFmtId="0">
      <sharedItems containsDate="1" containsBlank="1" containsMixedTypes="1" minDate="2015-03-19T00:00:00" maxDate="2018-11-15T00:00:00"/>
    </cacheField>
    <cacheField name="Fin GPA" numFmtId="0">
      <sharedItems containsDate="1" containsBlank="1" containsMixedTypes="1" minDate="1902-05-30T00:00:00" maxDate="2029-03-02T00:00:00"/>
    </cacheField>
    <cacheField name="Frais financiers clôture" numFmtId="0">
      <sharedItems containsString="0" containsBlank="1" containsNumber="1" minValue="0" maxValue="280724"/>
    </cacheField>
    <cacheField name="RDV pré-clôture avec RO" numFmtId="0">
      <sharedItems containsDate="1" containsBlank="1" containsMixedTypes="1" minDate="2014-10-03T00:00:00" maxDate="2018-02-23T00:00:00"/>
    </cacheField>
    <cacheField name="Transmission budget pré-clôture DAF" numFmtId="0">
      <sharedItems containsDate="1" containsBlank="1" containsMixedTypes="1" minDate="2014-10-06T00:00:00" maxDate="2018-11-16T00:00:00"/>
    </cacheField>
    <cacheField name="RDV clôture avec RO" numFmtId="0">
      <sharedItems containsDate="1" containsBlank="1" containsMixedTypes="1" minDate="2014-10-07T00:00:00" maxDate="2016-10-05T00:00:00"/>
    </cacheField>
    <cacheField name="Transmission budget DAF" numFmtId="0">
      <sharedItems containsDate="1" containsBlank="1" containsMixedTypes="1" minDate="2014-10-09T00:00:00" maxDate="2018-01-26T00:00:00"/>
    </cacheField>
    <cacheField name="Budget clôture validé DAF" numFmtId="0">
      <sharedItems containsNonDate="0" containsDate="1" containsString="0" containsBlank="1" minDate="2015-03-16T00:00:00" maxDate="2018-04-28T00:00:00"/>
    </cacheField>
    <cacheField name="Avenant global" numFmtId="0">
      <sharedItems containsBlank="1"/>
    </cacheField>
    <cacheField name="RDV RO DDAD" numFmtId="0">
      <sharedItems containsDate="1" containsBlank="1" containsMixedTypes="1" minDate="2016-02-26T00:00:00" maxDate="2017-09-21T00:00:00"/>
    </cacheField>
    <cacheField name="Dépôt DDA définitif" numFmtId="0">
      <sharedItems containsDate="1" containsBlank="1" containsMixedTypes="1" minDate="2015-04-27T00:00:00" maxDate="2018-08-25T00:00:00"/>
    </cacheField>
    <cacheField name="Agrément définitif" numFmtId="0">
      <sharedItems containsDate="1" containsBlank="1" containsMixedTypes="1" minDate="2017-04-26T00:00:00" maxDate="2017-04-27T00:00:00"/>
    </cacheField>
    <cacheField name="Baux" numFmtId="0">
      <sharedItems containsDate="1" containsBlank="1" containsMixedTypes="1" minDate="2017-03-14T00:00:00" maxDate="2018-08-04T00:00:00"/>
    </cacheField>
    <cacheField name="Rapport de fin d'opération" numFmtId="0">
      <sharedItems containsDate="1" containsBlank="1" containsMixedTypes="1" minDate="2018-02-08T00:00:00" maxDate="2018-02-09T00:00:00"/>
    </cacheField>
    <cacheField name="Transmission patrimoine" numFmtId="0">
      <sharedItems containsDate="1" containsBlank="1" containsMixedTypes="1" minDate="2015-04-20T00:00:00" maxDate="2018-04-25T00:00:00"/>
    </cacheField>
    <cacheField name="Archivage" numFmtId="0">
      <sharedItems containsDate="1" containsBlank="1" containsMixedTypes="1" minDate="2016-02-24T00:00:00" maxDate="2016-02-25T00:00:00"/>
    </cacheField>
    <cacheField name="Priorisation" numFmtId="0">
      <sharedItems containsBlank="1"/>
    </cacheField>
    <cacheField name="PRP CA" numFmtId="0">
      <sharedItems containsString="0" containsBlank="1" containsNumber="1" minValue="1547410" maxValue="14323815"/>
    </cacheField>
    <cacheField name="PRP TTC " numFmtId="165">
      <sharedItems containsSemiMixedTypes="0" containsString="0" containsNumber="1" minValue="0" maxValue="15377280.710000001"/>
    </cacheField>
    <cacheField name="PRP TTC  " numFmtId="0">
      <sharedItems containsSemiMixedTypes="0" containsString="0" containsNumber="1" minValue="0" maxValue="14364754"/>
    </cacheField>
    <cacheField name="PRP TTC HORS REHAB" numFmtId="0">
      <sharedItems containsString="0" containsBlank="1" containsNumber="1" minValue="0" maxValue="14364754"/>
    </cacheField>
    <cacheField name="ECART PRP" numFmtId="165">
      <sharedItems containsSemiMixedTypes="0" containsString="0" containsNumber="1" minValue="-5276624" maxValue="3202767"/>
    </cacheField>
    <cacheField name="PRP /m² SF" numFmtId="165">
      <sharedItems containsMixedTypes="1" containsNumber="1" minValue="0" maxValue="3338.263457349155"/>
    </cacheField>
    <cacheField name="PRP / lgt" numFmtId="165">
      <sharedItems containsMixedTypes="1" containsNumber="1" minValue="0" maxValue="203264.07222222222"/>
    </cacheField>
    <cacheField name="BE" numFmtId="0">
      <sharedItems containsString="0" containsBlank="1" containsNumber="1" minValue="970725" maxValue="14981542.360255377"/>
    </cacheField>
    <cacheField name="BE PRIORISE" numFmtId="165">
      <sharedItems containsString="0" containsBlank="1" containsNumber="1" minValue="0" maxValue="12989943"/>
    </cacheField>
    <cacheField name="% BE / PRP" numFmtId="0">
      <sharedItems containsBlank="1" containsMixedTypes="1" containsNumber="1" minValue="0" maxValue="1.1647617113577102"/>
    </cacheField>
    <cacheField name="CREDIT IMPOT" numFmtId="0">
      <sharedItems containsString="0" containsBlank="1" containsNumber="1" minValue="0" maxValue="4234760"/>
    </cacheField>
    <cacheField name="CREDIT IMPOT2" numFmtId="0">
      <sharedItems containsString="0" containsBlank="1" containsNumber="1" minValue="0" maxValue="4422509"/>
    </cacheField>
    <cacheField name="PRÊT CREDIT D'IMPOT (PM)" numFmtId="165">
      <sharedItems containsString="0" containsBlank="1" containsNumber="1" containsInteger="1" minValue="866176" maxValue="3306813"/>
    </cacheField>
    <cacheField name="DEFISC / lgt" numFmtId="165">
      <sharedItems containsBlank="1" containsMixedTypes="1" containsNumber="1" minValue="0" maxValue="70976.629629629635"/>
    </cacheField>
    <cacheField name="ECART DEFISC" numFmtId="0">
      <sharedItems containsString="0" containsBlank="1" containsNumber="1" minValue="-378191.10999999987" maxValue="3306813"/>
    </cacheField>
    <cacheField name="PRÊT " numFmtId="0">
      <sharedItems containsString="0" containsBlank="1" containsNumber="1" minValue="289664" maxValue="10921593"/>
    </cacheField>
    <cacheField name="PRÊT 2" numFmtId="0">
      <sharedItems containsString="0" containsBlank="1" containsNumber="1" minValue="0" maxValue="8282245"/>
    </cacheField>
    <cacheField name="FONCIER2" numFmtId="0">
      <sharedItems containsBlank="1" containsMixedTypes="1" containsNumber="1" minValue="85556" maxValue="1887032"/>
    </cacheField>
    <cacheField name="CONSTRUCTION" numFmtId="0">
      <sharedItems containsString="0" containsBlank="1" containsNumber="1" minValue="249856" maxValue="7004220"/>
    </cacheField>
    <cacheField name="ECART PRÊT" numFmtId="165">
      <sharedItems containsSemiMixedTypes="0" containsString="0" containsNumber="1" minValue="-5067534" maxValue="1772076"/>
    </cacheField>
    <cacheField name="PRÊT / lgt" numFmtId="0">
      <sharedItems containsMixedTypes="1" containsNumber="1" minValue="0" maxValue="133327.33333333334"/>
    </cacheField>
    <cacheField name="PRÊT COMPLEMENTAIRE" numFmtId="0">
      <sharedItems containsString="0" containsBlank="1" containsNumber="1" minValue="0" maxValue="1213559.17"/>
    </cacheField>
    <cacheField name="LBU y/c CAF " numFmtId="0">
      <sharedItems containsString="0" containsBlank="1" containsNumber="1" containsInteger="1" minValue="0" maxValue="2000000"/>
    </cacheField>
    <cacheField name="LBU " numFmtId="0">
      <sharedItems containsString="0" containsBlank="1" containsNumber="1" containsInteger="1" minValue="0" maxValue="1512000"/>
    </cacheField>
    <cacheField name="CAF" numFmtId="0">
      <sharedItems containsString="0" containsBlank="1" containsNumber="1" containsInteger="1" minValue="0" maxValue="415000"/>
    </cacheField>
    <cacheField name="% LBU / PRP" numFmtId="0">
      <sharedItems containsMixedTypes="1" containsNumber="1" minValue="0" maxValue="1"/>
    </cacheField>
    <cacheField name="PHBB" numFmtId="0">
      <sharedItems containsString="0" containsBlank="1" containsNumber="1" containsInteger="1" minValue="0" maxValue="717901"/>
    </cacheField>
    <cacheField name="AUTRES SUBVENTIONS" numFmtId="0">
      <sharedItems containsString="0" containsBlank="1" containsNumber="1" minValue="0" maxValue="2455687.71"/>
    </cacheField>
    <cacheField name="ECART LBU y/c CAF" numFmtId="0">
      <sharedItems containsString="0" containsBlank="1" containsNumber="1" minValue="-250000" maxValue="1310249"/>
    </cacheField>
    <cacheField name="LBU / lgt_x000a_" numFmtId="165">
      <sharedItems containsBlank="1" containsMixedTypes="1" containsNumber="1" minValue="0" maxValue="46945.481481481482"/>
    </cacheField>
    <cacheField name="LBU+Défisc/lgt" numFmtId="165">
      <sharedItems containsBlank="1" containsMixedTypes="1" containsNumber="1" minValue="0" maxValue="81986.53333333334"/>
    </cacheField>
    <cacheField name="ECART LBU/lgt" numFmtId="165">
      <sharedItems containsMixedTypes="1" containsNumber="1" minValue="-15625" maxValue="23000"/>
    </cacheField>
    <cacheField name="Loyer max" numFmtId="0">
      <sharedItems containsString="0" containsBlank="1" containsNumber="1" minValue="4.9400000000000004" maxValue="6.74"/>
    </cacheField>
    <cacheField name="Loyer d'équilibre" numFmtId="0">
      <sharedItems containsString="0" containsBlank="1" containsNumber="1" minValue="4.8499999999999996" maxValue="6.3"/>
    </cacheField>
    <cacheField name="PRP FRAFU hors TVA résiduelle" numFmtId="165">
      <sharedItems containsString="0" containsBlank="1" containsNumber="1" minValue="0" maxValue="2467086.73961312"/>
    </cacheField>
    <cacheField name="FRAFU" numFmtId="165">
      <sharedItems containsString="0" containsBlank="1" containsNumber="1" minValue="0" maxValue="1660000"/>
    </cacheField>
    <cacheField name="AIDES ETAT / lgt" numFmtId="165">
      <sharedItems containsBlank="1" containsMixedTypes="1" containsNumber="1" minValue="0" maxValue="148599.5"/>
    </cacheField>
    <cacheField name="SUBVENTION COLLECTIVITE FRAFU" numFmtId="165">
      <sharedItems containsString="0" containsBlank="1" containsNumber="1" minValue="0" maxValue="1220907.39295"/>
    </cacheField>
    <cacheField name="AIDES PUBLIQUES / lgt" numFmtId="165">
      <sharedItems containsMixedTypes="1" containsNumber="1" minValue="0" maxValue="267168.17749999999"/>
    </cacheField>
    <cacheField name="% AIDES PUBLIQUES" numFmtId="9">
      <sharedItems containsMixedTypes="1" containsNumber="1" minValue="0" maxValue="0.62937481320481981"/>
    </cacheField>
    <cacheField name="CESSION FONCIERE" numFmtId="165">
      <sharedItems containsString="0" containsBlank="1" containsNumber="1" minValue="0" maxValue="770132.02990000008"/>
    </cacheField>
    <cacheField name="FONDS PROPRES FRAFU" numFmtId="165">
      <sharedItems containsNonDate="0" containsString="0" containsBlank="1"/>
    </cacheField>
    <cacheField name="FONDS PROPRES CONSTRUCTION" numFmtId="165">
      <sharedItems containsString="0" containsBlank="1" containsNumber="1" minValue="0" maxValue="406263"/>
    </cacheField>
    <cacheField name="PRP GLOBAL" numFmtId="43">
      <sharedItems containsSemiMixedTypes="0" containsString="0" containsNumber="1" minValue="0" maxValue="16831840.73961312"/>
    </cacheField>
    <cacheField name="Contrôle" numFmtId="43">
      <sharedItems containsNonDate="0" containsString="0" containsBlank="1"/>
    </cacheField>
    <cacheField name="TERRAIN" numFmtId="43">
      <sharedItems containsString="0" containsBlank="1" containsNumber="1" minValue="437721.21" maxValue="437721.21"/>
    </cacheField>
    <cacheField name="VRD " numFmtId="43">
      <sharedItems containsString="0" containsBlank="1" containsNumber="1" minValue="1407363.8698499999" maxValue="1407363.8698499999"/>
    </cacheField>
    <cacheField name="TRAVAUX" numFmtId="43">
      <sharedItems containsString="0" containsBlank="1" containsNumber="1" minValue="2693678.6460500001" maxValue="2693678.6460500001"/>
    </cacheField>
    <cacheField name="HONORAIRES" numFmtId="43">
      <sharedItems containsString="0" containsBlank="1" containsNumber="1" containsInteger="1" minValue="715091" maxValue="715091"/>
    </cacheField>
    <cacheField name="HONORAIRES2" numFmtId="0">
      <sharedItems containsDate="1" containsString="0" containsBlank="1" containsMixedTypes="1" minDate="1900-01-03T15:04:04" maxDate="1900-01-05T02:26:05"/>
    </cacheField>
    <cacheField name="CUMUL" numFmtId="3">
      <sharedItems containsSemiMixedTypes="0" containsString="0" containsNumber="1" minValue="0" maxValue="482504"/>
    </cacheField>
    <cacheField name="NH PROG" numFmtId="0">
      <sharedItems containsNonDate="0" containsDate="1" containsString="0" containsBlank="1" minDate="2009-12-14T00:00:00" maxDate="2017-12-05T00:00:00"/>
    </cacheField>
    <cacheField name="NH PROG 10%" numFmtId="0">
      <sharedItems containsString="0" containsBlank="1" containsNumber="1" containsInteger="1" minValue="0" maxValue="210013"/>
    </cacheField>
    <cacheField name="NH ESQ" numFmtId="0">
      <sharedItems containsNonDate="0" containsDate="1" containsString="0" containsBlank="1" minDate="2017-12-11T00:00:00" maxDate="2017-12-22T00:00:00"/>
    </cacheField>
    <cacheField name="NH ESQ 5%" numFmtId="0">
      <sharedItems containsString="0" containsBlank="1" containsNumber="1" containsInteger="1" minValue="7809" maxValue="20695"/>
    </cacheField>
    <cacheField name="NH APS" numFmtId="0">
      <sharedItems containsDate="1" containsBlank="1" containsMixedTypes="1" minDate="2004-02-28T00:00:00" maxDate="2018-03-27T00:00:00"/>
    </cacheField>
    <cacheField name="NH APS 5%" numFmtId="0">
      <sharedItems containsString="0" containsBlank="1" containsNumber="1" minValue="0" maxValue="51495"/>
    </cacheField>
    <cacheField name="NH PC" numFmtId="0">
      <sharedItems containsNonDate="0" containsDate="1" containsString="0" containsBlank="1" minDate="2011-12-15T00:00:00" maxDate="2018-02-15T00:00:00"/>
    </cacheField>
    <cacheField name="NH PC 10%" numFmtId="0">
      <sharedItems containsString="0" containsBlank="1" containsNumber="1" minValue="0" maxValue="121749"/>
    </cacheField>
    <cacheField name="NH APD" numFmtId="0">
      <sharedItems containsDate="1" containsBlank="1" containsMixedTypes="1" minDate="1932-06-11T00:00:00" maxDate="2018-06-22T00:00:00"/>
    </cacheField>
    <cacheField name="NH APD 10%" numFmtId="0">
      <sharedItems containsString="0" containsBlank="1" containsNumber="1" minValue="10005" maxValue="113602"/>
    </cacheField>
    <cacheField name="NH PRO" numFmtId="0">
      <sharedItems containsDate="1" containsBlank="1" containsMixedTypes="1" minDate="1900-01-02T23:49:04" maxDate="2018-10-03T00:00:00"/>
    </cacheField>
    <cacheField name="NH PRO 10%" numFmtId="0">
      <sharedItems containsString="0" containsBlank="1" containsNumber="1" containsInteger="1" minValue="0" maxValue="144751"/>
    </cacheField>
    <cacheField name="NH CAO" numFmtId="0">
      <sharedItems containsNonDate="0" containsDate="1" containsString="0" containsBlank="1" minDate="2018-11-05T00:00:00" maxDate="2018-11-06T00:00:00"/>
    </cacheField>
    <cacheField name="NH CAO 5%" numFmtId="0">
      <sharedItems containsString="0" containsBlank="1" containsNumber="1" containsInteger="1" minValue="9617" maxValue="9617"/>
    </cacheField>
    <cacheField name="NH VEFA" numFmtId="0">
      <sharedItems containsDate="1" containsBlank="1" containsMixedTypes="1" minDate="2016-07-13T00:00:00" maxDate="2017-12-22T00:00:00"/>
    </cacheField>
    <cacheField name="NH VEFA 5%" numFmtId="0">
      <sharedItems containsString="0" containsBlank="1" containsNumber="1" minValue="7178" maxValue="129228"/>
    </cacheField>
    <cacheField name="NH OS" numFmtId="0">
      <sharedItems containsDate="1" containsBlank="1" containsMixedTypes="1" minDate="2016-07-13T00:00:00" maxDate="2018-07-10T00:00:00"/>
    </cacheField>
    <cacheField name="NH OS 10%" numFmtId="0">
      <sharedItems containsString="0" containsBlank="1" containsNumber="1" minValue="14356" maxValue="68549"/>
    </cacheField>
    <cacheField name="NH Fondations" numFmtId="0">
      <sharedItems containsDate="1" containsBlank="1" containsMixedTypes="1" minDate="2016-07-13T00:00:00" maxDate="2018-08-22T00:00:00"/>
    </cacheField>
    <cacheField name="NH Fondations 5%" numFmtId="0">
      <sharedItems containsString="0" containsBlank="1" containsNumber="1" minValue="3735" maxValue="80260"/>
    </cacheField>
    <cacheField name="NH R+1" numFmtId="0">
      <sharedItems containsDate="1" containsBlank="1" containsMixedTypes="1" minDate="2016-10-17T00:00:00" maxDate="2018-11-14T00:00:00"/>
    </cacheField>
    <cacheField name="NH R+1 5%" numFmtId="0">
      <sharedItems containsString="0" containsBlank="1" containsNumber="1" minValue="5451" maxValue="67499"/>
    </cacheField>
    <cacheField name="NH HDE" numFmtId="0">
      <sharedItems containsNonDate="0" containsDate="1" containsString="0" containsBlank="1" minDate="2017-03-28T00:00:00" maxDate="2018-08-30T00:00:00"/>
    </cacheField>
    <cacheField name="NH HDE 5%" numFmtId="0">
      <sharedItems containsBlank="1" containsMixedTypes="1" containsNumber="1" minValue="5070.5345622119812" maxValue="16776"/>
    </cacheField>
    <cacheField name="NH HDA" numFmtId="0">
      <sharedItems containsDate="1" containsBlank="1" containsMixedTypes="1" minDate="2017-06-16T00:00:00" maxDate="2018-11-09T00:00:00"/>
    </cacheField>
    <cacheField name="NH HDA 5%" numFmtId="0">
      <sharedItems containsString="0" containsBlank="1" containsNumber="1" containsInteger="1" minValue="7555" maxValue="16845"/>
    </cacheField>
    <cacheField name="NH CLOISONS" numFmtId="0">
      <sharedItems containsDate="1" containsBlank="1" containsMixedTypes="1" minDate="2017-07-05T00:00:00" maxDate="2018-10-26T00:00:00"/>
    </cacheField>
    <cacheField name="NH Cloisons 5%" numFmtId="0">
      <sharedItems containsString="0" containsBlank="1" containsNumber="1" minValue="7198" maxValue="24887"/>
    </cacheField>
    <cacheField name="NH DAT" numFmtId="0">
      <sharedItems containsDate="1" containsBlank="1" containsMixedTypes="1" minDate="1900-01-08T20:25:04" maxDate="1900-01-04T02:52:04"/>
    </cacheField>
    <cacheField name="NH DAT 3%" numFmtId="0">
      <sharedItems containsString="0" containsBlank="1" containsNumber="1" minValue="2535.2626728110604" maxValue="21809"/>
    </cacheField>
    <cacheField name="NH RDC" numFmtId="0">
      <sharedItems containsNonDate="0" containsDate="1" containsString="0" containsBlank="1" minDate="2017-08-17T00:00:00" maxDate="2018-08-22T00:00:00"/>
    </cacheField>
    <cacheField name="NH RDC 2%" numFmtId="0">
      <sharedItems containsString="0" containsBlank="1" containsNumber="1" minValue="3717" maxValue="19717"/>
    </cacheField>
    <cacheField name="Bilan final" numFmtId="0">
      <sharedItems containsNonDate="0" containsDate="1" containsString="0" containsBlank="1" minDate="2018-02-12T00:00:00" maxDate="2018-02-13T00:00:00"/>
    </cacheField>
    <cacheField name="NH bilan 5%" numFmtId="0">
      <sharedItems containsString="0" containsBlank="1" containsNumber="1" containsInteger="1" minValue="4271" maxValue="427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">
  <r>
    <s v="DESIRE"/>
    <m/>
    <x v="0"/>
    <x v="0"/>
    <x v="0"/>
    <s v="PRLC 0099"/>
    <s v="FHO"/>
    <m/>
    <x v="0"/>
    <s v="oui"/>
    <m/>
    <s v="rétrocession voirie Mairie à faire : solliciter la Commune_x000a_"/>
    <m/>
    <m/>
    <m/>
    <n v="9556"/>
    <n v="407560.68000000005"/>
    <n v="222180"/>
    <n v="15094.840000000002"/>
    <n v="42.649715362076186"/>
    <n v="23.250313938886563"/>
    <n v="100.51347010789659"/>
    <n v="8228.8888888888887"/>
    <n v="353.92592592592592"/>
    <m/>
    <n v="28.25449979070741"/>
    <s v="UC"/>
    <m/>
    <m/>
    <x v="0"/>
    <x v="0"/>
    <n v="27"/>
    <m/>
    <n v="27"/>
    <m/>
    <m/>
    <m/>
    <n v="2110.92"/>
    <m/>
    <n v="2210.4499999999998"/>
    <n v="81.868518518518513"/>
    <m/>
    <n v="0.22"/>
    <n v="0.3"/>
    <n v="0.3"/>
    <n v="0.19"/>
    <n v="1400"/>
    <m/>
    <n v="0"/>
    <n v="3"/>
    <s v="collectif"/>
    <s v="non"/>
    <m/>
    <m/>
    <m/>
    <m/>
    <d v="2011-09-30T00:00:00"/>
    <s v="SO"/>
    <s v="SO"/>
    <m/>
    <d v="2010-11-09T00:00:00"/>
    <m/>
    <m/>
    <m/>
    <m/>
    <m/>
    <m/>
    <m/>
    <m/>
    <d v="2013-02-02T00:00:00"/>
    <d v="2015-02-02T00:00:00"/>
    <d v="2016-02-02T00:00:00"/>
    <m/>
    <s v="non"/>
    <n v="30"/>
    <n v="333030"/>
    <n v="0"/>
    <m/>
    <m/>
    <m/>
    <m/>
    <m/>
    <m/>
    <m/>
    <m/>
    <m/>
    <m/>
    <m/>
    <m/>
    <m/>
    <m/>
    <m/>
    <m/>
    <m/>
    <m/>
    <m/>
    <s v="SO"/>
    <m/>
    <s v="SO"/>
    <s v="SO"/>
    <m/>
    <m/>
    <s v="SO"/>
    <m/>
    <m/>
    <m/>
    <m/>
    <s v="0"/>
    <m/>
    <m/>
    <s v="0"/>
    <m/>
    <m/>
    <s v="0"/>
    <m/>
    <m/>
    <s v="0"/>
    <m/>
    <m/>
    <s v="0"/>
    <m/>
    <m/>
    <m/>
    <m/>
    <s v="0"/>
    <m/>
    <x v="0"/>
    <x v="0"/>
    <n v="7.666666666666667"/>
    <s v="0"/>
    <n v="15"/>
    <n v="24"/>
    <m/>
    <m/>
    <s v="0"/>
    <m/>
    <m/>
    <s v="0"/>
    <m/>
    <m/>
    <s v="0"/>
    <m/>
    <m/>
    <s v="0"/>
    <m/>
    <m/>
    <s v="0"/>
    <m/>
    <m/>
    <s v="0"/>
    <m/>
    <m/>
    <s v="0"/>
    <m/>
    <m/>
    <m/>
    <d v="2012-09-27T00:00:00"/>
    <d v="2013-07-09T00:00:00"/>
    <n v="9.5"/>
    <m/>
    <d v="2013-11-28T00:00:00"/>
    <s v="ok"/>
    <d v="2013-07-26T00:00:00"/>
    <m/>
    <d v="2012-10-27T00:00:00"/>
    <x v="0"/>
    <x v="0"/>
    <n v="9.0666666666666664"/>
    <n v="11101"/>
    <n v="100649.06666666667"/>
    <m/>
    <m/>
    <n v="1409"/>
    <m/>
    <m/>
    <m/>
    <n v="0"/>
    <m/>
    <s v="Lot Charpente : BCCM par CMOI_x000a_Lot Peinture/Sol : RSOP par Corail_x000a_Lot Etanchéité : RVD par Corail_x000a_Lot ECS : Sunzil par Gaia _x000a_Soit 4 lots / 14 lots  =  28 % "/>
    <m/>
    <m/>
    <m/>
    <m/>
    <m/>
    <m/>
    <m/>
    <m/>
    <d v="2014-07-09T00:00:00"/>
    <n v="51423"/>
    <s v="ok"/>
    <m/>
    <d v="2014-10-14T00:00:00"/>
    <s v="attente doc signé"/>
    <m/>
    <s v="SO"/>
    <m/>
    <s v="SO"/>
    <m/>
    <m/>
    <m/>
    <d v="2015-04-20T00:00:00"/>
    <d v="2016-02-24T00:00:00"/>
    <m/>
    <m/>
    <n v="3574937"/>
    <n v="3574937"/>
    <n v="3574937"/>
    <n v="0"/>
    <n v="1693.5445208724157"/>
    <n v="132405.07407407407"/>
    <m/>
    <n v="0"/>
    <n v="0"/>
    <n v="0"/>
    <n v="0"/>
    <m/>
    <n v="0"/>
    <n v="0"/>
    <n v="2306000"/>
    <n v="2306000"/>
    <n v="511146"/>
    <n v="1794854"/>
    <n v="0"/>
    <n v="85407.407407407401"/>
    <m/>
    <n v="1362028"/>
    <n v="1267528"/>
    <n v="94500"/>
    <n v="0.35455953489530023"/>
    <m/>
    <m/>
    <n v="-94500"/>
    <n v="46945.481481481482"/>
    <n v="46945.481481481482"/>
    <n v="-3500"/>
    <m/>
    <m/>
    <n v="1734704.6581725003"/>
    <n v="660000"/>
    <n v="71389.925925925927"/>
    <n v="767026.95965000009"/>
    <n v="99798.331838888887"/>
    <n v="0.52964624417787332"/>
    <n v="222180"/>
    <m/>
    <n v="1409"/>
    <n v="5309641.6581725003"/>
    <m/>
    <n v="437721.21"/>
    <n v="1407363.8698499999"/>
    <n v="2693678.6460500001"/>
    <n v="715091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JULES VIENNE"/>
    <m/>
    <x v="0"/>
    <x v="0"/>
    <x v="0"/>
    <s v="PRLC 0098"/>
    <s v="FMA"/>
    <s v="SRI"/>
    <x v="0"/>
    <m/>
    <m/>
    <s v="vente des lots à faire : signature SICA en mai 2017_x000a_voie à rétrocéder à l'issue du contentieux"/>
    <m/>
    <m/>
    <m/>
    <n v="9462"/>
    <n v="874165.66"/>
    <n v="262890"/>
    <n v="29138.855333333333"/>
    <n v="92.386985838089203"/>
    <n v="27.783766645529486"/>
    <n v="117.46438848277958"/>
    <n v="8763"/>
    <n v="315.39999999999998"/>
    <n v="379.2"/>
    <n v="31.705770450221941"/>
    <s v="UC"/>
    <m/>
    <m/>
    <x v="0"/>
    <x v="1"/>
    <n v="30"/>
    <m/>
    <n v="30"/>
    <m/>
    <m/>
    <m/>
    <n v="2238.04"/>
    <m/>
    <n v="2238.04"/>
    <n v="74.601333333333329"/>
    <m/>
    <n v="0.17"/>
    <n v="0.37"/>
    <n v="0.33"/>
    <n v="0.13"/>
    <n v="1419.56"/>
    <n v="664"/>
    <n v="7.0175438596491224E-2"/>
    <m/>
    <s v="collectif"/>
    <s v="non"/>
    <m/>
    <m/>
    <m/>
    <m/>
    <d v="2011-09-30T00:00:00"/>
    <s v="SO"/>
    <s v="SO"/>
    <m/>
    <d v="2010-11-09T00:00:00"/>
    <m/>
    <m/>
    <m/>
    <m/>
    <m/>
    <m/>
    <m/>
    <m/>
    <d v="2013-02-03T00:00:00"/>
    <d v="2015-02-03T00:00:00"/>
    <d v="2016-02-03T00:00:00"/>
    <m/>
    <s v="non"/>
    <n v="24"/>
    <n v="286272"/>
    <n v="0"/>
    <m/>
    <m/>
    <m/>
    <m/>
    <m/>
    <m/>
    <m/>
    <m/>
    <m/>
    <m/>
    <m/>
    <m/>
    <m/>
    <m/>
    <m/>
    <m/>
    <m/>
    <m/>
    <m/>
    <s v="SO"/>
    <s v="SO"/>
    <s v="SO"/>
    <s v="SO"/>
    <m/>
    <s v="SO"/>
    <s v="SO"/>
    <m/>
    <m/>
    <m/>
    <m/>
    <s v="0"/>
    <m/>
    <m/>
    <s v="0"/>
    <m/>
    <m/>
    <s v="0"/>
    <m/>
    <m/>
    <s v="0"/>
    <m/>
    <m/>
    <s v="0"/>
    <m/>
    <m/>
    <m/>
    <m/>
    <s v="0"/>
    <m/>
    <x v="1"/>
    <x v="1"/>
    <n v="15.133333333333333"/>
    <s v="0"/>
    <n v="15"/>
    <n v="21"/>
    <m/>
    <m/>
    <s v="0"/>
    <m/>
    <m/>
    <s v="0"/>
    <m/>
    <m/>
    <s v="0"/>
    <m/>
    <m/>
    <s v="0"/>
    <m/>
    <m/>
    <s v="0"/>
    <m/>
    <m/>
    <s v="0"/>
    <m/>
    <m/>
    <s v="0"/>
    <m/>
    <m/>
    <m/>
    <d v="2013-05-06T00:00:00"/>
    <d v="2013-11-23T00:00:00"/>
    <n v="6.7"/>
    <m/>
    <d v="2014-01-30T00:00:00"/>
    <s v="ok"/>
    <d v="2014-01-24T00:00:00"/>
    <m/>
    <d v="2013-06-06T00:00:00"/>
    <x v="1"/>
    <x v="1"/>
    <n v="7.7333333333333334"/>
    <n v="11928"/>
    <n v="92243.199999999997"/>
    <m/>
    <m/>
    <n v="70784"/>
    <m/>
    <m/>
    <m/>
    <n v="0"/>
    <m/>
    <s v="Lot Couverture : BCCM par GMF_x000a_soit 1 lot sur 14_x000a_2 RO"/>
    <m/>
    <m/>
    <m/>
    <m/>
    <s v="ok"/>
    <s v="ok"/>
    <m/>
    <d v="2016-11-23T00:00:00"/>
    <d v="2014-11-23T00:00:00"/>
    <n v="59348.24"/>
    <s v="ok"/>
    <m/>
    <d v="2014-10-13T00:00:00"/>
    <d v="2014-10-16T00:00:00"/>
    <m/>
    <m/>
    <m/>
    <s v="SO"/>
    <m/>
    <m/>
    <m/>
    <m/>
    <m/>
    <m/>
    <m/>
    <n v="3911389"/>
    <n v="3911389"/>
    <n v="3911389"/>
    <n v="0"/>
    <n v="1747.6850279709031"/>
    <n v="130379.63333333333"/>
    <m/>
    <m/>
    <n v="0"/>
    <n v="0"/>
    <n v="0"/>
    <m/>
    <n v="0"/>
    <n v="0"/>
    <n v="2481000"/>
    <n v="2481000"/>
    <n v="486094"/>
    <n v="1994906"/>
    <n v="0"/>
    <n v="82700"/>
    <m/>
    <n v="1359605"/>
    <n v="1359605"/>
    <m/>
    <n v="0.34760158092176463"/>
    <m/>
    <m/>
    <n v="0"/>
    <n v="45320.166666666664"/>
    <n v="45320.166666666664"/>
    <n v="0"/>
    <m/>
    <m/>
    <n v="2106869"/>
    <n v="550000"/>
    <n v="63653.5"/>
    <n v="1220907.39295"/>
    <n v="104350.41309833335"/>
    <n v="0.5439291445742479"/>
    <n v="262890"/>
    <m/>
    <n v="70784"/>
    <n v="6018258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Oiseaux du Paradis "/>
    <m/>
    <x v="1"/>
    <x v="0"/>
    <x v="1"/>
    <s v="PRLC 0123"/>
    <s v="NBL"/>
    <m/>
    <x v="0"/>
    <m/>
    <m/>
    <m/>
    <m/>
    <m/>
    <m/>
    <n v="4531"/>
    <n v="799078"/>
    <n v="799078"/>
    <n v="34742.521739130432"/>
    <n v="176.35797837122047"/>
    <n v="176.35797837122047"/>
    <n v="416.95086825847386"/>
    <n v="34742.521739130432"/>
    <n v="197"/>
    <m/>
    <n v="50.761421319796952"/>
    <s v="U3"/>
    <m/>
    <m/>
    <x v="1"/>
    <x v="2"/>
    <n v="23"/>
    <n v="23"/>
    <m/>
    <m/>
    <m/>
    <n v="1916.48"/>
    <n v="1916.48"/>
    <n v="1916.48"/>
    <n v="1916.48"/>
    <n v="83.325217391304349"/>
    <m/>
    <m/>
    <m/>
    <m/>
    <m/>
    <m/>
    <m/>
    <n v="0"/>
    <n v="2.5"/>
    <s v="collectif"/>
    <s v="non"/>
    <n v="3772000"/>
    <n v="1968.1916847553848"/>
    <m/>
    <m/>
    <d v="2011-09-30T00:00:00"/>
    <s v="INGEPAR"/>
    <s v="LS 12"/>
    <m/>
    <d v="2011-07-06T00:00:00"/>
    <m/>
    <m/>
    <m/>
    <m/>
    <m/>
    <m/>
    <m/>
    <m/>
    <d v="2013-02-04T00:00:00"/>
    <d v="2015-02-04T00:00:00"/>
    <d v="2016-02-04T00:00:00"/>
    <m/>
    <s v="non"/>
    <n v="30"/>
    <n v="363480"/>
    <n v="0"/>
    <m/>
    <m/>
    <m/>
    <m/>
    <m/>
    <m/>
    <m/>
    <m/>
    <m/>
    <m/>
    <m/>
    <m/>
    <m/>
    <m/>
    <m/>
    <m/>
    <m/>
    <m/>
    <s v="QUINOT"/>
    <d v="2012-12-21T00:00:00"/>
    <m/>
    <n v="3694417.2380019594"/>
    <s v="SO"/>
    <m/>
    <d v="2012-03-16T00:00:00"/>
    <d v="2013-03-31T00:00:00"/>
    <n v="4.0666666666666664"/>
    <m/>
    <m/>
    <m/>
    <s v="0"/>
    <m/>
    <m/>
    <s v="0"/>
    <m/>
    <m/>
    <s v="0"/>
    <m/>
    <m/>
    <s v="0"/>
    <m/>
    <m/>
    <s v="0"/>
    <m/>
    <m/>
    <m/>
    <m/>
    <s v="0"/>
    <m/>
    <x v="2"/>
    <x v="0"/>
    <n v="5.6"/>
    <s v="0"/>
    <n v="16"/>
    <n v="18"/>
    <m/>
    <m/>
    <s v="0"/>
    <m/>
    <m/>
    <s v="0"/>
    <m/>
    <m/>
    <s v="0"/>
    <m/>
    <m/>
    <s v="0"/>
    <m/>
    <m/>
    <s v="0"/>
    <m/>
    <m/>
    <s v="0"/>
    <m/>
    <m/>
    <s v="0"/>
    <m/>
    <m/>
    <m/>
    <d v="2013-04-21T00:00:00"/>
    <d v="2013-07-18T00:00:00"/>
    <n v="2.9333333333333331"/>
    <m/>
    <d v="2013-07-15T00:00:00"/>
    <s v="ok"/>
    <d v="2013-07-31T00:00:00"/>
    <m/>
    <d v="2013-05-21T00:00:00"/>
    <x v="2"/>
    <x v="0"/>
    <n v="2.3666666666666667"/>
    <n v="12116"/>
    <n v="28674.533333333333"/>
    <m/>
    <m/>
    <n v="0"/>
    <m/>
    <m/>
    <m/>
    <n v="0"/>
    <m/>
    <m/>
    <m/>
    <m/>
    <m/>
    <m/>
    <m/>
    <m/>
    <m/>
    <m/>
    <d v="2014-07-18T00:00:00"/>
    <n v="0"/>
    <s v="ok"/>
    <m/>
    <m/>
    <s v="25/09/2014 : à détailler plus"/>
    <m/>
    <s v="ok"/>
    <m/>
    <d v="2016-10-21T00:00:00"/>
    <m/>
    <m/>
    <m/>
    <s v="ok"/>
    <s v="ok"/>
    <m/>
    <m/>
    <n v="4024614"/>
    <n v="4024614"/>
    <n v="4024614"/>
    <n v="0"/>
    <n v="2100.0031307396894"/>
    <n v="174983.21739130435"/>
    <n v="3671820"/>
    <m/>
    <n v="0.93150006932341833"/>
    <n v="1191366"/>
    <n v="1191366"/>
    <m/>
    <n v="51798.521739130432"/>
    <n v="0"/>
    <n v="2593661"/>
    <n v="2593661"/>
    <n v="592565"/>
    <n v="2001096"/>
    <n v="0"/>
    <n v="112767.86956521739"/>
    <n v="0"/>
    <n v="239587"/>
    <n v="239587"/>
    <m/>
    <n v="5.9530429502059078E-2"/>
    <m/>
    <n v="0"/>
    <n v="0"/>
    <n v="10416.826086956522"/>
    <n v="62215.34782608696"/>
    <n v="0"/>
    <m/>
    <m/>
    <n v="0"/>
    <n v="0"/>
    <n v="62215.34782608696"/>
    <n v="0"/>
    <n v="62215.34782608696"/>
    <n v="0.3555503707933233"/>
    <m/>
    <m/>
    <n v="0"/>
    <n v="402461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Les Pechers "/>
    <m/>
    <x v="2"/>
    <x v="1"/>
    <x v="1"/>
    <s v="PRLC 0105"/>
    <s v="FMA"/>
    <s v="SRI"/>
    <x v="0"/>
    <m/>
    <m/>
    <m/>
    <m/>
    <m/>
    <m/>
    <n v="3280"/>
    <n v="700000"/>
    <n v="700000"/>
    <n v="35000"/>
    <n v="213.41463414634146"/>
    <n v="213.41463414634146"/>
    <n v="409.99209300963486"/>
    <n v="35000"/>
    <n v="164"/>
    <m/>
    <n v="60.975609756097562"/>
    <s v="UC"/>
    <m/>
    <m/>
    <x v="1"/>
    <x v="3"/>
    <n v="20"/>
    <n v="20"/>
    <m/>
    <m/>
    <m/>
    <n v="1707.35"/>
    <n v="1707.35"/>
    <n v="1707.35"/>
    <n v="1707.35"/>
    <n v="85.367499999999993"/>
    <n v="0"/>
    <n v="0"/>
    <n v="0.1"/>
    <n v="0.9"/>
    <n v="0"/>
    <n v="461.7"/>
    <m/>
    <n v="0"/>
    <n v="2"/>
    <s v="collectif"/>
    <s v="non"/>
    <n v="3506440.94"/>
    <n v="2053.7329428646735"/>
    <m/>
    <m/>
    <d v="2011-09-30T00:00:00"/>
    <s v="INGEPAR"/>
    <s v="LS 4"/>
    <m/>
    <d v="2011-06-28T00:00:00"/>
    <m/>
    <m/>
    <m/>
    <m/>
    <m/>
    <m/>
    <m/>
    <m/>
    <d v="2013-02-05T00:00:00"/>
    <d v="2015-02-05T00:00:00"/>
    <d v="2016-02-05T00:00:00"/>
    <m/>
    <s v="non"/>
    <n v="28"/>
    <n v="295848"/>
    <n v="0"/>
    <m/>
    <m/>
    <m/>
    <m/>
    <m/>
    <m/>
    <m/>
    <m/>
    <m/>
    <m/>
    <m/>
    <m/>
    <m/>
    <m/>
    <m/>
    <m/>
    <m/>
    <m/>
    <s v="BELLANGER"/>
    <d v="2012-12-22T00:00:00"/>
    <m/>
    <n v="3434319.2948090113"/>
    <s v="SO"/>
    <m/>
    <d v="2012-05-15T00:00:00"/>
    <d v="2013-07-22T00:00:00"/>
    <n v="1.7333333333333334"/>
    <m/>
    <m/>
    <m/>
    <s v="0"/>
    <m/>
    <m/>
    <s v="0"/>
    <m/>
    <m/>
    <s v="0"/>
    <m/>
    <m/>
    <s v="0"/>
    <m/>
    <m/>
    <s v="0"/>
    <m/>
    <m/>
    <m/>
    <m/>
    <s v="0"/>
    <m/>
    <x v="3"/>
    <x v="0"/>
    <n v="5.9"/>
    <s v="0"/>
    <n v="15"/>
    <n v="19"/>
    <m/>
    <m/>
    <s v="0"/>
    <m/>
    <m/>
    <s v="0"/>
    <m/>
    <m/>
    <s v="0"/>
    <m/>
    <m/>
    <s v="0"/>
    <m/>
    <m/>
    <s v="0"/>
    <m/>
    <m/>
    <s v="0"/>
    <m/>
    <m/>
    <s v="0"/>
    <m/>
    <m/>
    <m/>
    <d v="2013-03-22T00:00:00"/>
    <d v="2013-08-14T00:00:00"/>
    <n v="4.833333333333333"/>
    <m/>
    <d v="2013-06-04T00:00:00"/>
    <s v="ok"/>
    <d v="2013-08-22T00:00:00"/>
    <m/>
    <d v="2013-04-22T00:00:00"/>
    <x v="3"/>
    <x v="0"/>
    <n v="4.7666666666666666"/>
    <n v="10566"/>
    <n v="50364.6"/>
    <m/>
    <m/>
    <n v="0"/>
    <m/>
    <m/>
    <m/>
    <n v="0"/>
    <m/>
    <m/>
    <m/>
    <m/>
    <m/>
    <m/>
    <m/>
    <m/>
    <m/>
    <m/>
    <d v="2014-08-14T00:00:00"/>
    <n v="0"/>
    <s v="13/10/14 DPR"/>
    <s v="ok"/>
    <s v="ok"/>
    <d v="2014-10-20T00:00:00"/>
    <m/>
    <s v="ok"/>
    <m/>
    <d v="2015-06-23T00:00:00"/>
    <m/>
    <m/>
    <m/>
    <s v="ok"/>
    <s v="ok"/>
    <m/>
    <m/>
    <n v="3732556"/>
    <n v="3732556"/>
    <n v="3732556"/>
    <n v="0"/>
    <n v="2186.1692095938151"/>
    <n v="186627.8"/>
    <n v="3491780"/>
    <m/>
    <n v="0.95513835023506677"/>
    <n v="1090090"/>
    <n v="1090090"/>
    <m/>
    <n v="54504.5"/>
    <n v="0"/>
    <n v="2287466"/>
    <n v="2287466"/>
    <n v="616923"/>
    <n v="1670543"/>
    <n v="0"/>
    <n v="114373.3"/>
    <n v="0"/>
    <n v="355000"/>
    <n v="355000"/>
    <m/>
    <n v="9.5109088785272078E-2"/>
    <m/>
    <n v="0"/>
    <n v="0"/>
    <n v="17750"/>
    <n v="72254.5"/>
    <n v="0"/>
    <m/>
    <m/>
    <n v="0"/>
    <n v="0"/>
    <n v="72254.5"/>
    <n v="0"/>
    <n v="72254.5"/>
    <n v="0.38715829045833472"/>
    <m/>
    <m/>
    <n v="0"/>
    <n v="373255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LLS  Les Rosiers "/>
    <m/>
    <x v="2"/>
    <x v="1"/>
    <x v="1"/>
    <s v="PRLC 0124"/>
    <m/>
    <m/>
    <x v="0"/>
    <m/>
    <m/>
    <m/>
    <m/>
    <m/>
    <m/>
    <n v="5169"/>
    <n v="830607"/>
    <n v="830607"/>
    <n v="9771.8470588235286"/>
    <n v="160.69007544979686"/>
    <n v="160.69007544979686"/>
    <n v="110.98154910551443"/>
    <n v="9771.8470588235286"/>
    <n v="60.811764705882354"/>
    <m/>
    <n v="98.665118978525825"/>
    <s v="UB"/>
    <m/>
    <m/>
    <x v="1"/>
    <x v="4"/>
    <n v="51"/>
    <n v="51"/>
    <m/>
    <m/>
    <m/>
    <n v="4165.7300000000005"/>
    <n v="4837.3599999999997"/>
    <n v="4837.3599999999997"/>
    <n v="4837.3599999999997"/>
    <n v="94.850196078431367"/>
    <m/>
    <m/>
    <m/>
    <m/>
    <m/>
    <n v="900"/>
    <n v="0"/>
    <n v="0"/>
    <m/>
    <s v="collectif"/>
    <s v="oui"/>
    <n v="8947368.421052631"/>
    <n v="1849.6387329147783"/>
    <m/>
    <m/>
    <d v="2011-09-30T00:00:00"/>
    <s v="INGEPAR"/>
    <s v="LS 11"/>
    <m/>
    <d v="2011-06-28T00:00:00"/>
    <d v="2015-11-09T00:00:00"/>
    <m/>
    <m/>
    <m/>
    <m/>
    <m/>
    <m/>
    <m/>
    <d v="2013-02-06T00:00:00"/>
    <d v="2015-02-06T00:00:00"/>
    <d v="2016-02-06T00:00:00"/>
    <m/>
    <s v="non"/>
    <n v="23"/>
    <n v="703064"/>
    <n v="0"/>
    <m/>
    <m/>
    <m/>
    <m/>
    <m/>
    <m/>
    <m/>
    <m/>
    <m/>
    <m/>
    <m/>
    <m/>
    <m/>
    <m/>
    <m/>
    <m/>
    <m/>
    <m/>
    <s v="BARET/GILLOT"/>
    <d v="2011-12-21T00:00:00"/>
    <m/>
    <n v="9794319.2948090117"/>
    <s v="SO"/>
    <m/>
    <d v="2012-09-24T00:00:00"/>
    <d v="2013-10-21T00:00:00"/>
    <n v="3.8333333333333335"/>
    <m/>
    <m/>
    <m/>
    <s v="0"/>
    <m/>
    <m/>
    <s v="0"/>
    <m/>
    <m/>
    <s v="0"/>
    <m/>
    <m/>
    <s v="0"/>
    <m/>
    <m/>
    <s v="0"/>
    <m/>
    <m/>
    <m/>
    <m/>
    <s v="0"/>
    <m/>
    <x v="2"/>
    <x v="0"/>
    <n v="5.8666666666666663"/>
    <s v="0"/>
    <n v="22"/>
    <n v="22"/>
    <m/>
    <m/>
    <s v="0"/>
    <m/>
    <m/>
    <s v="0"/>
    <m/>
    <m/>
    <s v="0"/>
    <m/>
    <m/>
    <s v="0"/>
    <m/>
    <m/>
    <s v="0"/>
    <m/>
    <m/>
    <s v="0"/>
    <m/>
    <m/>
    <s v="0"/>
    <m/>
    <m/>
    <m/>
    <d v="2013-10-21T00:00:00"/>
    <d v="2013-10-21T00:00:00"/>
    <n v="0"/>
    <m/>
    <d v="2013-12-03T00:00:00"/>
    <s v="ok"/>
    <d v="2014-02-13T00:00:00"/>
    <m/>
    <d v="2013-11-21T00:00:00"/>
    <x v="4"/>
    <x v="1"/>
    <n v="2.8"/>
    <n v="30568"/>
    <n v="85590.399999999994"/>
    <m/>
    <m/>
    <n v="0"/>
    <m/>
    <m/>
    <m/>
    <n v="0"/>
    <m/>
    <m/>
    <m/>
    <m/>
    <m/>
    <m/>
    <m/>
    <m/>
    <m/>
    <m/>
    <d v="2014-10-21T00:00:00"/>
    <n v="0"/>
    <s v="14/10/14 DPR"/>
    <s v="ok"/>
    <m/>
    <m/>
    <m/>
    <m/>
    <m/>
    <d v="2015-04-27T00:00:00"/>
    <m/>
    <m/>
    <m/>
    <m/>
    <m/>
    <m/>
    <m/>
    <n v="9522775"/>
    <n v="9522775"/>
    <n v="9522775"/>
    <n v="0"/>
    <n v="1968.5892718342238"/>
    <n v="186721.07843137256"/>
    <m/>
    <m/>
    <n v="0"/>
    <n v="2932668"/>
    <n v="2932668"/>
    <m/>
    <n v="57503.294117647056"/>
    <n v="0"/>
    <n v="6290107"/>
    <n v="6290107"/>
    <n v="1887032"/>
    <n v="4403075"/>
    <n v="0"/>
    <n v="123335.43137254902"/>
    <n v="0"/>
    <n v="300000"/>
    <n v="300000"/>
    <m/>
    <n v="3.150342205922118E-2"/>
    <m/>
    <n v="0"/>
    <n v="0"/>
    <n v="5882.3529411764703"/>
    <n v="63385.647058823532"/>
    <n v="0"/>
    <m/>
    <m/>
    <n v="0"/>
    <n v="0"/>
    <n v="63385.647058823532"/>
    <n v="0"/>
    <n v="63385.647058823532"/>
    <n v="0.33946701460446144"/>
    <m/>
    <m/>
    <n v="0"/>
    <n v="95227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LLTS Les Rosiers "/>
    <m/>
    <x v="2"/>
    <x v="1"/>
    <x v="1"/>
    <s v="PRLC 0124"/>
    <m/>
    <m/>
    <x v="0"/>
    <m/>
    <m/>
    <m/>
    <m/>
    <m/>
    <m/>
    <m/>
    <m/>
    <m/>
    <m/>
    <m/>
    <m/>
    <m/>
    <m/>
    <m/>
    <m/>
    <e v="#DIV/0!"/>
    <s v="UB"/>
    <m/>
    <m/>
    <x v="0"/>
    <x v="5"/>
    <n v="6"/>
    <m/>
    <n v="6"/>
    <m/>
    <m/>
    <n v="391.83999999999992"/>
    <n v="470.86"/>
    <n v="470.86"/>
    <n v="470.86"/>
    <n v="78.476666666666674"/>
    <m/>
    <m/>
    <m/>
    <m/>
    <m/>
    <m/>
    <n v="0"/>
    <e v="#DIV/0!"/>
    <m/>
    <s v="collectif"/>
    <s v="oui"/>
    <n v="1052631.5789473683"/>
    <n v="2235.5510745176239"/>
    <m/>
    <m/>
    <d v="2011-09-30T00:00:00"/>
    <s v="INGEPAR"/>
    <s v="LS 11"/>
    <m/>
    <d v="2011-07-06T00:00:00"/>
    <d v="2015-11-09T00:00:00"/>
    <m/>
    <m/>
    <m/>
    <m/>
    <m/>
    <m/>
    <m/>
    <d v="2013-02-07T00:00:00"/>
    <d v="2015-02-07T00:00:00"/>
    <d v="2016-02-07T00:00:00"/>
    <m/>
    <s v="non"/>
    <n v="23"/>
    <n v="57546"/>
    <n v="0"/>
    <m/>
    <m/>
    <m/>
    <m/>
    <m/>
    <m/>
    <m/>
    <m/>
    <m/>
    <m/>
    <m/>
    <m/>
    <m/>
    <m/>
    <m/>
    <m/>
    <m/>
    <m/>
    <m/>
    <d v="2012-12-21T00:00:00"/>
    <m/>
    <m/>
    <s v="SO"/>
    <m/>
    <d v="2012-09-24T00:00:00"/>
    <m/>
    <m/>
    <m/>
    <m/>
    <m/>
    <s v="0"/>
    <m/>
    <m/>
    <s v="0"/>
    <m/>
    <m/>
    <s v="0"/>
    <m/>
    <m/>
    <s v="0"/>
    <m/>
    <m/>
    <s v="0"/>
    <m/>
    <m/>
    <m/>
    <m/>
    <s v="0"/>
    <m/>
    <x v="2"/>
    <x v="0"/>
    <n v="5.6"/>
    <s v="0"/>
    <n v="22"/>
    <n v="22"/>
    <m/>
    <m/>
    <s v="0"/>
    <m/>
    <m/>
    <s v="0"/>
    <m/>
    <m/>
    <s v="0"/>
    <m/>
    <m/>
    <s v="0"/>
    <m/>
    <m/>
    <s v="0"/>
    <m/>
    <m/>
    <s v="0"/>
    <m/>
    <m/>
    <s v="0"/>
    <m/>
    <m/>
    <m/>
    <d v="2013-10-21T00:00:00"/>
    <d v="2013-10-21T00:00:00"/>
    <n v="0"/>
    <m/>
    <d v="2013-12-03T00:00:00"/>
    <s v="ok"/>
    <d v="2014-02-13T00:00:00"/>
    <m/>
    <d v="2013-11-21T00:00:00"/>
    <x v="4"/>
    <x v="1"/>
    <n v="2.8"/>
    <n v="2502"/>
    <n v="7005.5999999999995"/>
    <m/>
    <m/>
    <n v="0"/>
    <m/>
    <m/>
    <m/>
    <n v="0"/>
    <m/>
    <m/>
    <m/>
    <m/>
    <m/>
    <m/>
    <m/>
    <m/>
    <m/>
    <m/>
    <d v="2014-10-21T00:00:00"/>
    <n v="0"/>
    <s v="14/10/14 DPR"/>
    <s v="ok"/>
    <m/>
    <m/>
    <m/>
    <m/>
    <m/>
    <d v="2015-04-27T00:00:00"/>
    <m/>
    <m/>
    <m/>
    <m/>
    <m/>
    <m/>
    <m/>
    <n v="926283"/>
    <n v="926283"/>
    <n v="926283"/>
    <n v="0"/>
    <n v="1967.2153081595377"/>
    <n v="154380.5"/>
    <m/>
    <m/>
    <n v="0"/>
    <n v="340124"/>
    <n v="340124"/>
    <m/>
    <n v="56687.333333333336"/>
    <n v="0"/>
    <n v="486159"/>
    <n v="486159"/>
    <n v="145848"/>
    <n v="340311"/>
    <n v="0"/>
    <n v="81026.5"/>
    <n v="0"/>
    <n v="100000"/>
    <n v="100000"/>
    <m/>
    <n v="0.10795836693537504"/>
    <m/>
    <n v="0"/>
    <n v="0"/>
    <n v="16666.666666666668"/>
    <n v="73354"/>
    <n v="0"/>
    <m/>
    <m/>
    <n v="0"/>
    <n v="0"/>
    <n v="73354"/>
    <n v="0"/>
    <n v="73354"/>
    <n v="0.47515068289065004"/>
    <m/>
    <m/>
    <n v="0"/>
    <n v="92628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'titCanal         LLTS"/>
    <m/>
    <x v="3"/>
    <x v="2"/>
    <x v="1"/>
    <s v="PRLC 0094"/>
    <m/>
    <m/>
    <x v="0"/>
    <m/>
    <m/>
    <s v="rétrocession voirie Mairie à faire / DA en attente validation par Commune_x000a_DOE transmis à commune"/>
    <m/>
    <m/>
    <m/>
    <m/>
    <m/>
    <m/>
    <m/>
    <m/>
    <m/>
    <m/>
    <m/>
    <m/>
    <m/>
    <e v="#DIV/0!"/>
    <m/>
    <m/>
    <m/>
    <x v="0"/>
    <x v="6"/>
    <n v="16"/>
    <m/>
    <n v="16"/>
    <m/>
    <m/>
    <m/>
    <n v="1432.77"/>
    <m/>
    <n v="1432.77"/>
    <n v="89.548124999999999"/>
    <m/>
    <m/>
    <m/>
    <m/>
    <m/>
    <m/>
    <m/>
    <m/>
    <n v="2.5"/>
    <s v="collectif"/>
    <s v="oui"/>
    <m/>
    <m/>
    <m/>
    <m/>
    <d v="2011-09-30T00:00:00"/>
    <s v="INGEPAR"/>
    <s v="LS 5"/>
    <m/>
    <d v="2011-06-28T00:00:00"/>
    <d v="2015-10-14T00:00:00"/>
    <m/>
    <m/>
    <m/>
    <m/>
    <m/>
    <m/>
    <m/>
    <d v="2013-02-08T00:00:00"/>
    <d v="2015-02-08T00:00:00"/>
    <d v="2016-02-08T00:00:00"/>
    <m/>
    <s v="non"/>
    <n v="23"/>
    <n v="163530"/>
    <n v="0"/>
    <m/>
    <m/>
    <m/>
    <m/>
    <m/>
    <m/>
    <m/>
    <m/>
    <m/>
    <m/>
    <m/>
    <m/>
    <m/>
    <m/>
    <m/>
    <m/>
    <m/>
    <m/>
    <m/>
    <d v="2012-12-23T00:00:00"/>
    <m/>
    <m/>
    <s v="SO"/>
    <m/>
    <d v="2012-08-16T00:00:00"/>
    <d v="2013-12-23T00:00:00"/>
    <n v="2.1666666666666665"/>
    <m/>
    <m/>
    <m/>
    <s v="0"/>
    <m/>
    <m/>
    <s v="0"/>
    <m/>
    <m/>
    <s v="0"/>
    <m/>
    <m/>
    <s v="0"/>
    <m/>
    <m/>
    <s v="0"/>
    <m/>
    <m/>
    <m/>
    <m/>
    <s v="0"/>
    <m/>
    <x v="4"/>
    <x v="1"/>
    <n v="7.2666666666666666"/>
    <s v="0"/>
    <n v="13"/>
    <n v="24"/>
    <m/>
    <m/>
    <s v="0"/>
    <m/>
    <m/>
    <s v="0"/>
    <m/>
    <m/>
    <s v="0"/>
    <m/>
    <m/>
    <s v="0"/>
    <m/>
    <m/>
    <s v="0"/>
    <m/>
    <m/>
    <s v="0"/>
    <m/>
    <m/>
    <s v="0"/>
    <m/>
    <m/>
    <m/>
    <d v="2013-03-01T00:00:00"/>
    <d v="2014-02-18T00:00:00"/>
    <n v="11.8"/>
    <m/>
    <d v="2014-02-19T00:00:00"/>
    <s v="ok"/>
    <d v="2014-02-26T00:00:00"/>
    <m/>
    <d v="2013-04-01T00:00:00"/>
    <x v="5"/>
    <x v="1"/>
    <n v="11.033333333333333"/>
    <n v="7110"/>
    <n v="78447"/>
    <m/>
    <m/>
    <n v="0"/>
    <m/>
    <m/>
    <m/>
    <n v="0"/>
    <m/>
    <m/>
    <m/>
    <m/>
    <m/>
    <m/>
    <m/>
    <m/>
    <d v="2014-05-28T00:00:00"/>
    <m/>
    <d v="2015-02-18T00:00:00"/>
    <n v="35103.575989752957"/>
    <s v="ok"/>
    <m/>
    <d v="2014-10-07T00:00:00"/>
    <d v="2014-10-09T00:00:00"/>
    <m/>
    <s v="ok"/>
    <m/>
    <d v="2015-10-13T00:00:00"/>
    <m/>
    <m/>
    <m/>
    <s v="ok"/>
    <s v="ok"/>
    <m/>
    <m/>
    <n v="2858396"/>
    <n v="2817333"/>
    <n v="2817333"/>
    <n v="-41063"/>
    <n v="1966.3539856362152"/>
    <n v="176083.3125"/>
    <m/>
    <m/>
    <n v="0"/>
    <n v="853424"/>
    <n v="853424"/>
    <m/>
    <n v="53339"/>
    <n v="0"/>
    <n v="1530227"/>
    <n v="1530227"/>
    <n v="304961"/>
    <n v="1225266"/>
    <n v="0"/>
    <n v="95639.1875"/>
    <n v="0"/>
    <n v="421063"/>
    <n v="380000"/>
    <m/>
    <n v="0.13487933446277028"/>
    <m/>
    <n v="53682"/>
    <n v="-41063"/>
    <n v="23750"/>
    <n v="77089"/>
    <n v="-2566.4375"/>
    <m/>
    <m/>
    <n v="0"/>
    <n v="0"/>
    <n v="79655.4375"/>
    <n v="0"/>
    <n v="77089"/>
    <n v="0.46171877778297693"/>
    <n v="145958"/>
    <m/>
    <n v="0"/>
    <n v="285839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'titCanal  LLS       "/>
    <m/>
    <x v="3"/>
    <x v="2"/>
    <x v="1"/>
    <s v="PRLC 0094"/>
    <m/>
    <m/>
    <x v="0"/>
    <m/>
    <m/>
    <s v="rétrocession voirie Mairie à faire / DA en attente validation par Commune_x000a_DOE transmis à commune"/>
    <m/>
    <m/>
    <m/>
    <n v="8131"/>
    <n v="227747.25"/>
    <n v="178042"/>
    <e v="#REF!"/>
    <n v="28.009746648628706"/>
    <n v="21.896691673840856"/>
    <e v="#REF!"/>
    <e v="#REF!"/>
    <e v="#REF!"/>
    <n v="1079"/>
    <n v="4.9194441028163816"/>
    <s v="UC"/>
    <m/>
    <m/>
    <x v="1"/>
    <x v="7"/>
    <n v="4"/>
    <n v="4"/>
    <m/>
    <m/>
    <m/>
    <m/>
    <n v="317.76"/>
    <m/>
    <n v="317.76"/>
    <n v="79.44"/>
    <m/>
    <m/>
    <m/>
    <m/>
    <m/>
    <n v="2180"/>
    <n v="850"/>
    <n v="0.10453818718484811"/>
    <n v="2.5"/>
    <s v="collectif"/>
    <s v="oui"/>
    <m/>
    <m/>
    <m/>
    <m/>
    <d v="2011-09-30T00:00:00"/>
    <s v="INGEPAR"/>
    <s v="LS 5"/>
    <m/>
    <d v="2011-07-06T00:00:00"/>
    <d v="2015-10-14T00:00:00"/>
    <m/>
    <m/>
    <m/>
    <m/>
    <m/>
    <m/>
    <m/>
    <d v="2013-02-09T00:00:00"/>
    <d v="2015-02-09T00:00:00"/>
    <d v="2016-02-09T00:00:00"/>
    <m/>
    <s v="non"/>
    <n v="23"/>
    <n v="46805"/>
    <n v="0"/>
    <m/>
    <m/>
    <m/>
    <m/>
    <m/>
    <m/>
    <m/>
    <m/>
    <m/>
    <m/>
    <m/>
    <m/>
    <m/>
    <m/>
    <m/>
    <m/>
    <m/>
    <m/>
    <s v="LE GOFF"/>
    <d v="2012-12-23T00:00:00"/>
    <m/>
    <m/>
    <s v="SO"/>
    <m/>
    <d v="2012-08-16T00:00:00"/>
    <m/>
    <m/>
    <m/>
    <m/>
    <m/>
    <s v="0"/>
    <m/>
    <m/>
    <s v="0"/>
    <m/>
    <m/>
    <s v="0"/>
    <m/>
    <m/>
    <s v="0"/>
    <m/>
    <m/>
    <s v="0"/>
    <m/>
    <m/>
    <m/>
    <m/>
    <s v="0"/>
    <m/>
    <x v="4"/>
    <x v="1"/>
    <n v="7"/>
    <s v="0"/>
    <n v="13"/>
    <n v="24"/>
    <m/>
    <m/>
    <s v="0"/>
    <m/>
    <m/>
    <s v="0"/>
    <m/>
    <m/>
    <s v="0"/>
    <m/>
    <m/>
    <s v="0"/>
    <m/>
    <m/>
    <s v="0"/>
    <m/>
    <m/>
    <s v="0"/>
    <m/>
    <m/>
    <s v="0"/>
    <m/>
    <m/>
    <m/>
    <d v="2013-03-01T00:00:00"/>
    <d v="2014-02-18T00:00:00"/>
    <n v="11.8"/>
    <m/>
    <d v="2014-02-19T00:00:00"/>
    <s v="ok"/>
    <d v="2014-02-26T00:00:00"/>
    <m/>
    <d v="2013-04-01T00:00:00"/>
    <x v="5"/>
    <x v="1"/>
    <n v="11.033333333333333"/>
    <n v="2035"/>
    <n v="22452.833333333332"/>
    <m/>
    <m/>
    <n v="0"/>
    <m/>
    <m/>
    <m/>
    <n v="0"/>
    <m/>
    <m/>
    <m/>
    <m/>
    <m/>
    <m/>
    <m/>
    <m/>
    <d v="2014-05-28T00:00:00"/>
    <m/>
    <d v="2015-02-18T00:00:00"/>
    <n v="7942.4140102470437"/>
    <s v="ok"/>
    <m/>
    <d v="2014-10-07T00:00:00"/>
    <d v="2014-10-09T00:00:00"/>
    <m/>
    <s v="ok"/>
    <m/>
    <d v="2015-10-13T00:00:00"/>
    <m/>
    <m/>
    <m/>
    <m/>
    <m/>
    <m/>
    <m/>
    <n v="542137"/>
    <n v="642137"/>
    <n v="642137"/>
    <n v="100000"/>
    <n v="2020.8238922457201"/>
    <n v="160534.25"/>
    <m/>
    <m/>
    <n v="0"/>
    <n v="75000"/>
    <n v="75000"/>
    <m/>
    <n v="18750"/>
    <n v="0"/>
    <n v="335412"/>
    <n v="335412"/>
    <n v="85556"/>
    <n v="249856"/>
    <n v="0"/>
    <n v="83853"/>
    <n v="100000"/>
    <n v="119398"/>
    <n v="119398"/>
    <m/>
    <n v="0.18593851467833189"/>
    <m/>
    <n v="12327"/>
    <n v="0"/>
    <n v="29849.5"/>
    <n v="48599.5"/>
    <n v="0"/>
    <m/>
    <m/>
    <n v="1087937.9071325003"/>
    <n v="400000"/>
    <n v="148599.5"/>
    <n v="474274.71"/>
    <n v="267168.17749999999"/>
    <n v="0.62937481320481981"/>
    <n v="32084"/>
    <m/>
    <n v="0"/>
    <n v="1630074.907132500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avoir "/>
    <m/>
    <x v="3"/>
    <x v="2"/>
    <x v="1"/>
    <s v="PRLC 0100"/>
    <s v="YFR"/>
    <s v="NLE"/>
    <x v="0"/>
    <m/>
    <m/>
    <m/>
    <m/>
    <m/>
    <m/>
    <n v="2405"/>
    <n v="133800"/>
    <n v="120788"/>
    <n v="9557.1428571428569"/>
    <n v="55.634095634095637"/>
    <n v="50.223700623700623"/>
    <n v="115.00004760408635"/>
    <n v="8627.7142857142862"/>
    <n v="171.78571428571428"/>
    <m/>
    <n v="58.21205821205821"/>
    <s v="UC"/>
    <m/>
    <m/>
    <x v="0"/>
    <x v="8"/>
    <n v="14"/>
    <m/>
    <n v="14"/>
    <m/>
    <m/>
    <m/>
    <n v="1050.33"/>
    <m/>
    <n v="1050.33"/>
    <n v="75.023571428571429"/>
    <m/>
    <m/>
    <m/>
    <m/>
    <m/>
    <n v="600"/>
    <s v="x"/>
    <e v="#VALUE!"/>
    <n v="2"/>
    <s v="collectif"/>
    <s v="oui"/>
    <m/>
    <m/>
    <m/>
    <m/>
    <d v="2011-09-30T00:00:00"/>
    <s v="SO"/>
    <s v="SO"/>
    <m/>
    <d v="2011-12-07T00:00:00"/>
    <m/>
    <m/>
    <m/>
    <m/>
    <m/>
    <m/>
    <m/>
    <m/>
    <d v="2013-02-10T00:00:00"/>
    <d v="2015-02-10T00:00:00"/>
    <d v="2016-02-10T00:00:00"/>
    <m/>
    <s v="non"/>
    <n v="20"/>
    <n v="119280"/>
    <n v="0"/>
    <m/>
    <m/>
    <m/>
    <m/>
    <m/>
    <m/>
    <m/>
    <m/>
    <m/>
    <m/>
    <m/>
    <m/>
    <m/>
    <m/>
    <m/>
    <m/>
    <m/>
    <m/>
    <m/>
    <s v="SO"/>
    <m/>
    <s v="SO"/>
    <s v="SO"/>
    <m/>
    <m/>
    <s v="SO"/>
    <m/>
    <m/>
    <m/>
    <m/>
    <s v="0"/>
    <m/>
    <m/>
    <s v="0"/>
    <m/>
    <m/>
    <s v="0"/>
    <m/>
    <m/>
    <s v="0"/>
    <m/>
    <m/>
    <s v="0"/>
    <m/>
    <m/>
    <m/>
    <m/>
    <s v="0"/>
    <m/>
    <x v="5"/>
    <x v="1"/>
    <n v="2.8666666666666667"/>
    <s v="0"/>
    <n v="12"/>
    <n v="20"/>
    <m/>
    <m/>
    <s v="0"/>
    <m/>
    <m/>
    <s v="0"/>
    <m/>
    <d v="2018-11-20T00:00:00"/>
    <s v="0"/>
    <m/>
    <m/>
    <s v="0"/>
    <m/>
    <m/>
    <s v="0"/>
    <m/>
    <m/>
    <s v="0"/>
    <m/>
    <m/>
    <s v="0"/>
    <m/>
    <m/>
    <m/>
    <d v="2013-03-02T00:00:00"/>
    <d v="2013-11-05T00:00:00"/>
    <n v="8.2666666666666675"/>
    <m/>
    <d v="2013-12-19T00:00:00"/>
    <s v="ok"/>
    <d v="2014-05-15T00:00:00"/>
    <m/>
    <d v="2013-04-02T00:00:00"/>
    <x v="6"/>
    <x v="1"/>
    <n v="13.6"/>
    <n v="5964"/>
    <n v="81110.399999999994"/>
    <m/>
    <m/>
    <n v="253357.88"/>
    <m/>
    <m/>
    <m/>
    <n v="0"/>
    <m/>
    <s v="Lot GO : Dunite btp par CH2D_x000a_Lot Métallerie : Sodure par Espace alu_x000a_Soit 2 sur 14 lots = 14%_x000a_4 RO"/>
    <m/>
    <m/>
    <m/>
    <m/>
    <m/>
    <m/>
    <d v="2014-01-22T00:00:00"/>
    <s v="ok"/>
    <d v="2014-11-05T00:00:00"/>
    <n v="31451.360000000001"/>
    <s v="ok"/>
    <m/>
    <d v="2014-10-07T00:00:00"/>
    <d v="2014-10-13T00:00:00"/>
    <m/>
    <m/>
    <m/>
    <s v="SO"/>
    <m/>
    <m/>
    <m/>
    <m/>
    <m/>
    <m/>
    <m/>
    <n v="2230353.88"/>
    <n v="2230353.88"/>
    <n v="2230353.88"/>
    <n v="0"/>
    <n v="2123.4791732122285"/>
    <n v="159310.99142857143"/>
    <m/>
    <n v="0"/>
    <n v="0"/>
    <n v="0"/>
    <n v="0"/>
    <m/>
    <n v="0"/>
    <n v="0"/>
    <n v="1285412"/>
    <n v="1285412"/>
    <n v="305730"/>
    <n v="979682"/>
    <n v="0"/>
    <n v="91815.142857142855"/>
    <m/>
    <n v="620464"/>
    <n v="620464"/>
    <n v="70000"/>
    <n v="0.27819083131328021"/>
    <m/>
    <n v="1120"/>
    <n v="1120"/>
    <n v="44318.857142857145"/>
    <n v="44318.857142857145"/>
    <n v="80"/>
    <m/>
    <m/>
    <n v="715424.22886499984"/>
    <n v="280000"/>
    <n v="64318.857142857145"/>
    <n v="259894.04"/>
    <n v="82882.717142857146"/>
    <n v="0.41111677977683803"/>
    <n v="123324.49695"/>
    <m/>
    <n v="253357.88"/>
    <n v="2945778.1088649998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Desiré 2"/>
    <m/>
    <x v="0"/>
    <x v="0"/>
    <x v="2"/>
    <s v="PRLC 0133"/>
    <s v="YFR"/>
    <m/>
    <x v="0"/>
    <m/>
    <m/>
    <m/>
    <m/>
    <m/>
    <m/>
    <n v="606"/>
    <n v="89040"/>
    <n v="51520"/>
    <n v="12720"/>
    <n v="146.93069306930693"/>
    <n v="85.016501650165011"/>
    <n v="96.464949071300168"/>
    <n v="7360"/>
    <n v="86.571428571428569"/>
    <n v="300"/>
    <n v="115.51155115511551"/>
    <s v="UC"/>
    <n v="606"/>
    <m/>
    <x v="0"/>
    <x v="9"/>
    <n v="7"/>
    <m/>
    <n v="7"/>
    <m/>
    <m/>
    <m/>
    <n v="534.08000000000004"/>
    <m/>
    <n v="534.08000000000004"/>
    <n v="76.297142857142859"/>
    <m/>
    <n v="0.2857142857142857"/>
    <n v="0.5714285714285714"/>
    <n v="0.14285714285714285"/>
    <m/>
    <n v="217.58"/>
    <n v="238"/>
    <n v="0.39273927392739272"/>
    <n v="2"/>
    <s v="collectif"/>
    <s v="oui"/>
    <m/>
    <m/>
    <m/>
    <m/>
    <d v="2012-02-24T00:00:00"/>
    <s v="OFOI"/>
    <s v="LOGIS 3"/>
    <m/>
    <d v="2012-09-19T00:00:00"/>
    <m/>
    <m/>
    <d v="2012-11-12T00:00:00"/>
    <m/>
    <m/>
    <m/>
    <m/>
    <m/>
    <d v="2013-02-11T00:00:00"/>
    <d v="2015-02-11T00:00:00"/>
    <d v="2016-02-11T00:00:00"/>
    <m/>
    <s v="non"/>
    <n v="16"/>
    <n v="45049.333333333336"/>
    <n v="0"/>
    <m/>
    <m/>
    <m/>
    <m/>
    <m/>
    <m/>
    <m/>
    <m/>
    <m/>
    <m/>
    <m/>
    <m/>
    <m/>
    <m/>
    <m/>
    <m/>
    <m/>
    <m/>
    <s v="LE GOFF"/>
    <d v="2012-12-12T00:00:00"/>
    <m/>
    <n v="1051215.9099999999"/>
    <d v="2014-06-12T00:00:00"/>
    <m/>
    <d v="2013-12-04T00:00:00"/>
    <d v="2014-07-15T00:00:00"/>
    <n v="1.9666666666666666"/>
    <m/>
    <m/>
    <m/>
    <s v="0"/>
    <m/>
    <m/>
    <s v="0"/>
    <m/>
    <m/>
    <s v="0"/>
    <m/>
    <m/>
    <s v="0"/>
    <m/>
    <m/>
    <s v="0"/>
    <m/>
    <m/>
    <m/>
    <m/>
    <s v="0"/>
    <m/>
    <x v="6"/>
    <x v="2"/>
    <n v="7.6333333333333337"/>
    <s v="0"/>
    <n v="10"/>
    <n v="14"/>
    <m/>
    <m/>
    <s v="0"/>
    <m/>
    <m/>
    <s v="0"/>
    <m/>
    <m/>
    <s v="0"/>
    <m/>
    <m/>
    <s v="0"/>
    <m/>
    <m/>
    <s v="0"/>
    <m/>
    <m/>
    <s v="0"/>
    <m/>
    <m/>
    <s v="0"/>
    <m/>
    <m/>
    <m/>
    <d v="2014-03-06T00:00:00"/>
    <d v="2014-07-11T00:00:00"/>
    <n v="4.2333333333333334"/>
    <m/>
    <d v="2014-09-01T00:00:00"/>
    <s v="ok"/>
    <d v="2014-09-12T00:00:00"/>
    <m/>
    <d v="2014-04-06T00:00:00"/>
    <x v="7"/>
    <x v="1"/>
    <n v="5.3"/>
    <n v="2815.5833333333335"/>
    <n v="14922.591666666667"/>
    <m/>
    <m/>
    <n v="50607"/>
    <m/>
    <m/>
    <m/>
    <n v="0"/>
    <m/>
    <m/>
    <m/>
    <m/>
    <m/>
    <m/>
    <m/>
    <m/>
    <s v="ok"/>
    <d v="2015-03-19T00:00:00"/>
    <d v="2015-07-11T00:00:00"/>
    <n v="10711"/>
    <d v="2014-10-03T00:00:00"/>
    <d v="2014-10-06T00:00:00"/>
    <s v="ok"/>
    <d v="2015-12-08T00:00:00"/>
    <m/>
    <s v="ok"/>
    <s v="ok"/>
    <m/>
    <d v="2017-04-26T00:00:00"/>
    <s v="ok"/>
    <s v="ok"/>
    <s v="ok"/>
    <s v="ok"/>
    <m/>
    <m/>
    <n v="1127563"/>
    <n v="1076956"/>
    <n v="1076956"/>
    <n v="-50607"/>
    <n v="2016.4694427801078"/>
    <n v="153850.85714285713"/>
    <n v="970725"/>
    <m/>
    <n v="0.87898434499890454"/>
    <n v="294297"/>
    <n v="294297"/>
    <m/>
    <n v="42042.428571428572"/>
    <n v="0"/>
    <n v="604971"/>
    <n v="604971"/>
    <n v="112853"/>
    <n v="492118"/>
    <n v="0"/>
    <n v="86424.428571428565"/>
    <n v="0"/>
    <n v="177688"/>
    <n v="177688"/>
    <m/>
    <n v="0.16499095599077399"/>
    <m/>
    <n v="0"/>
    <n v="0"/>
    <n v="25384"/>
    <n v="67426.428571428565"/>
    <n v="0"/>
    <m/>
    <m/>
    <n v="176884.08837750001"/>
    <n v="119543.69426743503"/>
    <n v="84504.099181062149"/>
    <n v="0"/>
    <n v="84504.099181062149"/>
    <n v="0.492432483282151"/>
    <n v="52601.919999999998"/>
    <m/>
    <n v="50607"/>
    <n v="1304447.08837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Avenue Raymond Barre "/>
    <m/>
    <x v="4"/>
    <x v="0"/>
    <x v="2"/>
    <s v="PRLC 0116"/>
    <s v="FHO"/>
    <m/>
    <x v="0"/>
    <s v="oui"/>
    <m/>
    <m/>
    <m/>
    <m/>
    <m/>
    <n v="2671"/>
    <n v="176000"/>
    <n v="110833"/>
    <n v="12571.428571428571"/>
    <n v="65.89292399850244"/>
    <n v="41.494945713216026"/>
    <n v="99.936881779573142"/>
    <n v="7916.6428571428569"/>
    <n v="190.78571428571428"/>
    <n v="748.11"/>
    <n v="52.414825907899662"/>
    <s v="UC"/>
    <m/>
    <m/>
    <x v="0"/>
    <x v="8"/>
    <n v="14"/>
    <m/>
    <n v="14"/>
    <m/>
    <m/>
    <m/>
    <n v="1109.03"/>
    <m/>
    <n v="1109.03"/>
    <n v="79.216428571428565"/>
    <n v="0.21428571428571427"/>
    <n v="0.21428571428571427"/>
    <n v="0.42857142857142855"/>
    <n v="7.1428571428571425E-2"/>
    <n v="7.1428571428571425E-2"/>
    <n v="1000"/>
    <m/>
    <n v="0"/>
    <n v="3"/>
    <s v="collectif"/>
    <s v="non"/>
    <m/>
    <m/>
    <m/>
    <m/>
    <d v="2012-02-24T00:00:00"/>
    <s v="OFOI"/>
    <s v="LOGIS 3"/>
    <m/>
    <d v="2012-09-18T00:00:00"/>
    <m/>
    <m/>
    <d v="2012-12-05T00:00:00"/>
    <m/>
    <m/>
    <m/>
    <m/>
    <m/>
    <d v="2013-02-12T00:00:00"/>
    <d v="2015-02-12T00:00:00"/>
    <d v="2016-02-12T00:00:00"/>
    <m/>
    <s v="non"/>
    <n v="15"/>
    <n v="86662.453812815991"/>
    <n v="0"/>
    <m/>
    <m/>
    <m/>
    <m/>
    <m/>
    <m/>
    <m/>
    <m/>
    <m/>
    <m/>
    <m/>
    <m/>
    <m/>
    <m/>
    <m/>
    <m/>
    <m/>
    <m/>
    <s v="LE GOFF"/>
    <d v="2012-12-12T00:00:00"/>
    <m/>
    <n v="2312263.67"/>
    <d v="2014-06-12T00:00:00"/>
    <m/>
    <d v="2013-07-12T00:00:00"/>
    <d v="2014-09-15T00:00:00"/>
    <n v="1.6666666666666667"/>
    <m/>
    <m/>
    <m/>
    <s v="0"/>
    <m/>
    <m/>
    <s v="0"/>
    <m/>
    <m/>
    <s v="0"/>
    <m/>
    <m/>
    <s v="0"/>
    <m/>
    <m/>
    <s v="0"/>
    <m/>
    <m/>
    <m/>
    <m/>
    <s v="0"/>
    <m/>
    <x v="7"/>
    <x v="2"/>
    <n v="4.6333333333333337"/>
    <s v="0"/>
    <n v="13"/>
    <n v="20"/>
    <m/>
    <m/>
    <s v="0"/>
    <m/>
    <m/>
    <s v="0"/>
    <m/>
    <m/>
    <s v="0"/>
    <m/>
    <m/>
    <s v="0"/>
    <m/>
    <m/>
    <s v="0"/>
    <m/>
    <m/>
    <s v="0"/>
    <m/>
    <m/>
    <s v="0"/>
    <m/>
    <m/>
    <m/>
    <d v="2014-03-04T00:00:00"/>
    <d v="2014-10-31T00:00:00"/>
    <n v="8.0333333333333332"/>
    <m/>
    <d v="2014-12-10T00:00:00"/>
    <s v="ok"/>
    <d v="2014-11-06T00:00:00"/>
    <m/>
    <d v="2014-04-04T00:00:00"/>
    <x v="8"/>
    <x v="1"/>
    <n v="7.1333333333333337"/>
    <n v="5777.4969208543998"/>
    <n v="41212.811368761388"/>
    <m/>
    <m/>
    <n v="123760"/>
    <m/>
    <m/>
    <m/>
    <n v="0"/>
    <m/>
    <s v="Lot Cloison : SPB par CPR_x000a_Lot Etanchéité : RSOP par Corail_x000a_Lot Sol souple : RSOP par Corail_x000a_Lot peinture : RSOP par Marine Peinture_x000a_Soit 4 lots sur 15 lots = 26 %"/>
    <m/>
    <m/>
    <m/>
    <m/>
    <m/>
    <m/>
    <s v="ok"/>
    <m/>
    <s v=" "/>
    <n v="19707.689999999999"/>
    <d v="2014-11-26T00:00:00"/>
    <d v="2014-12-11T00:00:00"/>
    <d v="2015-11-16T00:00:00"/>
    <d v="2015-11-16T00:00:00"/>
    <m/>
    <s v="SO"/>
    <d v="2016-02-26T00:00:00"/>
    <d v="2017-06-20T00:00:00"/>
    <m/>
    <s v="ok"/>
    <m/>
    <d v="2016-02-26T00:00:00"/>
    <m/>
    <m/>
    <m/>
    <n v="2368881"/>
    <n v="2368881"/>
    <n v="2368881"/>
    <n v="0"/>
    <n v="2135.9936160428483"/>
    <n v="169205.78571428571"/>
    <m/>
    <n v="2068826"/>
    <n v="0"/>
    <n v="745095"/>
    <n v="745095"/>
    <m/>
    <n v="53221.071428571428"/>
    <n v="0"/>
    <n v="1240121"/>
    <n v="1240121"/>
    <n v="347814"/>
    <n v="892307"/>
    <n v="0"/>
    <n v="88580.071428571435"/>
    <n v="100000"/>
    <n v="159905"/>
    <n v="89905"/>
    <n v="70000"/>
    <n v="3.7952518509794288E-2"/>
    <m/>
    <n v="0"/>
    <n v="-70000"/>
    <n v="6421.7857142857147"/>
    <n v="59642.857142857145"/>
    <n v="-5000"/>
    <m/>
    <m/>
    <n v="339632.49384750001"/>
    <n v="210000"/>
    <n v="74642.857142857145"/>
    <n v="0"/>
    <n v="74642.857142857145"/>
    <n v="0.40351792401683728"/>
    <n v="118789.62334999999"/>
    <m/>
    <n v="123760"/>
    <n v="2708513.493847500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Sceau de Salomon "/>
    <m/>
    <x v="2"/>
    <x v="1"/>
    <x v="2"/>
    <s v="PRLC 0128"/>
    <m/>
    <s v="DBE"/>
    <x v="0"/>
    <m/>
    <m/>
    <m/>
    <m/>
    <m/>
    <m/>
    <n v="7275"/>
    <n v="773000"/>
    <n v="773000"/>
    <n v="9202.3809523809523"/>
    <n v="106.25429553264605"/>
    <n v="106.25429553264605"/>
    <n v="168.94476183815397"/>
    <n v="9202.3809523809523"/>
    <n v="86.607142857142861"/>
    <m/>
    <n v="115.4639175257732"/>
    <s v="UB"/>
    <n v="530"/>
    <n v="0.1"/>
    <x v="1"/>
    <x v="10"/>
    <n v="84"/>
    <n v="84"/>
    <m/>
    <m/>
    <m/>
    <m/>
    <n v="4575.46"/>
    <m/>
    <n v="4575.46"/>
    <n v="54.469761904761903"/>
    <m/>
    <m/>
    <m/>
    <m/>
    <m/>
    <n v="2038"/>
    <n v="0"/>
    <n v="0"/>
    <n v="4"/>
    <s v="collectif"/>
    <s v="oui"/>
    <m/>
    <m/>
    <m/>
    <m/>
    <d v="2012-02-24T00:00:00"/>
    <s v="INGEPAR"/>
    <s v="LS 55"/>
    <m/>
    <d v="2012-08-23T00:00:00"/>
    <d v="2016-04-21T00:00:00"/>
    <m/>
    <d v="2012-10-17T00:00:00"/>
    <m/>
    <m/>
    <m/>
    <m/>
    <m/>
    <d v="2013-02-13T00:00:00"/>
    <d v="2015-02-13T00:00:00"/>
    <d v="2016-02-13T00:00:00"/>
    <m/>
    <s v="non"/>
    <n v="15"/>
    <n v="504630.82391234121"/>
    <n v="0"/>
    <m/>
    <m/>
    <m/>
    <m/>
    <m/>
    <m/>
    <m/>
    <m/>
    <m/>
    <m/>
    <m/>
    <m/>
    <m/>
    <m/>
    <m/>
    <m/>
    <m/>
    <m/>
    <s v="MAREL"/>
    <d v="2012-12-27T00:00:00"/>
    <s v="ok"/>
    <n v="9461576.1300000008"/>
    <d v="2014-06-27T00:00:00"/>
    <d v="2014-12-27T00:00:00"/>
    <d v="2013-10-02T00:00:00"/>
    <d v="2015-05-14T00:00:00"/>
    <n v="-6.1"/>
    <m/>
    <m/>
    <m/>
    <s v="0"/>
    <m/>
    <m/>
    <s v="0"/>
    <m/>
    <m/>
    <s v="0"/>
    <m/>
    <m/>
    <s v="0"/>
    <m/>
    <m/>
    <s v="0"/>
    <m/>
    <m/>
    <m/>
    <m/>
    <s v="0"/>
    <m/>
    <x v="8"/>
    <x v="2"/>
    <n v="5.0333333333333332"/>
    <s v="0"/>
    <n v="19"/>
    <n v="20"/>
    <m/>
    <m/>
    <s v="0"/>
    <m/>
    <m/>
    <s v="0"/>
    <m/>
    <m/>
    <s v="0"/>
    <m/>
    <m/>
    <s v="0"/>
    <m/>
    <m/>
    <s v="0"/>
    <m/>
    <m/>
    <s v="0"/>
    <m/>
    <m/>
    <s v="0"/>
    <m/>
    <m/>
    <m/>
    <d v="2014-08-21T00:00:00"/>
    <d v="2014-10-15T00:00:00"/>
    <n v="1.8333333333333333"/>
    <m/>
    <d v="2014-10-23T00:00:00"/>
    <s v="ok"/>
    <d v="2014-11-12T00:00:00"/>
    <m/>
    <d v="2014-09-21T00:00:00"/>
    <x v="9"/>
    <x v="1"/>
    <n v="1.7333333333333334"/>
    <n v="33642.054927489415"/>
    <n v="58312.895207648318"/>
    <m/>
    <m/>
    <n v="0"/>
    <m/>
    <m/>
    <m/>
    <n v="0"/>
    <m/>
    <m/>
    <m/>
    <m/>
    <m/>
    <m/>
    <m/>
    <m/>
    <m/>
    <d v="2015-09-03T00:00:00"/>
    <d v="2015-10-15T00:00:00"/>
    <n v="90420"/>
    <d v="2014-11-25T00:00:00"/>
    <d v="2014-11-26T00:00:00"/>
    <s v="ok"/>
    <d v="2015-10-29T00:00:00"/>
    <m/>
    <m/>
    <s v="ok"/>
    <d v="2016-04-15T00:00:00"/>
    <m/>
    <m/>
    <m/>
    <d v="2015-08-03T00:00:00"/>
    <m/>
    <m/>
    <m/>
    <n v="9756378.3699999992"/>
    <n v="9756378.3699999992"/>
    <n v="9756378.3699999992"/>
    <n v="0"/>
    <n v="2132.327322280164"/>
    <n v="116147.36154761903"/>
    <n v="8749715"/>
    <m/>
    <n v="0.91565319386029509"/>
    <n v="3263643"/>
    <n v="3263643"/>
    <m/>
    <n v="38852.892857142855"/>
    <n v="0"/>
    <n v="6429606.3699999992"/>
    <n v="6429606.3699999992"/>
    <n v="1639468.02"/>
    <n v="4790138.3499999996"/>
    <n v="0"/>
    <n v="76542.932976190466"/>
    <n v="0"/>
    <n v="1"/>
    <n v="1"/>
    <m/>
    <n v="1.0249704983510188E-7"/>
    <m/>
    <n v="63128"/>
    <n v="0"/>
    <n v="1.1904761904761904E-2"/>
    <n v="38852.904761904763"/>
    <n v="0"/>
    <m/>
    <m/>
    <n v="0"/>
    <n v="0"/>
    <n v="38852.904761904763"/>
    <n v="0"/>
    <n v="38852.904761904763"/>
    <n v="0.33451388171203122"/>
    <m/>
    <m/>
    <n v="0"/>
    <n v="9756378.3699999992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Harry PAYET (Les Mimosas)"/>
    <m/>
    <x v="2"/>
    <x v="1"/>
    <x v="2"/>
    <s v="PRLC 0114"/>
    <s v="FHO"/>
    <s v="MMA"/>
    <x v="0"/>
    <s v="dossier transmis"/>
    <m/>
    <m/>
    <m/>
    <m/>
    <m/>
    <n v="8821"/>
    <n v="530000"/>
    <n v="289110"/>
    <n v="13250"/>
    <n v="60.083890715338399"/>
    <n v="32.775195556059401"/>
    <n v="111.55441514093337"/>
    <n v="7227.75"/>
    <n v="220.52500000000001"/>
    <m/>
    <n v="45.346332615349731"/>
    <s v="UC"/>
    <m/>
    <m/>
    <x v="0"/>
    <x v="11"/>
    <n v="40"/>
    <m/>
    <n v="40"/>
    <m/>
    <m/>
    <m/>
    <n v="2591.65"/>
    <m/>
    <n v="2591.65"/>
    <n v="64.791250000000005"/>
    <n v="0.1"/>
    <n v="0.3"/>
    <n v="0.32500000000000001"/>
    <n v="0.22500000000000001"/>
    <n v="0.05"/>
    <n v="1150"/>
    <m/>
    <n v="0"/>
    <n v="2.5"/>
    <s v="collectif"/>
    <s v="non"/>
    <m/>
    <m/>
    <m/>
    <m/>
    <d v="2012-02-24T00:00:00"/>
    <s v="INGEPAR"/>
    <s v="LS 19"/>
    <m/>
    <d v="2012-07-04T00:00:00"/>
    <m/>
    <m/>
    <d v="2012-08-13T00:00:00"/>
    <m/>
    <m/>
    <m/>
    <m/>
    <m/>
    <d v="2013-02-14T00:00:00"/>
    <d v="2015-02-14T00:00:00"/>
    <d v="2016-02-14T00:00:00"/>
    <m/>
    <s v="oui"/>
    <n v="8"/>
    <n v="114909.510455786"/>
    <n v="0"/>
    <m/>
    <m/>
    <m/>
    <m/>
    <m/>
    <m/>
    <m/>
    <m/>
    <m/>
    <m/>
    <m/>
    <m/>
    <m/>
    <m/>
    <m/>
    <m/>
    <m/>
    <m/>
    <s v="MAREL"/>
    <d v="2012-12-18T00:00:00"/>
    <m/>
    <m/>
    <d v="2014-06-18T00:00:00"/>
    <d v="2014-12-18T00:00:00"/>
    <d v="2013-10-23T00:00:00"/>
    <d v="2014-12-15T00:00:00"/>
    <n v="5.4333333333333336"/>
    <m/>
    <m/>
    <m/>
    <s v="0"/>
    <m/>
    <m/>
    <s v="0"/>
    <m/>
    <m/>
    <s v="0"/>
    <m/>
    <m/>
    <s v="0"/>
    <m/>
    <m/>
    <s v="0"/>
    <m/>
    <m/>
    <m/>
    <m/>
    <s v="0"/>
    <m/>
    <x v="7"/>
    <x v="2"/>
    <n v="7.166666666666667"/>
    <s v="0"/>
    <n v="15"/>
    <n v="26"/>
    <m/>
    <m/>
    <s v="0"/>
    <m/>
    <m/>
    <s v="0"/>
    <m/>
    <m/>
    <s v="0"/>
    <m/>
    <m/>
    <s v="0"/>
    <m/>
    <m/>
    <s v="0"/>
    <m/>
    <m/>
    <s v="0"/>
    <m/>
    <m/>
    <s v="0"/>
    <m/>
    <m/>
    <m/>
    <d v="2014-05-04T00:00:00"/>
    <d v="2015-04-17T00:00:00"/>
    <n v="11.6"/>
    <m/>
    <d v="2015-07-17T00:00:00"/>
    <s v="ok"/>
    <d v="2015-05-27T00:00:00"/>
    <m/>
    <d v="2014-06-04T00:00:00"/>
    <x v="10"/>
    <x v="2"/>
    <n v="11.9"/>
    <n v="14363.68880697325"/>
    <n v="170927.89680298168"/>
    <m/>
    <m/>
    <n v="51532.92"/>
    <m/>
    <m/>
    <m/>
    <n v="0"/>
    <m/>
    <s v="Lot VRD - SATP par Austral TP_x000a_Lot Cloisons - SPB par 3PPLUS_x000a_Lot Elec : DTS par EES_x000a_Soit 3 lots sur 14 = 21%_x000a_3 RO"/>
    <m/>
    <m/>
    <s v="ok"/>
    <m/>
    <s v="ok"/>
    <s v="ok"/>
    <d v="2016-09-15T00:00:00"/>
    <d v="2017-04-06T00:00:00"/>
    <d v="2016-04-17T00:00:00"/>
    <n v="45341"/>
    <d v="2015-06-15T00:00:00"/>
    <s v="17/11/2015_x000a_27/01/16_x000a_15/03/16"/>
    <d v="2016-10-04T00:00:00"/>
    <m/>
    <d v="2015-03-16T00:00:00"/>
    <m/>
    <d v="2016-02-26T00:00:00"/>
    <d v="2017-03-03T00:00:00"/>
    <m/>
    <m/>
    <m/>
    <d v="2017-08-31T00:00:00"/>
    <m/>
    <m/>
    <n v="5246631"/>
    <n v="5090210.4499999993"/>
    <n v="5038677.5299999993"/>
    <n v="5038677.5299999993"/>
    <n v="-51532.919999999925"/>
    <n v="1944.1967588215998"/>
    <n v="125966.93824999998"/>
    <n v="4689965"/>
    <m/>
    <n v="0.9407183282569388"/>
    <n v="1480537"/>
    <n v="1480537"/>
    <m/>
    <n v="37013.425000000003"/>
    <n v="0"/>
    <n v="2895140.53"/>
    <n v="2895140.53"/>
    <n v="565518"/>
    <n v="2329622.5299999998"/>
    <n v="0"/>
    <n v="72378.513249999989"/>
    <n v="0"/>
    <n v="663000"/>
    <n v="663000"/>
    <m/>
    <n v="0.13158214552380773"/>
    <m/>
    <n v="0"/>
    <n v="0"/>
    <n v="16575"/>
    <n v="53588.425000000003"/>
    <n v="0"/>
    <m/>
    <m/>
    <n v="1151902.8490725001"/>
    <n v="800000"/>
    <n v="73588.425000000003"/>
    <n v="0"/>
    <n v="73588.425000000003"/>
    <n v="0.49929393506911401"/>
    <n v="295181.31"/>
    <m/>
    <n v="51532.92"/>
    <n v="6242113.299072499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oker d'As LLS"/>
    <m/>
    <x v="2"/>
    <x v="1"/>
    <x v="2"/>
    <s v="PRLC 0090"/>
    <s v="FMA"/>
    <m/>
    <x v="0"/>
    <m/>
    <m/>
    <m/>
    <m/>
    <m/>
    <m/>
    <n v="3735"/>
    <n v="860000"/>
    <n v="860000"/>
    <n v="172.51755265797391"/>
    <n v="230.25435073627844"/>
    <n v="230.25435073627844"/>
    <n v="359.81005376231616"/>
    <n v="172.51755265797391"/>
    <n v="0.74924774322968912"/>
    <m/>
    <n v="77.643908969210173"/>
    <s v="UA"/>
    <m/>
    <m/>
    <x v="1"/>
    <x v="12"/>
    <n v="29"/>
    <n v="29"/>
    <m/>
    <m/>
    <m/>
    <m/>
    <n v="2390.15"/>
    <m/>
    <n v="2390.15"/>
    <n v="82.418965517241389"/>
    <m/>
    <m/>
    <m/>
    <m/>
    <m/>
    <n v="1046"/>
    <n v="0"/>
    <n v="0"/>
    <n v="4"/>
    <s v="collectif"/>
    <s v="oui"/>
    <m/>
    <m/>
    <m/>
    <m/>
    <d v="2012-02-24T00:00:00"/>
    <s v="INGEPAR"/>
    <s v="LS 56"/>
    <m/>
    <d v="2012-05-24T00:00:00"/>
    <m/>
    <m/>
    <d v="2012-10-11T00:00:00"/>
    <m/>
    <m/>
    <m/>
    <m/>
    <m/>
    <d v="2013-02-14T00:00:00"/>
    <d v="2015-02-14T00:00:00"/>
    <d v="2016-02-14T00:00:00"/>
    <m/>
    <s v="oui"/>
    <n v="8"/>
    <n v="123231.77509643867"/>
    <n v="0"/>
    <m/>
    <m/>
    <m/>
    <m/>
    <m/>
    <m/>
    <m/>
    <m/>
    <m/>
    <m/>
    <m/>
    <m/>
    <m/>
    <m/>
    <m/>
    <m/>
    <m/>
    <m/>
    <s v="QUINOT"/>
    <d v="2012-12-18T00:00:00"/>
    <m/>
    <n v="6314520.7599999998"/>
    <d v="2014-06-18T00:00:00"/>
    <d v="2014-12-18T00:00:00"/>
    <d v="2013-07-15T00:00:00"/>
    <d v="2015-06-15T00:00:00"/>
    <n v="-0.4"/>
    <m/>
    <m/>
    <m/>
    <s v="0"/>
    <m/>
    <m/>
    <s v="0"/>
    <m/>
    <m/>
    <s v="0"/>
    <m/>
    <m/>
    <s v="0"/>
    <m/>
    <m/>
    <s v="0"/>
    <m/>
    <m/>
    <m/>
    <m/>
    <s v="0"/>
    <m/>
    <x v="7"/>
    <x v="2"/>
    <n v="8.5333333333333332"/>
    <s v="0"/>
    <n v="15"/>
    <n v="27"/>
    <m/>
    <m/>
    <s v="0"/>
    <m/>
    <m/>
    <s v="0"/>
    <m/>
    <m/>
    <s v="0"/>
    <m/>
    <m/>
    <s v="0"/>
    <m/>
    <m/>
    <s v="0"/>
    <m/>
    <m/>
    <s v="0"/>
    <m/>
    <m/>
    <s v="0"/>
    <m/>
    <m/>
    <m/>
    <d v="2014-05-04T00:00:00"/>
    <d v="2015-06-03T00:00:00"/>
    <n v="13.166666666666666"/>
    <m/>
    <d v="2014-12-19T00:00:00"/>
    <s v="ok"/>
    <d v="2015-06-03T00:00:00"/>
    <m/>
    <d v="2014-06-04T00:00:00"/>
    <x v="11"/>
    <x v="2"/>
    <n v="12.133333333333333"/>
    <n v="15403.971887054833"/>
    <n v="186901.52556293196"/>
    <m/>
    <m/>
    <n v="20258"/>
    <m/>
    <m/>
    <m/>
    <n v="0"/>
    <m/>
    <m/>
    <m/>
    <m/>
    <m/>
    <m/>
    <m/>
    <m/>
    <m/>
    <s v="à faire"/>
    <d v="2016-06-03T00:00:00"/>
    <n v="10000"/>
    <s v="7/9/15 - correctifs à apporter"/>
    <d v="2015-12-15T00:00:00"/>
    <m/>
    <m/>
    <m/>
    <m/>
    <m/>
    <d v="2017-09-28T00:00:00"/>
    <m/>
    <m/>
    <m/>
    <m/>
    <m/>
    <m/>
    <n v="4670611"/>
    <n v="4682328.38"/>
    <n v="4660960.38"/>
    <n v="4660960.38"/>
    <n v="-21368"/>
    <n v="1950.0702382695645"/>
    <n v="160722.77172413791"/>
    <m/>
    <m/>
    <n v="0"/>
    <n v="1473759.38"/>
    <n v="1473759.38"/>
    <m/>
    <n v="50819.28896551724"/>
    <n v="0"/>
    <n v="3186090"/>
    <n v="3186090"/>
    <n v="549227"/>
    <n v="2636863"/>
    <n v="0"/>
    <n v="109865.1724137931"/>
    <n v="0"/>
    <n v="1111"/>
    <n v="1"/>
    <m/>
    <n v="2.1454805844112324E-7"/>
    <m/>
    <n v="1110"/>
    <n v="0"/>
    <n v="3.4482758620689655E-2"/>
    <n v="50819.323448275856"/>
    <n v="0"/>
    <m/>
    <m/>
    <n v="0"/>
    <n v="0"/>
    <n v="50857.599310344827"/>
    <n v="0"/>
    <n v="50819.323448275856"/>
    <n v="0.31619242813645199"/>
    <m/>
    <m/>
    <n v="20258"/>
    <n v="4682328.38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oker d'As LLTS"/>
    <m/>
    <x v="2"/>
    <x v="1"/>
    <x v="2"/>
    <s v="PRLC 0090"/>
    <s v="FMA"/>
    <m/>
    <x v="0"/>
    <m/>
    <m/>
    <m/>
    <m/>
    <m/>
    <m/>
    <m/>
    <m/>
    <m/>
    <m/>
    <m/>
    <m/>
    <m/>
    <m/>
    <m/>
    <m/>
    <e v="#DIV/0!"/>
    <s v="UA"/>
    <m/>
    <m/>
    <x v="0"/>
    <x v="13"/>
    <n v="13"/>
    <m/>
    <n v="13"/>
    <m/>
    <m/>
    <m/>
    <n v="927.22"/>
    <m/>
    <n v="927.22"/>
    <n v="71.324615384615385"/>
    <m/>
    <m/>
    <m/>
    <m/>
    <m/>
    <m/>
    <m/>
    <m/>
    <m/>
    <s v="collectif"/>
    <s v="oui"/>
    <m/>
    <m/>
    <m/>
    <m/>
    <d v="2012-02-24T00:00:00"/>
    <s v="INGEPAR"/>
    <s v="LS 56"/>
    <m/>
    <d v="2012-06-21T00:00:00"/>
    <m/>
    <m/>
    <d v="2012-10-11T00:00:00"/>
    <m/>
    <m/>
    <m/>
    <m/>
    <m/>
    <d v="2013-02-14T00:00:00"/>
    <d v="2015-02-14T00:00:00"/>
    <d v="2016-02-14T00:00:00"/>
    <m/>
    <s v="oui"/>
    <n v="8"/>
    <n v="36781.047877244135"/>
    <n v="0"/>
    <m/>
    <m/>
    <m/>
    <m/>
    <m/>
    <m/>
    <m/>
    <m/>
    <m/>
    <m/>
    <m/>
    <m/>
    <m/>
    <m/>
    <m/>
    <m/>
    <m/>
    <m/>
    <m/>
    <d v="2012-12-18T00:00:00"/>
    <m/>
    <n v="6314520.7599999998"/>
    <d v="2014-06-18T00:00:00"/>
    <d v="2014-12-18T00:00:00"/>
    <d v="2013-07-15T00:00:00"/>
    <m/>
    <m/>
    <m/>
    <m/>
    <m/>
    <s v="0"/>
    <m/>
    <m/>
    <s v="0"/>
    <m/>
    <m/>
    <s v="0"/>
    <m/>
    <m/>
    <s v="0"/>
    <m/>
    <m/>
    <s v="0"/>
    <m/>
    <m/>
    <m/>
    <m/>
    <s v="0"/>
    <m/>
    <x v="7"/>
    <x v="2"/>
    <n v="7.6"/>
    <s v="0"/>
    <n v="15"/>
    <n v="27"/>
    <m/>
    <m/>
    <s v="0"/>
    <m/>
    <m/>
    <s v="0"/>
    <m/>
    <m/>
    <s v="0"/>
    <m/>
    <m/>
    <s v="0"/>
    <m/>
    <m/>
    <s v="0"/>
    <m/>
    <m/>
    <s v="0"/>
    <m/>
    <m/>
    <s v="0"/>
    <m/>
    <m/>
    <m/>
    <d v="2014-05-04T00:00:00"/>
    <d v="2015-06-03T00:00:00"/>
    <n v="13.166666666666666"/>
    <m/>
    <d v="2014-12-19T00:00:00"/>
    <s v="ok"/>
    <d v="2015-06-03T00:00:00"/>
    <m/>
    <d v="2014-06-04T00:00:00"/>
    <x v="11"/>
    <x v="2"/>
    <n v="12.133333333333333"/>
    <n v="4597.6309846555168"/>
    <n v="55784.589280486936"/>
    <m/>
    <m/>
    <n v="90483"/>
    <m/>
    <m/>
    <m/>
    <n v="0"/>
    <m/>
    <s v="Lot Elec : DTS par Rayroux_x000a_Soit 1 lot sur 16_x000a_3 RO"/>
    <m/>
    <m/>
    <m/>
    <m/>
    <m/>
    <m/>
    <m/>
    <s v="à faire"/>
    <d v="2016-06-03T00:00:00"/>
    <n v="59673"/>
    <s v="7/9/15 - correctifs à apporter"/>
    <d v="2015-12-15T00:00:00"/>
    <m/>
    <m/>
    <m/>
    <m/>
    <m/>
    <d v="2017-09-28T00:00:00"/>
    <m/>
    <m/>
    <m/>
    <m/>
    <m/>
    <m/>
    <n v="1808199"/>
    <n v="1899089.47"/>
    <n v="1808176.47"/>
    <n v="1808176.47"/>
    <n v="-90913"/>
    <n v="1950.1051206833329"/>
    <n v="139090.49769230769"/>
    <m/>
    <m/>
    <n v="0"/>
    <n v="706398.49"/>
    <n v="706398.49"/>
    <m/>
    <n v="54338.345384615386"/>
    <n v="0"/>
    <n v="1041347.98"/>
    <n v="1041347.98"/>
    <n v="179485"/>
    <n v="861862.98"/>
    <n v="0"/>
    <n v="80103.690769230772"/>
    <n v="0"/>
    <n v="60430"/>
    <n v="60000"/>
    <m/>
    <n v="3.3182601917167966E-2"/>
    <m/>
    <n v="430"/>
    <n v="0"/>
    <n v="4615.3846153846152"/>
    <n v="58953.729999999996"/>
    <n v="0"/>
    <m/>
    <m/>
    <n v="0"/>
    <n v="0"/>
    <n v="58986.806923076925"/>
    <n v="0"/>
    <n v="58953.729999999996"/>
    <n v="0.42385160005981054"/>
    <m/>
    <m/>
    <n v="90483"/>
    <n v="1899089.4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aille en Queue"/>
    <m/>
    <x v="3"/>
    <x v="2"/>
    <x v="2"/>
    <s v="PRLC 0138"/>
    <s v="YFR"/>
    <s v="VAF"/>
    <x v="0"/>
    <m/>
    <m/>
    <s v="servitude EP à faire : délib CM transmise au notaire qui doit faire un projet de servitude_x000a_rétrocéder voirie : BJE doit faire DA / DOE transmis à Commune"/>
    <m/>
    <m/>
    <m/>
    <n v="3000"/>
    <n v="200500"/>
    <n v="112930"/>
    <n v="20050"/>
    <n v="66.833333333333329"/>
    <n v="37.643333333333331"/>
    <n v="120.70587229312298"/>
    <n v="11293"/>
    <n v="300"/>
    <n v="691.97"/>
    <n v="33.333333333333336"/>
    <s v="UD"/>
    <n v="850"/>
    <n v="0.3"/>
    <x v="0"/>
    <x v="14"/>
    <n v="10"/>
    <m/>
    <n v="10"/>
    <m/>
    <m/>
    <m/>
    <n v="935.58"/>
    <m/>
    <n v="935.58"/>
    <n v="93.558000000000007"/>
    <m/>
    <m/>
    <n v="0.3"/>
    <n v="0.5"/>
    <n v="0.2"/>
    <n v="884"/>
    <n v="91"/>
    <n v="3.0333333333333334E-2"/>
    <n v="1.5"/>
    <s v="MDV"/>
    <s v="non"/>
    <m/>
    <m/>
    <m/>
    <m/>
    <d v="2012-02-24T00:00:00"/>
    <s v="OFOI"/>
    <s v="LOGIS 2"/>
    <m/>
    <d v="2012-09-27T00:00:00"/>
    <m/>
    <m/>
    <d v="2012-10-08T00:00:00"/>
    <m/>
    <m/>
    <m/>
    <m/>
    <m/>
    <d v="2013-02-14T00:00:00"/>
    <d v="2015-02-14T00:00:00"/>
    <d v="2016-02-14T00:00:00"/>
    <m/>
    <s v="oui"/>
    <n v="4"/>
    <n v="18677.224538483835"/>
    <n v="0"/>
    <m/>
    <m/>
    <m/>
    <m/>
    <m/>
    <m/>
    <m/>
    <m/>
    <m/>
    <m/>
    <m/>
    <m/>
    <m/>
    <m/>
    <m/>
    <m/>
    <m/>
    <m/>
    <s v="BARET/GILLOT"/>
    <d v="2012-12-12T00:00:00"/>
    <m/>
    <n v="1784992.95"/>
    <d v="2014-06-12T00:00:00"/>
    <d v="2014-12-12T00:00:00"/>
    <d v="2014-04-17T00:00:00"/>
    <d v="2014-12-12T00:00:00"/>
    <n v="10.033333333333333"/>
    <m/>
    <m/>
    <m/>
    <s v="0"/>
    <m/>
    <m/>
    <s v="0"/>
    <m/>
    <m/>
    <s v="0"/>
    <m/>
    <m/>
    <s v="0"/>
    <m/>
    <m/>
    <s v="0"/>
    <m/>
    <m/>
    <m/>
    <m/>
    <s v="0"/>
    <m/>
    <x v="9"/>
    <x v="2"/>
    <n v="9.0666666666666664"/>
    <s v="0"/>
    <n v="14"/>
    <n v="26"/>
    <m/>
    <m/>
    <s v="0"/>
    <m/>
    <m/>
    <s v="0"/>
    <m/>
    <d v="2018-11-20T00:00:00"/>
    <s v="0"/>
    <m/>
    <m/>
    <s v="0"/>
    <m/>
    <m/>
    <s v="0"/>
    <m/>
    <m/>
    <s v="0"/>
    <m/>
    <m/>
    <s v="0"/>
    <m/>
    <m/>
    <m/>
    <d v="2014-08-26T00:00:00"/>
    <d v="2015-09-18T00:00:00"/>
    <n v="12.933333333333334"/>
    <m/>
    <d v="2015-10-08T00:00:00"/>
    <s v="ok"/>
    <d v="2015-09-30T00:00:00"/>
    <m/>
    <d v="2014-09-26T00:00:00"/>
    <x v="12"/>
    <x v="2"/>
    <n v="12.6"/>
    <n v="4669.3061346209588"/>
    <n v="58833.257296224081"/>
    <m/>
    <m/>
    <n v="179385.62"/>
    <m/>
    <m/>
    <m/>
    <n v="0"/>
    <m/>
    <s v="Lot Peinture : LSR par Marine Peinture_x000a_Lot ECS : Ersec par Gaia_x000a_Lot Plomb : Ersec par PSVR_x000a_Lot Cloison : CIOI par Austral Placo_x000a_Lot Charpente : CSMD par HJP_x000a_Lot Metallerie : CSMD par HJP_x000a_Lot Revetement Dur : PSOI par TPMIB_x000a_Soit 7 lots sur 15 soit 45 %_x000a_2 RO"/>
    <m/>
    <m/>
    <s v="ok"/>
    <m/>
    <s v="ok"/>
    <s v="ok"/>
    <s v="ok"/>
    <s v="ok"/>
    <d v="2016-09-18T00:00:00"/>
    <m/>
    <d v="2015-11-03T00:00:00"/>
    <s v="07/12/2015_x000a_15/03/16"/>
    <s v="ok"/>
    <d v="2017-02-15T00:00:00"/>
    <d v="2017-02-15T00:00:00"/>
    <m/>
    <s v="24/02/2016_x000a_06/09/2016"/>
    <m/>
    <s v="dossier chez OFOI 08/03/2017"/>
    <d v="2017-03-14T00:00:00"/>
    <s v="ok"/>
    <d v="2018-04-24T00:00:00"/>
    <s v="ok"/>
    <m/>
    <n v="1723671"/>
    <n v="2008085.62"/>
    <n v="1928700"/>
    <n v="1928700"/>
    <n v="-79385.620000000112"/>
    <n v="2061.5019560059"/>
    <n v="192870"/>
    <n v="1672116"/>
    <m/>
    <n v="0.85017810943738525"/>
    <n v="553441"/>
    <n v="553441"/>
    <m/>
    <n v="55344.1"/>
    <n v="0"/>
    <n v="1110259"/>
    <n v="1110259"/>
    <n v="257996"/>
    <n v="852263"/>
    <n v="0"/>
    <n v="111025.9"/>
    <n v="100000"/>
    <n v="165000"/>
    <n v="165000"/>
    <m/>
    <n v="8.5549852232073412E-2"/>
    <m/>
    <n v="0"/>
    <n v="0"/>
    <n v="16500"/>
    <n v="71844.100000000006"/>
    <n v="0"/>
    <m/>
    <m/>
    <n v="666201.89926500001"/>
    <n v="200000"/>
    <n v="91844.1"/>
    <n v="206916.91"/>
    <n v="112535.791"/>
    <n v="0.45384648427584195"/>
    <n v="115301.53"/>
    <m/>
    <n v="179385.62"/>
    <n v="2674287.5192650002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Jules Arlandas (Alamandas)"/>
    <m/>
    <x v="2"/>
    <x v="1"/>
    <x v="2"/>
    <s v="PRLC 0107"/>
    <s v="SGM"/>
    <m/>
    <x v="0"/>
    <m/>
    <m/>
    <m/>
    <m/>
    <m/>
    <m/>
    <n v="5530"/>
    <n v="1300000"/>
    <n v="1300000"/>
    <n v="17333.333333333332"/>
    <n v="235.08137432188065"/>
    <n v="235.08137432188065"/>
    <n v="198.20517589947033"/>
    <n v="17333.333333333332"/>
    <n v="73.733333333333334"/>
    <m/>
    <n v="135.62386980108499"/>
    <s v="UAa"/>
    <m/>
    <m/>
    <x v="0"/>
    <x v="15"/>
    <n v="75"/>
    <m/>
    <n v="75"/>
    <m/>
    <m/>
    <m/>
    <n v="6558.86"/>
    <m/>
    <n v="6558.86"/>
    <n v="87.451466666666661"/>
    <n v="6.6666666666666666E-2"/>
    <n v="0.13333333333333333"/>
    <n v="0.4"/>
    <n v="0.33333333333333331"/>
    <n v="6.6666666666666666E-2"/>
    <n v="697.88"/>
    <n v="0"/>
    <n v="0"/>
    <n v="7"/>
    <s v="collectif"/>
    <s v="oui"/>
    <m/>
    <m/>
    <m/>
    <m/>
    <d v="2012-02-24T00:00:00"/>
    <s v="INGEPAR"/>
    <s v="LS 44"/>
    <m/>
    <d v="2012-07-04T00:00:00"/>
    <m/>
    <m/>
    <d v="2012-10-01T00:00:00"/>
    <m/>
    <m/>
    <m/>
    <m/>
    <m/>
    <d v="2013-02-14T00:00:00"/>
    <d v="2015-02-14T00:00:00"/>
    <d v="2016-02-14T00:00:00"/>
    <m/>
    <s v="oui"/>
    <n v="2"/>
    <n v="66605.829392276341"/>
    <n v="0"/>
    <m/>
    <m/>
    <m/>
    <m/>
    <m/>
    <m/>
    <m/>
    <m/>
    <m/>
    <m/>
    <m/>
    <m/>
    <m/>
    <m/>
    <m/>
    <m/>
    <m/>
    <m/>
    <s v="MAREL"/>
    <d v="2012-12-27T00:00:00"/>
    <m/>
    <n v="12054387.02"/>
    <d v="2014-06-27T00:00:00"/>
    <d v="2014-12-27T00:00:00"/>
    <d v="2013-12-09T00:00:00"/>
    <d v="2015-10-20T00:00:00"/>
    <n v="1.1666666666666667"/>
    <m/>
    <m/>
    <m/>
    <s v="0"/>
    <m/>
    <m/>
    <s v="0"/>
    <m/>
    <m/>
    <s v="0"/>
    <m/>
    <m/>
    <s v="0"/>
    <m/>
    <m/>
    <s v="0"/>
    <m/>
    <m/>
    <m/>
    <m/>
    <s v="0"/>
    <m/>
    <x v="10"/>
    <x v="2"/>
    <n v="11.133333333333333"/>
    <s v="0"/>
    <n v="20"/>
    <n v="28"/>
    <m/>
    <m/>
    <s v="0"/>
    <m/>
    <m/>
    <s v="0"/>
    <m/>
    <m/>
    <s v="0"/>
    <m/>
    <m/>
    <s v="0"/>
    <m/>
    <m/>
    <s v="0"/>
    <m/>
    <m/>
    <s v="0"/>
    <m/>
    <m/>
    <s v="0"/>
    <m/>
    <m/>
    <m/>
    <d v="2015-02-03T00:00:00"/>
    <d v="2015-10-19T00:00:00"/>
    <n v="8.6"/>
    <d v="2015-12-09T00:00:00"/>
    <d v="2015-11-24T00:00:00"/>
    <s v="ok"/>
    <d v="2015-11-24T00:00:00"/>
    <m/>
    <d v="2015-03-03T00:00:00"/>
    <x v="13"/>
    <x v="2"/>
    <n v="8.8666666666666671"/>
    <n v="33302.91469613817"/>
    <n v="295285.84363909176"/>
    <m/>
    <m/>
    <n v="0"/>
    <m/>
    <m/>
    <m/>
    <n v="0"/>
    <m/>
    <s v="OPC :  L'hospitalier par Fromentin_x000a_Lot Etanchéité :_x000a_Lot Peinture :_x000a_Lot Cloison : Plaquiste réunion par Plaquiste.com_x000a_Menui Alu : FAOI par Technipose_x000a_Menui Alu : Technipose par Soremir_x000a_Lot Elect : I2E par Megawatt_x000a_Soit  6 lots sur 22 = 27 %"/>
    <m/>
    <m/>
    <d v="2016-11-05T00:00:00"/>
    <m/>
    <m/>
    <m/>
    <m/>
    <d v="2016-10-13T00:00:00"/>
    <m/>
    <n v="114015"/>
    <s v="ok"/>
    <d v="2016-02-24T00:00:00"/>
    <m/>
    <m/>
    <m/>
    <m/>
    <m/>
    <d v="2018-02-05T00:00:00"/>
    <m/>
    <d v="2017-03-14T00:00:00"/>
    <m/>
    <m/>
    <m/>
    <m/>
    <n v="11693100"/>
    <n v="12349548.309999999"/>
    <n v="12349548.309999999"/>
    <n v="12349548.309999999"/>
    <n v="0"/>
    <n v="1882.8803038942742"/>
    <n v="164660.64413333332"/>
    <m/>
    <m/>
    <n v="0"/>
    <n v="3816022.8"/>
    <n v="3816022.8"/>
    <m/>
    <n v="50880.303999999996"/>
    <n v="0"/>
    <n v="7538525.5099999998"/>
    <n v="7538525.5099999998"/>
    <n v="1459253.6"/>
    <n v="6079271.9100000001"/>
    <n v="0"/>
    <n v="100513.67346666666"/>
    <n v="0"/>
    <n v="995000"/>
    <n v="995000"/>
    <m/>
    <n v="8.0569748384586873E-2"/>
    <m/>
    <n v="0"/>
    <n v="0"/>
    <n v="13266.666666666666"/>
    <n v="64146.970666666661"/>
    <n v="0"/>
    <m/>
    <m/>
    <n v="0"/>
    <n v="0"/>
    <n v="64146.970666666661"/>
    <n v="0"/>
    <n v="64146.970666666661"/>
    <n v="0.38957075021960869"/>
    <m/>
    <m/>
    <m/>
    <n v="12349548.309999999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aurency "/>
    <m/>
    <x v="3"/>
    <x v="2"/>
    <x v="2"/>
    <s v="PRLC 0101"/>
    <s v="APU"/>
    <s v="GGO"/>
    <x v="0"/>
    <n v="15914.36866359447"/>
    <m/>
    <s v="rétrocession voirie Mairie : dossier transmis à commune_x000a_lots à commercialiser : dépôt de pièces à faire chez notaire_x000a_vérifier avec notaire s'il faut afficher le PA modif_x000a_notaire prépare cession de la CH 505 à M. RIVIERE_x000a_"/>
    <m/>
    <m/>
    <m/>
    <n v="6156.15"/>
    <n v="164070"/>
    <n v="163875"/>
    <n v="7457.727272727273"/>
    <n v="26.651397383104701"/>
    <n v="26.619721741672961"/>
    <n v="97.053597867930122"/>
    <n v="7448.863636363636"/>
    <n v="279.82499999999999"/>
    <m/>
    <n v="35.736621102474764"/>
    <s v="UD"/>
    <n v="890"/>
    <m/>
    <x v="0"/>
    <x v="16"/>
    <n v="22"/>
    <m/>
    <n v="22"/>
    <m/>
    <m/>
    <m/>
    <n v="1688.5"/>
    <m/>
    <n v="1688.5"/>
    <n v="76.75"/>
    <n v="0"/>
    <n v="0.18181818181818182"/>
    <n v="0.36363636363636365"/>
    <n v="0.27272727272727271"/>
    <n v="0.18181818181818182"/>
    <n v="1841.6"/>
    <m/>
    <n v="0"/>
    <n v="1.5"/>
    <s v="MDV"/>
    <s v="non"/>
    <m/>
    <m/>
    <m/>
    <m/>
    <d v="2012-02-24T00:00:00"/>
    <s v="OFOI"/>
    <s v="LOGIS 2"/>
    <m/>
    <d v="2012-09-25T00:00:00"/>
    <m/>
    <m/>
    <d v="2012-10-15T00:00:00"/>
    <m/>
    <m/>
    <m/>
    <m/>
    <m/>
    <d v="2013-02-14T00:00:00"/>
    <d v="2015-02-14T00:00:00"/>
    <d v="2016-02-14T00:00:00"/>
    <m/>
    <s v="oui"/>
    <n v="0"/>
    <n v="0"/>
    <n v="0"/>
    <m/>
    <m/>
    <m/>
    <m/>
    <m/>
    <m/>
    <m/>
    <m/>
    <m/>
    <m/>
    <m/>
    <m/>
    <m/>
    <m/>
    <m/>
    <m/>
    <m/>
    <m/>
    <s v="LE GOFF"/>
    <d v="2012-12-13T00:00:00"/>
    <s v="ok"/>
    <n v="3339290.63"/>
    <d v="2014-06-13T00:00:00"/>
    <d v="2014-12-13T00:00:00"/>
    <d v="2013-10-22T00:00:00"/>
    <d v="2015-02-16T00:00:00"/>
    <n v="11.933333333333334"/>
    <m/>
    <m/>
    <m/>
    <s v="0"/>
    <m/>
    <m/>
    <s v="0"/>
    <m/>
    <m/>
    <s v="0"/>
    <m/>
    <m/>
    <s v="0"/>
    <m/>
    <m/>
    <s v="0"/>
    <m/>
    <m/>
    <m/>
    <m/>
    <s v="0"/>
    <m/>
    <x v="8"/>
    <x v="2"/>
    <n v="3.9333333333333331"/>
    <s v="0"/>
    <n v="14"/>
    <n v="33"/>
    <m/>
    <m/>
    <s v="0"/>
    <m/>
    <m/>
    <s v="0"/>
    <m/>
    <m/>
    <s v="0"/>
    <m/>
    <m/>
    <s v="0"/>
    <m/>
    <m/>
    <s v="0"/>
    <m/>
    <m/>
    <s v="0"/>
    <m/>
    <m/>
    <s v="0"/>
    <m/>
    <m/>
    <m/>
    <d v="2014-03-21T00:00:00"/>
    <d v="2015-11-18T00:00:00"/>
    <n v="20.233333333333334"/>
    <m/>
    <d v="2015-11-30T00:00:00"/>
    <s v="ok"/>
    <s v="ok"/>
    <m/>
    <d v="2014-04-21T00:00:00"/>
    <x v="14"/>
    <x v="3"/>
    <n v="21.966666666666665"/>
    <n v="8886.294089596"/>
    <n v="195202.26016812545"/>
    <m/>
    <m/>
    <n v="406263"/>
    <n v="125069"/>
    <m/>
    <m/>
    <n v="0"/>
    <m/>
    <s v="Lot 1.1 SATP_x000a_Lot 9 ERSEC _x000a_Soit 2 lots sur 15 = 13%_x000a_3 RO"/>
    <m/>
    <m/>
    <d v="2015-11-13T00:00:00"/>
    <m/>
    <s v="notifiés le 20/06/2016"/>
    <d v="2015-12-10T00:00:00"/>
    <d v="2016-03-01T00:00:00"/>
    <d v="2017-05-14T00:00:00"/>
    <d v="2016-11-18T00:00:00"/>
    <n v="56767"/>
    <d v="2016-06-09T00:00:00"/>
    <d v="2016-06-10T00:00:00"/>
    <s v="ok"/>
    <d v="2017-05-29T00:00:00"/>
    <m/>
    <m/>
    <s v="14/09/2016_x000a_21/02/16"/>
    <m/>
    <s v="dossier envoyé 22/02/17"/>
    <d v="2017-03-14T00:00:00"/>
    <s v="ok"/>
    <d v="2017-07-31T00:00:00"/>
    <m/>
    <m/>
    <n v="3365389"/>
    <n v="3899161"/>
    <n v="3382898"/>
    <n v="3382898"/>
    <n v="-516263"/>
    <n v="2003.4930411607936"/>
    <n v="153768.09090909091"/>
    <n v="3169080"/>
    <m/>
    <n v="0.82982741158931361"/>
    <n v="929819"/>
    <n v="929819"/>
    <m/>
    <n v="42264.5"/>
    <n v="0"/>
    <n v="1895079"/>
    <n v="1895079"/>
    <n v="328778"/>
    <n v="1566301"/>
    <n v="0"/>
    <n v="86139.954545454544"/>
    <n v="0"/>
    <n v="668000"/>
    <n v="558000"/>
    <n v="110000"/>
    <n v="0.16494733213948515"/>
    <m/>
    <n v="0"/>
    <n v="-110000"/>
    <n v="25363.636363636364"/>
    <n v="67628.136363636368"/>
    <n v="-5000"/>
    <m/>
    <m/>
    <n v="1214321.7850000001"/>
    <n v="440000"/>
    <n v="92628.136363636368"/>
    <n v="91493"/>
    <n v="91786.909090909088"/>
    <n v="0.45583657545255596"/>
    <n v="167316.375"/>
    <m/>
    <n v="406263"/>
    <n v="5113482.785000000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e Cap (BH 228)"/>
    <m/>
    <x v="3"/>
    <x v="2"/>
    <x v="2"/>
    <s v="PRLC 0135"/>
    <s v="YFR"/>
    <s v="VAF"/>
    <x v="0"/>
    <m/>
    <s v="BH 228"/>
    <s v="abandon servitude EP - si débordement on avisera"/>
    <m/>
    <m/>
    <m/>
    <n v="7382"/>
    <n v="243429"/>
    <n v="239545"/>
    <n v="10142.875"/>
    <n v="32.976022758060147"/>
    <n v="32.449878081820643"/>
    <n v="118.47636852830038"/>
    <n v="9981.0416666666661"/>
    <n v="307.58333333333331"/>
    <m/>
    <n v="32.511514494716877"/>
    <s v="UD"/>
    <n v="750"/>
    <n v="0.3"/>
    <x v="0"/>
    <x v="17"/>
    <n v="24"/>
    <m/>
    <n v="24"/>
    <m/>
    <m/>
    <m/>
    <n v="2021.88"/>
    <m/>
    <n v="2021.88"/>
    <n v="84.245000000000005"/>
    <m/>
    <m/>
    <m/>
    <m/>
    <m/>
    <n v="1700"/>
    <n v="486"/>
    <n v="6.5835816851801676E-2"/>
    <n v="1.5"/>
    <s v="collectif"/>
    <s v="non"/>
    <m/>
    <m/>
    <m/>
    <m/>
    <d v="2012-02-24T00:00:00"/>
    <s v="OFOI"/>
    <s v="LOGIS 2"/>
    <m/>
    <d v="2012-09-18T00:00:00"/>
    <m/>
    <m/>
    <d v="2012-11-19T00:00:00"/>
    <m/>
    <m/>
    <m/>
    <m/>
    <m/>
    <d v="2013-02-14T00:00:00"/>
    <d v="2015-02-14T00:00:00"/>
    <d v="2016-02-14T00:00:00"/>
    <m/>
    <s v="oui"/>
    <e v="#NUM!"/>
    <e v="#NUM!"/>
    <e v="#NUM!"/>
    <m/>
    <m/>
    <m/>
    <m/>
    <m/>
    <m/>
    <m/>
    <m/>
    <m/>
    <m/>
    <m/>
    <m/>
    <m/>
    <m/>
    <m/>
    <m/>
    <m/>
    <m/>
    <s v="LE GOFF"/>
    <d v="2012-12-13T00:00:00"/>
    <m/>
    <n v="3769955.4652301664"/>
    <d v="2014-06-13T00:00:00"/>
    <d v="2014-12-13T00:00:00"/>
    <d v="2014-07-30T00:00:00"/>
    <d v="2015-04-15T00:00:00"/>
    <n v="17.266666666666666"/>
    <m/>
    <m/>
    <m/>
    <s v="0"/>
    <m/>
    <m/>
    <s v="0"/>
    <m/>
    <m/>
    <s v="0"/>
    <m/>
    <m/>
    <s v="0"/>
    <m/>
    <m/>
    <s v="0"/>
    <m/>
    <m/>
    <m/>
    <m/>
    <s v="0"/>
    <m/>
    <x v="11"/>
    <x v="2"/>
    <n v="13.4"/>
    <s v="0"/>
    <n v="17"/>
    <n v="34"/>
    <m/>
    <m/>
    <s v="0"/>
    <m/>
    <m/>
    <s v="0"/>
    <m/>
    <m/>
    <s v="0"/>
    <m/>
    <m/>
    <s v="0"/>
    <m/>
    <m/>
    <s v="0"/>
    <m/>
    <m/>
    <s v="0"/>
    <m/>
    <m/>
    <s v="0"/>
    <m/>
    <m/>
    <m/>
    <d v="2015-03-25T00:00:00"/>
    <d v="2016-09-06T00:00:00"/>
    <n v="17.7"/>
    <d v="2016-07-30T00:00:00"/>
    <d v="2016-09-20T00:00:00"/>
    <d v="2015-12-04T00:00:00"/>
    <s v="ok"/>
    <m/>
    <d v="2015-04-25T00:00:00"/>
    <x v="15"/>
    <x v="3"/>
    <n v="16.933333333333334"/>
    <n v="8408.8783613612504"/>
    <n v="142390.34025238384"/>
    <s v="ok"/>
    <m/>
    <n v="8439"/>
    <m/>
    <m/>
    <m/>
    <n v="0"/>
    <m/>
    <s v="Lot Bardage : EEC par MJF_x000a_Lot Charpente : EEC par MJF_x000a_Lot Elect : I2E par IEB_x000a_Lot Plomb : Sarhane par Ersec_x000a_Lot Plomb : Ersec par CSO_x000a_Soit 5 lot sur 14 = 35%_x000a_2 RO"/>
    <m/>
    <m/>
    <d v="2016-11-28T00:00:00"/>
    <m/>
    <s v="ok"/>
    <s v="ok"/>
    <d v="2017-01-31T00:00:00"/>
    <d v="2017-09-01T00:00:00"/>
    <d v="2017-09-06T00:00:00"/>
    <n v="57355"/>
    <d v="2016-12-12T00:00:00"/>
    <d v="2017-01-20T00:00:00"/>
    <m/>
    <m/>
    <m/>
    <m/>
    <d v="2017-04-04T00:00:00"/>
    <s v="envoi arrangeur 21/02/18"/>
    <m/>
    <d v="2017-03-14T00:00:00"/>
    <s v="ok"/>
    <d v="2018-04-24T00:00:00"/>
    <s v="ok"/>
    <m/>
    <n v="3907101"/>
    <n v="4111004"/>
    <n v="4102565"/>
    <n v="4102565"/>
    <n v="-8439"/>
    <n v="2029.0843175658297"/>
    <n v="170940.20833333334"/>
    <n v="3645377"/>
    <m/>
    <n v="0.90535789237860131"/>
    <n v="1196851"/>
    <n v="1196851"/>
    <m/>
    <n v="49868.791666666664"/>
    <n v="0"/>
    <n v="2362522"/>
    <n v="2362522"/>
    <n v="585357"/>
    <n v="1777165"/>
    <n v="0"/>
    <n v="98438.416666666672"/>
    <n v="0"/>
    <n v="384000"/>
    <n v="384000"/>
    <m/>
    <n v="9.3599979525004484E-2"/>
    <n v="159192"/>
    <n v="0"/>
    <n v="0"/>
    <n v="16000"/>
    <n v="65868.791666666672"/>
    <n v="0"/>
    <m/>
    <m/>
    <n v="913316.69861249998"/>
    <n v="480000"/>
    <n v="85868.791666666672"/>
    <n v="148968.80577250005"/>
    <n v="92075.825240520833"/>
    <n v="0.46341443471424698"/>
    <n v="247321.11820000003"/>
    <m/>
    <n v="8439"/>
    <n v="5024320.69861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Max GOBETTI (AUBEPINES)"/>
    <m/>
    <x v="2"/>
    <x v="1"/>
    <x v="2"/>
    <s v="PRLC 0104"/>
    <s v="ADE"/>
    <s v="DAM"/>
    <x v="0"/>
    <m/>
    <m/>
    <m/>
    <m/>
    <m/>
    <m/>
    <n v="2666"/>
    <n v="209000"/>
    <n v="154394"/>
    <n v="12294.117647058823"/>
    <n v="78.394598649662413"/>
    <n v="57.912228057014254"/>
    <n v="124.49121109498468"/>
    <n v="9082"/>
    <n v="156.8235294117647"/>
    <m/>
    <n v="63.765941485371343"/>
    <s v="UB"/>
    <m/>
    <m/>
    <x v="0"/>
    <x v="18"/>
    <n v="17"/>
    <m/>
    <n v="17"/>
    <m/>
    <m/>
    <m/>
    <n v="1240.2"/>
    <m/>
    <n v="1240.2"/>
    <n v="72.952941176470588"/>
    <m/>
    <m/>
    <m/>
    <m/>
    <m/>
    <n v="760"/>
    <n v="300"/>
    <n v="0.11252813203300825"/>
    <n v="3"/>
    <s v="collectif"/>
    <s v="non"/>
    <m/>
    <m/>
    <m/>
    <m/>
    <d v="2012-02-24T00:00:00"/>
    <s v="OFOI"/>
    <s v="LOGIS 1"/>
    <m/>
    <d v="2012-09-18T00:00:00"/>
    <m/>
    <m/>
    <d v="2012-11-12T00:00:00"/>
    <m/>
    <m/>
    <m/>
    <m/>
    <m/>
    <d v="2013-02-14T00:00:00"/>
    <d v="2015-02-14T00:00:00"/>
    <d v="2016-02-14T00:00:00"/>
    <m/>
    <s v="oui"/>
    <e v="#NUM!"/>
    <e v="#NUM!"/>
    <e v="#NUM!"/>
    <m/>
    <m/>
    <m/>
    <m/>
    <m/>
    <m/>
    <m/>
    <m/>
    <m/>
    <m/>
    <m/>
    <m/>
    <m/>
    <m/>
    <m/>
    <m/>
    <m/>
    <m/>
    <s v="BARET/GILLOT"/>
    <d v="2012-12-12T00:00:00"/>
    <m/>
    <n v="2452763.1145935361"/>
    <d v="2014-06-12T00:00:00"/>
    <d v="2014-12-12T00:00:00"/>
    <d v="2014-04-15T00:00:00"/>
    <d v="2015-02-12T00:00:00"/>
    <n v="22.633333333333333"/>
    <m/>
    <m/>
    <m/>
    <s v="0"/>
    <m/>
    <m/>
    <s v="0"/>
    <m/>
    <m/>
    <s v="0"/>
    <m/>
    <m/>
    <s v="0"/>
    <m/>
    <m/>
    <s v="0"/>
    <m/>
    <m/>
    <m/>
    <m/>
    <s v="0"/>
    <m/>
    <x v="7"/>
    <x v="2"/>
    <n v="4.6333333333333337"/>
    <s v="0"/>
    <n v="14"/>
    <n v="46"/>
    <m/>
    <m/>
    <s v="0"/>
    <m/>
    <m/>
    <s v="0"/>
    <m/>
    <m/>
    <s v="0"/>
    <m/>
    <m/>
    <s v="0"/>
    <m/>
    <m/>
    <s v="0"/>
    <m/>
    <m/>
    <s v="0"/>
    <m/>
    <m/>
    <s v="0"/>
    <m/>
    <m/>
    <m/>
    <d v="2014-04-04T00:00:00"/>
    <d v="2016-12-09T00:00:00"/>
    <n v="32.666666666666664"/>
    <d v="2016-04-15T00:00:00"/>
    <d v="2017-02-22T00:00:00"/>
    <s v="ok"/>
    <s v="ok"/>
    <m/>
    <d v="2014-05-04T00:00:00"/>
    <x v="16"/>
    <x v="3"/>
    <n v="32.1"/>
    <n v="6627.916666666667"/>
    <n v="212756.12500000003"/>
    <s v="ok"/>
    <m/>
    <n v="0"/>
    <m/>
    <m/>
    <m/>
    <n v="0"/>
    <m/>
    <s v="Résiliation ABR 21/08/13 - attribution EKCB 04/02/14 _x000a_Résiliation SATP 20/03/14 - attribution TPL 19/09/14 _x000a_Résiliation CSMD 16/05/14 - attribution EKCB 20/07/14 _x000a_Résiliation IJAP 20/06/14 - attribution M Peinture 03/12/14 _x000a_Résiliation APOI 16/06/15 - attribution SOREMIR 04/09/15_x000a_Lot Elec : DTS par Idem_x000a_ soit 6 lots sur 15 soit 40%_x000a_3 RO"/>
    <m/>
    <m/>
    <s v="3 réserves à lever"/>
    <m/>
    <s v="notifiés en mai"/>
    <s v="manque  DOE Métallerie"/>
    <d v="2017-07-12T00:00:00"/>
    <d v="2017-09-22T00:00:00"/>
    <d v="2017-12-09T00:00:00"/>
    <n v="41687"/>
    <d v="2017-02-13T00:00:00"/>
    <d v="2017-02-13T00:00:00"/>
    <m/>
    <m/>
    <m/>
    <m/>
    <d v="2017-06-29T00:00:00"/>
    <s v="envoyé arrangeur 12/10/17"/>
    <m/>
    <d v="2017-03-14T00:00:00"/>
    <s v="ok"/>
    <s v="ok"/>
    <s v="ok"/>
    <m/>
    <n v="2618300"/>
    <n v="3203899"/>
    <n v="3118900"/>
    <n v="3118900"/>
    <n v="-84999"/>
    <n v="2514.8363167231091"/>
    <n v="183464.70588235295"/>
    <n v="2379882"/>
    <m/>
    <n v="0.75840702906052904"/>
    <n v="750247"/>
    <n v="750248"/>
    <m/>
    <n v="44132.23529411765"/>
    <n v="1"/>
    <n v="1395754"/>
    <n v="1395754"/>
    <n v="259962"/>
    <n v="1135792"/>
    <n v="0"/>
    <n v="82103.176470588238"/>
    <n v="0"/>
    <n v="339997"/>
    <n v="254997"/>
    <n v="85000"/>
    <n v="8.1758632851325785E-2"/>
    <n v="717901"/>
    <n v="0"/>
    <n v="-85000"/>
    <n v="14999.823529411764"/>
    <n v="59132.058823529413"/>
    <n v="-5000"/>
    <m/>
    <m/>
    <n v="508572.84914999997"/>
    <n v="340000"/>
    <n v="84132"/>
    <n v="0"/>
    <n v="79132.058823529413"/>
    <n v="0.38769697915161655"/>
    <n v="157636.68239999999"/>
    <m/>
    <m/>
    <n v="3712471.849150000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Bouton d'Or "/>
    <m/>
    <x v="2"/>
    <x v="1"/>
    <x v="2"/>
    <s v="PRLC 0117"/>
    <s v="FVA"/>
    <s v="GGO"/>
    <x v="0"/>
    <m/>
    <m/>
    <s v="voie intérieure à rétrocéder_x000a_récupérer DOE_x000a_faire le DA : FVA s'en occupe"/>
    <m/>
    <m/>
    <m/>
    <n v="12495"/>
    <n v="825000"/>
    <n v="546365"/>
    <n v="12692.307692307691"/>
    <n v="66.026410564225685"/>
    <n v="43.726690676270508"/>
    <n v="102.74383478695837"/>
    <n v="8405.6153846153848"/>
    <n v="192.23076923076923"/>
    <m/>
    <n v="52.020808323329334"/>
    <s v="UC"/>
    <n v="850"/>
    <m/>
    <x v="0"/>
    <x v="19"/>
    <n v="65"/>
    <m/>
    <n v="65"/>
    <m/>
    <m/>
    <m/>
    <n v="5311.74"/>
    <m/>
    <n v="5317.74"/>
    <n v="81.811384615384611"/>
    <n v="0"/>
    <n v="0.29230769230769232"/>
    <n v="0.30769230769230771"/>
    <n v="0.35384615384615387"/>
    <n v="4.6153846153846156E-2"/>
    <s v="ANC"/>
    <n v="2000"/>
    <n v="0.1600640256102441"/>
    <n v="2.5"/>
    <s v="collectif"/>
    <s v="oui"/>
    <m/>
    <m/>
    <m/>
    <m/>
    <d v="2012-02-24T00:00:00"/>
    <s v="INGEPAR"/>
    <s v="LS 20"/>
    <m/>
    <d v="2012-07-01T00:00:00"/>
    <m/>
    <m/>
    <d v="2012-08-13T00:00:00"/>
    <m/>
    <m/>
    <m/>
    <m/>
    <m/>
    <d v="2013-02-14T00:00:00"/>
    <d v="2015-02-14T00:00:00"/>
    <d v="2016-02-14T00:00:00"/>
    <m/>
    <s v="oui"/>
    <e v="#NUM!"/>
    <e v="#NUM!"/>
    <e v="#NUM!"/>
    <m/>
    <m/>
    <m/>
    <m/>
    <m/>
    <m/>
    <m/>
    <m/>
    <m/>
    <m/>
    <m/>
    <m/>
    <m/>
    <m/>
    <m/>
    <m/>
    <m/>
    <m/>
    <s v="BARET/GILLOT"/>
    <d v="2012-12-18T00:00:00"/>
    <m/>
    <n v="9654414.4900000002"/>
    <d v="2014-06-18T00:00:00"/>
    <d v="2014-12-18T00:00:00"/>
    <d v="2014-05-26T00:00:00"/>
    <d v="2014-10-15T00:00:00"/>
    <n v="31.733333333333334"/>
    <m/>
    <m/>
    <m/>
    <s v="0"/>
    <m/>
    <m/>
    <s v="0"/>
    <m/>
    <m/>
    <s v="0"/>
    <m/>
    <m/>
    <s v="0"/>
    <m/>
    <m/>
    <s v="0"/>
    <m/>
    <m/>
    <m/>
    <m/>
    <s v="0"/>
    <m/>
    <x v="12"/>
    <x v="2"/>
    <n v="7.6333333333333337"/>
    <s v="0"/>
    <n v="21"/>
    <n v="51"/>
    <m/>
    <m/>
    <s v="0"/>
    <m/>
    <m/>
    <s v="0"/>
    <m/>
    <m/>
    <s v="0"/>
    <m/>
    <m/>
    <s v="0"/>
    <m/>
    <m/>
    <s v="0"/>
    <m/>
    <m/>
    <s v="0"/>
    <m/>
    <m/>
    <s v="0"/>
    <m/>
    <m/>
    <m/>
    <d v="2014-11-15T00:00:00"/>
    <d v="2017-05-20T00:00:00"/>
    <n v="30.566666666666666"/>
    <d v="2016-05-26T00:00:00"/>
    <d v="2017-05-24T00:00:00"/>
    <d v="2016-06-14T00:00:00"/>
    <d v="2017-05-09T00:00:00"/>
    <m/>
    <d v="2014-12-15T00:00:00"/>
    <x v="17"/>
    <x v="4"/>
    <n v="29.7"/>
    <n v="27488.225982313335"/>
    <n v="816400.31167470606"/>
    <s v="ok"/>
    <m/>
    <n v="36111"/>
    <m/>
    <m/>
    <m/>
    <n v="0"/>
    <m/>
    <s v="Lot Men Ext_x000a_Lot Cloisons_x000a_Lot Bardage_x000a_Lot Bardage_x000a_soit 4 lots sur 14 = 29%_x000a_4 RO"/>
    <m/>
    <m/>
    <m/>
    <s v="ok"/>
    <m/>
    <m/>
    <d v="2018-03-27T00:00:00"/>
    <s v="à faire"/>
    <d v="2018-05-20T00:00:00"/>
    <n v="206245"/>
    <s v="ok"/>
    <d v="2017-06-21T00:00:00"/>
    <m/>
    <m/>
    <d v="2018-03-26T00:00:00"/>
    <m/>
    <s v="19/07/2017_x000a_05/09/17"/>
    <s v="envoi à l'arrangeur 07/03/18"/>
    <m/>
    <d v="2018-05-03T00:00:00"/>
    <s v="ok"/>
    <m/>
    <m/>
    <m/>
    <n v="9682468.3900000006"/>
    <n v="10302885.028743383"/>
    <n v="10359154.550000001"/>
    <n v="10359154.550000001"/>
    <n v="56269.521256618202"/>
    <n v="1950.2375022120814"/>
    <n v="159371.60846153848"/>
    <n v="9295451"/>
    <m/>
    <n v="0.92116484310196667"/>
    <n v="3195831"/>
    <n v="3195831"/>
    <m/>
    <n v="49166.630769230767"/>
    <n v="0"/>
    <n v="6112292.5499999998"/>
    <n v="6112292.5499999998"/>
    <n v="1264343"/>
    <n v="4847949.55"/>
    <n v="0"/>
    <n v="94035.27"/>
    <n v="0"/>
    <n v="790394"/>
    <n v="790394"/>
    <m/>
    <n v="7.6299083693079944E-2"/>
    <n v="224526"/>
    <n v="0"/>
    <n v="0"/>
    <n v="12159.907692307692"/>
    <n v="61326.538461538461"/>
    <n v="0"/>
    <m/>
    <m/>
    <n v="1951680.4950927752"/>
    <n v="1300000"/>
    <n v="81326.538461538468"/>
    <n v="0"/>
    <n v="81326.538461538468"/>
    <n v="0.44977679130011533"/>
    <n v="557838.66500000004"/>
    <m/>
    <n v="36111"/>
    <n v="12310835.04509277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Takamaka"/>
    <m/>
    <x v="5"/>
    <x v="1"/>
    <x v="3"/>
    <s v="PRLC 0093"/>
    <s v="FHO"/>
    <s v="VAF"/>
    <x v="0"/>
    <m/>
    <m/>
    <s v="lots à vendre : CA EPFR début 2017_x000a_LES : mise en demeure adressée à l'acquéreur faute de quoi classement du dossier"/>
    <s v="SODEGIS"/>
    <s v="Dubois"/>
    <s v="ok"/>
    <n v="4625"/>
    <n v="215000"/>
    <n v="104244"/>
    <n v="15357.142857142857"/>
    <n v="46.486486486486484"/>
    <n v="22.539243243243245"/>
    <n v="91.472596128534079"/>
    <n v="7446"/>
    <n v="330.35714285714283"/>
    <n v="1148.97"/>
    <n v="30.27027027027027"/>
    <s v="UCa"/>
    <n v="20"/>
    <m/>
    <x v="0"/>
    <x v="8"/>
    <n v="14"/>
    <m/>
    <n v="14"/>
    <m/>
    <m/>
    <m/>
    <n v="1044.56"/>
    <m/>
    <n v="1139.6199999999999"/>
    <n v="81.401428571428568"/>
    <m/>
    <m/>
    <m/>
    <m/>
    <m/>
    <m/>
    <n v="551.16"/>
    <n v="0.11916972972972972"/>
    <n v="1.5"/>
    <s v="MDV"/>
    <s v="non"/>
    <m/>
    <m/>
    <m/>
    <d v="2012-11-20T00:00:00"/>
    <d v="2012-02-24T00:00:00"/>
    <s v="OFOI"/>
    <s v="LOGIS 4"/>
    <m/>
    <d v="2013-08-29T00:00:00"/>
    <m/>
    <d v="2013-09-18T00:00:00"/>
    <d v="2013-09-27T00:00:00"/>
    <m/>
    <d v="2013-10-02T00:00:00"/>
    <d v="2013-10-28T00:00:00"/>
    <d v="2014-01-28T00:00:00"/>
    <m/>
    <d v="2014-01-20T00:00:00"/>
    <d v="2016-01-20T00:00:00"/>
    <d v="2017-01-20T00:00:00"/>
    <m/>
    <s v="non"/>
    <n v="14"/>
    <n v="85671.66537622585"/>
    <n v="0"/>
    <m/>
    <s v="CR + CASUD = 19/12/13_x000a_CG = 15/01/14_x000a_CM = OK - mank attest° affichage_x000a_"/>
    <m/>
    <m/>
    <m/>
    <m/>
    <m/>
    <m/>
    <m/>
    <m/>
    <m/>
    <m/>
    <m/>
    <m/>
    <m/>
    <m/>
    <m/>
    <m/>
    <s v="BARET/GILLOT"/>
    <d v="2013-12-17T00:00:00"/>
    <m/>
    <n v="2345333.9"/>
    <d v="2015-06-17T00:00:00"/>
    <d v="2015-12-17T00:00:00"/>
    <d v="2014-12-04T00:00:00"/>
    <d v="2015-09-15T00:00:00"/>
    <n v="1.7"/>
    <m/>
    <m/>
    <m/>
    <s v="0"/>
    <m/>
    <m/>
    <s v="0"/>
    <m/>
    <m/>
    <s v="0"/>
    <m/>
    <m/>
    <s v="0"/>
    <m/>
    <m/>
    <s v="0"/>
    <m/>
    <m/>
    <m/>
    <m/>
    <s v="0"/>
    <m/>
    <x v="13"/>
    <x v="3"/>
    <n v="11.1"/>
    <s v="0"/>
    <n v="14"/>
    <n v="14"/>
    <m/>
    <m/>
    <s v="0"/>
    <m/>
    <m/>
    <s v="0"/>
    <m/>
    <m/>
    <s v="0"/>
    <m/>
    <m/>
    <s v="0"/>
    <m/>
    <m/>
    <s v="0"/>
    <m/>
    <m/>
    <s v="0"/>
    <m/>
    <m/>
    <s v="0"/>
    <m/>
    <m/>
    <m/>
    <d v="2015-09-28T00:00:00"/>
    <d v="2015-09-29T00:00:00"/>
    <n v="3.3333333333333333E-2"/>
    <m/>
    <d v="2015-11-25T00:00:00"/>
    <s v="ok"/>
    <e v="#REF!"/>
    <m/>
    <d v="2015-10-28T00:00:00"/>
    <x v="18"/>
    <x v="2"/>
    <n v="0.26666666666666666"/>
    <n v="6119.4046697304175"/>
    <n v="1631.8412452614446"/>
    <m/>
    <m/>
    <n v="23860"/>
    <m/>
    <m/>
    <n v="66160.799999999988"/>
    <n v="2.7535322905607337E-2"/>
    <m/>
    <s v="Lot Cloison : PRE par DROZ_x000a_ soit 1 sur 15"/>
    <m/>
    <m/>
    <d v="2016-12-21T00:00:00"/>
    <m/>
    <s v="ok"/>
    <s v="ok"/>
    <d v="2016-07-04T00:00:00"/>
    <d v="2017-05-15T00:00:00"/>
    <d v="2016-10-17T00:00:00"/>
    <n v="13313"/>
    <d v="2015-11-16T00:00:00"/>
    <d v="2016-02-02T00:00:00"/>
    <m/>
    <m/>
    <d v="2016-03-30T00:00:00"/>
    <m/>
    <s v="05/10/2016_x000a_28/02/17"/>
    <m/>
    <s v="dossier transmis à OFOI 05/09/16"/>
    <s v="ok"/>
    <m/>
    <s v="ok"/>
    <m/>
    <s v="oui"/>
    <n v="2360150.41"/>
    <n v="2420146"/>
    <n v="2402761"/>
    <n v="2402761"/>
    <n v="-17385"/>
    <n v="2300.261354062955"/>
    <n v="171625.78571428571"/>
    <n v="2112298"/>
    <n v="2153147"/>
    <n v="0.89112650972296714"/>
    <n v="601367"/>
    <n v="642565"/>
    <m/>
    <n v="45897.5"/>
    <n v="41198"/>
    <n v="1294919"/>
    <n v="1260196"/>
    <n v="284216"/>
    <n v="975980"/>
    <n v="-34723"/>
    <n v="90014"/>
    <m/>
    <n v="500000"/>
    <n v="500000"/>
    <m/>
    <n v="0.20809393859813771"/>
    <m/>
    <n v="0"/>
    <n v="0"/>
    <n v="35714.285714285717"/>
    <n v="81611.78571428571"/>
    <n v="0"/>
    <m/>
    <m/>
    <n v="461213.14905750001"/>
    <n v="238500"/>
    <n v="95704.78571428571"/>
    <n v="0"/>
    <n v="98647.5"/>
    <n v="0.50083208663728951"/>
    <n v="106433.17505000001"/>
    <m/>
    <n v="23860"/>
    <n v="2881359.1490575001"/>
    <m/>
    <m/>
    <m/>
    <m/>
    <m/>
    <n v="118584"/>
    <n v="58369"/>
    <d v="2009-12-14T00:00:00"/>
    <n v="7820"/>
    <m/>
    <m/>
    <d v="2012-12-24T00:00:00"/>
    <n v="3939"/>
    <d v="2013-02-08T00:00:00"/>
    <n v="17030"/>
    <d v="1932-06-11T00:00:00"/>
    <n v="11851"/>
    <n v="41547"/>
    <n v="17729"/>
    <m/>
    <m/>
    <m/>
    <m/>
    <m/>
    <m/>
    <m/>
    <m/>
    <m/>
    <m/>
    <m/>
    <m/>
    <m/>
    <m/>
    <m/>
    <m/>
    <n v="17030"/>
    <m/>
    <m/>
    <m/>
    <m/>
    <m/>
  </r>
  <r>
    <s v="Jean MOREL (Amaryllis)"/>
    <m/>
    <x v="2"/>
    <x v="1"/>
    <x v="3"/>
    <s v="PRLC 0109"/>
    <m/>
    <s v="MMA"/>
    <x v="0"/>
    <m/>
    <m/>
    <m/>
    <s v="Commune"/>
    <s v="LE GOFF"/>
    <m/>
    <n v="2250"/>
    <n v="102507"/>
    <n v="68451"/>
    <n v="11389.666666666666"/>
    <n v="45.558666666666667"/>
    <n v="30.422666666666668"/>
    <n v="96.496842223976543"/>
    <n v="7605.666666666667"/>
    <n v="250"/>
    <m/>
    <n v="40"/>
    <s v="UC"/>
    <m/>
    <m/>
    <x v="0"/>
    <x v="20"/>
    <n v="9"/>
    <m/>
    <n v="9"/>
    <m/>
    <m/>
    <m/>
    <n v="709.36"/>
    <m/>
    <n v="709.36"/>
    <n v="78.817777777777778"/>
    <n v="0"/>
    <n v="0"/>
    <n v="0.44444444444444442"/>
    <n v="0.44444444444444442"/>
    <n v="0.1111111111111111"/>
    <m/>
    <s v="x"/>
    <e v="#VALUE!"/>
    <n v="2"/>
    <s v="collectif"/>
    <s v="non"/>
    <m/>
    <m/>
    <m/>
    <m/>
    <d v="2012-02-24T00:00:00"/>
    <s v="OFOI"/>
    <s v="LOGIS 4"/>
    <m/>
    <d v="2013-07-31T00:00:00"/>
    <m/>
    <d v="2013-08-30T00:00:00"/>
    <d v="2013-09-02T00:00:00"/>
    <m/>
    <d v="2013-10-02T00:00:00"/>
    <d v="2013-10-29T00:00:00"/>
    <d v="2014-01-29T00:00:00"/>
    <m/>
    <d v="2014-01-20T00:00:00"/>
    <d v="2016-01-20T00:00:00"/>
    <d v="2017-01-20T00:00:00"/>
    <m/>
    <s v="oui"/>
    <n v="5"/>
    <n v="18837.732114698876"/>
    <n v="0"/>
    <m/>
    <s v="CR + CASUD = 19/12/13_x000a_CG = 15/01/14_x000a_Commune = 15/01/14"/>
    <m/>
    <m/>
    <m/>
    <m/>
    <m/>
    <m/>
    <m/>
    <m/>
    <m/>
    <m/>
    <m/>
    <m/>
    <m/>
    <m/>
    <m/>
    <m/>
    <s v="LE GOFF"/>
    <d v="2013-12-17T00:00:00"/>
    <m/>
    <n v="1448775.1224289911"/>
    <d v="2015-06-17T00:00:00"/>
    <d v="2015-12-17T00:00:00"/>
    <d v="2015-03-03T00:00:00"/>
    <d v="2015-07-15T00:00:00"/>
    <n v="12.566666666666666"/>
    <m/>
    <m/>
    <m/>
    <s v="0"/>
    <m/>
    <m/>
    <s v="0"/>
    <m/>
    <m/>
    <s v="0"/>
    <m/>
    <m/>
    <s v="0"/>
    <m/>
    <m/>
    <s v="0"/>
    <m/>
    <m/>
    <m/>
    <m/>
    <s v="0"/>
    <m/>
    <x v="14"/>
    <x v="3"/>
    <n v="13.8"/>
    <s v="0"/>
    <n v="13"/>
    <n v="17"/>
    <m/>
    <m/>
    <s v="0"/>
    <m/>
    <m/>
    <s v="0"/>
    <m/>
    <m/>
    <s v="0"/>
    <m/>
    <m/>
    <s v="0"/>
    <m/>
    <m/>
    <s v="0"/>
    <m/>
    <m/>
    <s v="0"/>
    <m/>
    <m/>
    <s v="0"/>
    <m/>
    <m/>
    <m/>
    <d v="2015-10-18T00:00:00"/>
    <d v="2016-02-24T00:00:00"/>
    <n v="4.3"/>
    <d v="2017-03-03T00:00:00"/>
    <d v="2016-07-15T00:00:00"/>
    <s v="ok"/>
    <d v="2016-07-26T00:00:00"/>
    <m/>
    <d v="2015-11-18T00:00:00"/>
    <x v="19"/>
    <x v="3"/>
    <n v="8.3666666666666671"/>
    <n v="3767.5464229397749"/>
    <n v="31521.805071929452"/>
    <m/>
    <m/>
    <n v="0"/>
    <m/>
    <m/>
    <n v="40210.961899999995"/>
    <n v="2.5876362659390653E-2"/>
    <m/>
    <s v="Lot Men Ext : APOI_x000a_Lot Metallerie : CSMD par M Metallerie_x000a_Lot Elec : Filea Elec par Mon ti caze Eclaire_x000a_Soit 3 lots sur 14 = 21%_x000a_5 RO"/>
    <m/>
    <m/>
    <s v="ok"/>
    <m/>
    <s v="ok"/>
    <s v="ok"/>
    <d v="2017-02-02T00:00:00"/>
    <s v="Envoi papier : 23/12/16 (pièces complémentaires envoyées entre le 30/01 et le 09/02)"/>
    <d v="2017-02-24T00:00:00"/>
    <n v="12615"/>
    <d v="2016-09-08T00:00:00"/>
    <d v="2016-11-14T00:00:00"/>
    <m/>
    <m/>
    <d v="2017-05-23T00:00:00"/>
    <m/>
    <s v="ok"/>
    <m/>
    <s v="1e partie envoyée à OFOI le 08/02/17_x000a_dernière partie envoyée à OFOI le 14/06/2017"/>
    <d v="2017-03-14T00:00:00"/>
    <m/>
    <m/>
    <m/>
    <s v="oui"/>
    <n v="1547410"/>
    <n v="1555911"/>
    <n v="1553965"/>
    <n v="1553965"/>
    <n v="-1946"/>
    <n v="2190.6577760234577"/>
    <n v="172662.77777777778"/>
    <n v="1337540"/>
    <n v="1322857"/>
    <n v="0.87770337763535311"/>
    <n v="424314"/>
    <n v="426409"/>
    <m/>
    <n v="47378.777777777781"/>
    <n v="2095"/>
    <n v="868051"/>
    <n v="864010"/>
    <n v="176535"/>
    <n v="687475"/>
    <n v="-4041"/>
    <n v="96001.111111111109"/>
    <m/>
    <n v="225000"/>
    <n v="225000"/>
    <m/>
    <n v="0.14479090584408272"/>
    <n v="38546"/>
    <n v="0"/>
    <n v="0"/>
    <n v="25000"/>
    <n v="72378.777777777781"/>
    <n v="0"/>
    <m/>
    <m/>
    <n v="270120.19565000001"/>
    <n v="180000"/>
    <n v="92146"/>
    <n v="0"/>
    <n v="92378.777777777781"/>
    <n v="0.47363006816549857"/>
    <n v="68687.774999999994"/>
    <m/>
    <m/>
    <n v="1826031.1956500001"/>
    <m/>
    <m/>
    <m/>
    <m/>
    <m/>
    <n v="79167"/>
    <n v="39036"/>
    <m/>
    <m/>
    <m/>
    <m/>
    <m/>
    <m/>
    <d v="2012-02-02T00:00:00"/>
    <n v="16481"/>
    <d v="2012-12-11T00:00:00"/>
    <n v="10844"/>
    <n v="41508"/>
    <n v="11711"/>
    <m/>
    <m/>
    <m/>
    <m/>
    <m/>
    <m/>
    <m/>
    <m/>
    <m/>
    <m/>
    <m/>
    <m/>
    <m/>
    <m/>
    <m/>
    <m/>
    <n v="16481"/>
    <m/>
    <m/>
    <m/>
    <m/>
    <m/>
  </r>
  <r>
    <s v="Lié ETHEVE (Poker As 2)"/>
    <m/>
    <x v="2"/>
    <x v="1"/>
    <x v="3"/>
    <s v="PRLC 0139"/>
    <s v="APU"/>
    <s v="MMA"/>
    <x v="0"/>
    <n v="28778.48575"/>
    <m/>
    <m/>
    <s v="SODEGIS"/>
    <m/>
    <s v="ok"/>
    <n v="2330"/>
    <n v="800000"/>
    <n v="800000"/>
    <n v="18181.81818181818"/>
    <n v="343.34763948497852"/>
    <n v="343.34763948497852"/>
    <n v="218.75076904567243"/>
    <n v="18181.81818181818"/>
    <n v="52.954545454545453"/>
    <m/>
    <n v="188.8412017167382"/>
    <s v="UA"/>
    <n v="580"/>
    <m/>
    <x v="1"/>
    <x v="21"/>
    <n v="44"/>
    <n v="44"/>
    <m/>
    <m/>
    <m/>
    <m/>
    <n v="3666.81"/>
    <m/>
    <n v="3657.13"/>
    <n v="83.116590909090917"/>
    <n v="0.13636363636363635"/>
    <m/>
    <n v="0.38636363636363635"/>
    <n v="0.38636363636363635"/>
    <n v="9.0909090909090912E-2"/>
    <n v="1428"/>
    <n v="0"/>
    <n v="0"/>
    <n v="4"/>
    <s v="collectif"/>
    <s v="oui"/>
    <m/>
    <m/>
    <m/>
    <m/>
    <d v="2013-03-15T00:00:00"/>
    <s v="INGEPAR"/>
    <s v="LS 75"/>
    <m/>
    <d v="2013-06-21T00:00:00"/>
    <m/>
    <d v="2013-07-12T00:00:00"/>
    <d v="2013-08-14T00:00:00"/>
    <m/>
    <d v="2013-10-03T00:00:00"/>
    <d v="2013-10-29T00:00:00"/>
    <d v="2014-01-29T00:00:00"/>
    <m/>
    <d v="2014-01-20T00:00:00"/>
    <d v="2016-01-20T00:00:00"/>
    <d v="2017-01-20T00:00:00"/>
    <m/>
    <s v="oui"/>
    <n v="2"/>
    <n v="54436"/>
    <n v="0"/>
    <m/>
    <s v="CR + CASUD = 19/12/13_x000a_CG = 15/01/14_x000a_Commune = 15/01/14"/>
    <m/>
    <m/>
    <m/>
    <m/>
    <m/>
    <m/>
    <m/>
    <m/>
    <m/>
    <m/>
    <m/>
    <m/>
    <m/>
    <m/>
    <m/>
    <m/>
    <s v="QUINOT"/>
    <d v="2013-12-18T00:00:00"/>
    <m/>
    <n v="6818520.4699999997"/>
    <d v="2015-06-18T00:00:00"/>
    <d v="2015-12-18T00:00:00"/>
    <d v="2014-12-15T00:00:00"/>
    <d v="2016-01-29T00:00:00"/>
    <n v="9.1"/>
    <m/>
    <m/>
    <m/>
    <s v="0"/>
    <m/>
    <m/>
    <s v="0"/>
    <m/>
    <m/>
    <s v="0"/>
    <m/>
    <m/>
    <s v="0"/>
    <m/>
    <m/>
    <s v="0"/>
    <m/>
    <m/>
    <m/>
    <m/>
    <s v="0"/>
    <m/>
    <x v="15"/>
    <x v="3"/>
    <n v="10.666666666666666"/>
    <s v="0"/>
    <n v="15"/>
    <n v="28"/>
    <m/>
    <m/>
    <s v="0"/>
    <m/>
    <m/>
    <s v="0"/>
    <m/>
    <m/>
    <s v="0"/>
    <m/>
    <m/>
    <s v="0"/>
    <m/>
    <m/>
    <s v="0"/>
    <m/>
    <m/>
    <s v="0"/>
    <m/>
    <m/>
    <s v="0"/>
    <m/>
    <m/>
    <m/>
    <d v="2015-08-07T00:00:00"/>
    <d v="2016-09-27T00:00:00"/>
    <n v="13.9"/>
    <d v="2016-12-15T00:00:00"/>
    <d v="2017-01-10T00:00:00"/>
    <d v="2016-06-02T00:00:00"/>
    <d v="2016-10-27T00:00:00"/>
    <m/>
    <d v="2015-09-07T00:00:00"/>
    <x v="20"/>
    <x v="3"/>
    <n v="13.9"/>
    <n v="27218"/>
    <n v="378330.2"/>
    <s v="ok"/>
    <m/>
    <n v="0"/>
    <n v="285000"/>
    <m/>
    <n v="194031.93247"/>
    <n v="2.5902874661799507E-2"/>
    <m/>
    <m/>
    <m/>
    <m/>
    <s v="ok"/>
    <d v="2017-04-26T00:00:00"/>
    <s v="ok"/>
    <s v="ok"/>
    <d v="2017-06-26T00:00:00"/>
    <s v="ok"/>
    <d v="2017-09-27T00:00:00"/>
    <n v="205656"/>
    <d v="2016-12-01T00:00:00"/>
    <d v="2017-05-18T00:00:00"/>
    <m/>
    <m/>
    <m/>
    <m/>
    <m/>
    <s v="dossier envoyé Arrangeur 09/11/17"/>
    <m/>
    <d v="2017-08-08T00:00:00"/>
    <d v="2018-02-08T00:00:00"/>
    <m/>
    <m/>
    <s v="oui"/>
    <n v="7150691"/>
    <n v="7337723"/>
    <n v="7490749"/>
    <n v="7490749"/>
    <n v="153026"/>
    <n v="2042.8516885249032"/>
    <n v="170244.29545454544"/>
    <n v="6405313"/>
    <n v="6413222"/>
    <n v="0.89126075936635929"/>
    <n v="2389181"/>
    <n v="2438948"/>
    <m/>
    <n v="55430.63636363636"/>
    <n v="49767"/>
    <n v="4761510"/>
    <n v="4693223"/>
    <n v="982573"/>
    <n v="3710650"/>
    <n v="-68287"/>
    <n v="106664.15909090909"/>
    <n v="171546"/>
    <n v="1"/>
    <n v="1"/>
    <m/>
    <n v="1.3349799866475301E-7"/>
    <n v="171546"/>
    <n v="15485"/>
    <n v="15485"/>
    <n v="2.2727272727272728E-2"/>
    <n v="55430.659090909088"/>
    <n v="351.93181818181819"/>
    <m/>
    <m/>
    <m/>
    <m/>
    <n v="54299.590909090912"/>
    <m/>
    <n v="55430.659090909088"/>
    <n v="0.32559481034540072"/>
    <m/>
    <m/>
    <n v="0"/>
    <n v="7337723"/>
    <m/>
    <m/>
    <m/>
    <m/>
    <m/>
    <n v="343148"/>
    <n v="186489"/>
    <d v="2012-05-31T00:00:00"/>
    <n v="37298"/>
    <m/>
    <m/>
    <d v="2013-02-19T00:00:00"/>
    <n v="18649"/>
    <d v="2012-12-19T00:00:00"/>
    <n v="37298"/>
    <d v="2013-05-02T00:00:00"/>
    <n v="37298"/>
    <n v="41547"/>
    <n v="55946"/>
    <m/>
    <m/>
    <m/>
    <m/>
    <m/>
    <m/>
    <m/>
    <m/>
    <m/>
    <m/>
    <m/>
    <m/>
    <m/>
    <m/>
    <m/>
    <m/>
    <n v="37298"/>
    <m/>
    <m/>
    <m/>
    <m/>
    <m/>
  </r>
  <r>
    <s v="Tamariniers LLS"/>
    <m/>
    <x v="3"/>
    <x v="2"/>
    <x v="3"/>
    <s v="PRLC 0113"/>
    <s v="FBR"/>
    <s v="VAF"/>
    <x v="0"/>
    <m/>
    <s v="CX 671 / 1141"/>
    <s v="BJE récupère les pièces avec FBR_x000a_attente tableau des ventes de FBR_x000a_Rétrocession du chemin de l'amitié à faire_x000a_attente conformité des lots"/>
    <s v="EPFR"/>
    <s v="POPINEAU"/>
    <m/>
    <n v="18523"/>
    <n v="492000"/>
    <n v="699015"/>
    <n v="13297.297297297297"/>
    <n v="26.56157209955191"/>
    <n v="37.737677482049342"/>
    <n v="189.87388190043652"/>
    <n v="8524.5731707317082"/>
    <n v="225.89024390243901"/>
    <m/>
    <n v="19.975166009825621"/>
    <s v="Aub"/>
    <m/>
    <m/>
    <x v="1"/>
    <x v="22"/>
    <n v="37"/>
    <n v="37"/>
    <m/>
    <m/>
    <m/>
    <m/>
    <n v="3305.14"/>
    <m/>
    <n v="3681.47"/>
    <n v="99.499189189189181"/>
    <m/>
    <m/>
    <m/>
    <m/>
    <m/>
    <n v="3236"/>
    <m/>
    <n v="0"/>
    <n v="3.5"/>
    <s v="collectif"/>
    <s v="oui"/>
    <m/>
    <m/>
    <m/>
    <d v="2012-09-18T00:00:00"/>
    <d v="2012-02-24T00:00:00"/>
    <s v="OFOI"/>
    <s v="DOMBEYA 3"/>
    <m/>
    <d v="2013-08-07T00:00:00"/>
    <m/>
    <d v="2013-09-20T00:00:00"/>
    <d v="2013-09-26T00:00:00"/>
    <m/>
    <d v="2013-10-02T00:00:00"/>
    <d v="2013-10-29T00:00:00"/>
    <d v="2014-01-29T00:00:00"/>
    <m/>
    <d v="2014-01-20T00:00:00"/>
    <d v="2016-01-20T00:00:00"/>
    <d v="2017-01-20T00:00:00"/>
    <m/>
    <s v="oui"/>
    <n v="1"/>
    <n v="23136.729423819084"/>
    <n v="0"/>
    <m/>
    <d v="2014-01-13T00:00:00"/>
    <m/>
    <m/>
    <m/>
    <m/>
    <m/>
    <m/>
    <m/>
    <m/>
    <m/>
    <m/>
    <m/>
    <m/>
    <m/>
    <m/>
    <m/>
    <m/>
    <s v="MAREL"/>
    <d v="2013-12-27T00:00:00"/>
    <m/>
    <n v="13003860.789999999"/>
    <d v="2015-06-27T00:00:00"/>
    <d v="2015-12-27T00:00:00"/>
    <d v="2015-06-04T00:00:00"/>
    <d v="2016-12-27T00:00:00"/>
    <n v="-0.9"/>
    <m/>
    <m/>
    <m/>
    <s v="0"/>
    <m/>
    <m/>
    <s v="0"/>
    <m/>
    <m/>
    <s v="0"/>
    <m/>
    <m/>
    <s v="0"/>
    <m/>
    <m/>
    <s v="0"/>
    <m/>
    <m/>
    <m/>
    <m/>
    <s v="0"/>
    <m/>
    <x v="16"/>
    <x v="3"/>
    <n v="10.266666666666667"/>
    <s v="0"/>
    <n v="24"/>
    <n v="28"/>
    <m/>
    <m/>
    <s v="0"/>
    <m/>
    <m/>
    <s v="0"/>
    <m/>
    <m/>
    <s v="0"/>
    <m/>
    <m/>
    <s v="0"/>
    <m/>
    <m/>
    <s v="0"/>
    <m/>
    <m/>
    <s v="0"/>
    <m/>
    <m/>
    <s v="0"/>
    <m/>
    <m/>
    <m/>
    <d v="2016-06-11T00:00:00"/>
    <d v="2016-11-08T00:00:00"/>
    <n v="5"/>
    <d v="2016-12-31T00:00:00"/>
    <d v="2016-12-22T00:00:00"/>
    <d v="2016-06-17T00:00:00"/>
    <d v="2016-11-18T00:00:00"/>
    <m/>
    <d v="2016-07-11T00:00:00"/>
    <x v="21"/>
    <x v="3"/>
    <n v="4.7333333333333334"/>
    <n v="23136.729423819084"/>
    <n v="109513.85260607699"/>
    <d v="2016-10-27T00:00:00"/>
    <m/>
    <n v="0"/>
    <m/>
    <m/>
    <n v="131109.67299999998"/>
    <n v="9.6389719953015856E-3"/>
    <m/>
    <m/>
    <m/>
    <m/>
    <s v="ok"/>
    <s v="ok"/>
    <s v="ok"/>
    <s v="ok"/>
    <d v="2018-05-04T00:00:00"/>
    <s v="ok"/>
    <d v="2017-11-08T00:00:00"/>
    <n v="91095"/>
    <d v="2017-03-01T00:00:00"/>
    <m/>
    <m/>
    <m/>
    <m/>
    <m/>
    <d v="2017-03-01T00:00:00"/>
    <s v="élément transmis à OFOI 03/10/17"/>
    <s v="à déposer"/>
    <s v="ok"/>
    <m/>
    <s v="ok"/>
    <m/>
    <s v="oui"/>
    <n v="6447379"/>
    <n v="6447379"/>
    <n v="7137960"/>
    <n v="7137960"/>
    <n v="690581"/>
    <n v="2159.6543565476804"/>
    <n v="192917.83783783784"/>
    <n v="5795250"/>
    <n v="6458898"/>
    <n v="0.91772955335803885"/>
    <n v="2155832"/>
    <n v="2453735"/>
    <m/>
    <n v="66317.16216216216"/>
    <n v="297903"/>
    <n v="4291546"/>
    <n v="4684224"/>
    <n v="641413"/>
    <n v="4042811"/>
    <n v="392678"/>
    <n v="126600.64864864865"/>
    <m/>
    <n v="1"/>
    <n v="1"/>
    <m/>
    <n v="1.4009604985177837E-7"/>
    <m/>
    <n v="0"/>
    <n v="0"/>
    <n v="2.7027027027027029E-2"/>
    <n v="66317.189189189186"/>
    <n v="0"/>
    <m/>
    <m/>
    <n v="2196102.662575"/>
    <n v="1303101.6922500001"/>
    <n v="93484.721412162166"/>
    <n v="0"/>
    <n v="101536.15384459461"/>
    <n v="0.41994795777936861"/>
    <n v="388102.52"/>
    <m/>
    <n v="0"/>
    <n v="8643481.662574999"/>
    <m/>
    <m/>
    <m/>
    <m/>
    <m/>
    <n v="657747"/>
    <n v="328481"/>
    <d v="2012-02-06T00:00:00"/>
    <n v="42492"/>
    <m/>
    <m/>
    <m/>
    <m/>
    <d v="2013-05-13T00:00:00"/>
    <n v="121749"/>
    <d v="2013-07-30T00:00:00"/>
    <n v="65696"/>
    <n v="41570"/>
    <n v="98544"/>
    <m/>
    <m/>
    <m/>
    <m/>
    <m/>
    <m/>
    <m/>
    <m/>
    <m/>
    <m/>
    <m/>
    <m/>
    <m/>
    <m/>
    <m/>
    <m/>
    <n v="121749"/>
    <m/>
    <m/>
    <m/>
    <m/>
    <m/>
  </r>
  <r>
    <s v="Tamariniers LLTS"/>
    <m/>
    <x v="3"/>
    <x v="2"/>
    <x v="3"/>
    <s v="PRLC 0113"/>
    <s v="FBR"/>
    <m/>
    <x v="0"/>
    <m/>
    <s v="CX 671 / 1141"/>
    <m/>
    <s v="EPFR"/>
    <s v="POPINEAU"/>
    <m/>
    <m/>
    <m/>
    <m/>
    <m/>
    <m/>
    <m/>
    <m/>
    <m/>
    <m/>
    <m/>
    <e v="#DIV/0!"/>
    <m/>
    <m/>
    <m/>
    <x v="0"/>
    <x v="21"/>
    <n v="44"/>
    <m/>
    <n v="44"/>
    <m/>
    <m/>
    <m/>
    <n v="3272.11"/>
    <m/>
    <n v="3318.11"/>
    <n v="75.411590909090918"/>
    <m/>
    <m/>
    <m/>
    <m/>
    <m/>
    <m/>
    <m/>
    <e v="#DIV/0!"/>
    <n v="3.5"/>
    <s v="collectif"/>
    <s v="oui"/>
    <m/>
    <m/>
    <m/>
    <d v="2012-09-18T00:00:00"/>
    <d v="2012-02-24T00:00:00"/>
    <s v="OFOI"/>
    <s v="DOMBEYA 3"/>
    <n v="220000"/>
    <d v="2013-07-10T00:00:00"/>
    <m/>
    <d v="2013-09-20T00:00:00"/>
    <d v="2013-09-26T00:00:00"/>
    <m/>
    <d v="2013-10-02T00:00:00"/>
    <d v="2013-11-05T00:00:00"/>
    <d v="2014-02-05T00:00:00"/>
    <m/>
    <d v="2014-01-20T00:00:00"/>
    <d v="2016-01-20T00:00:00"/>
    <d v="2017-01-20T00:00:00"/>
    <m/>
    <s v="oui"/>
    <n v="1"/>
    <n v="17948.329338702748"/>
    <n v="0"/>
    <m/>
    <d v="2014-01-20T00:00:00"/>
    <m/>
    <m/>
    <m/>
    <m/>
    <m/>
    <m/>
    <m/>
    <m/>
    <m/>
    <m/>
    <m/>
    <m/>
    <m/>
    <m/>
    <m/>
    <m/>
    <m/>
    <d v="2013-12-27T00:00:00"/>
    <m/>
    <n v="13003860.789999999"/>
    <d v="2015-06-27T00:00:00"/>
    <d v="2015-12-27T00:00:00"/>
    <d v="2015-06-04T00:00:00"/>
    <m/>
    <m/>
    <m/>
    <m/>
    <m/>
    <s v="0"/>
    <m/>
    <m/>
    <s v="0"/>
    <m/>
    <m/>
    <s v="0"/>
    <m/>
    <m/>
    <s v="0"/>
    <m/>
    <m/>
    <s v="0"/>
    <m/>
    <m/>
    <m/>
    <m/>
    <s v="0"/>
    <m/>
    <x v="16"/>
    <x v="3"/>
    <n v="11.2"/>
    <s v="0"/>
    <n v="24"/>
    <n v="28"/>
    <m/>
    <m/>
    <s v="0"/>
    <m/>
    <m/>
    <s v="0"/>
    <m/>
    <m/>
    <s v="0"/>
    <m/>
    <m/>
    <s v="0"/>
    <m/>
    <m/>
    <s v="0"/>
    <m/>
    <m/>
    <s v="0"/>
    <m/>
    <m/>
    <s v="0"/>
    <m/>
    <m/>
    <m/>
    <d v="2016-06-11T00:00:00"/>
    <d v="2016-11-08T00:00:00"/>
    <n v="5"/>
    <d v="2016-12-31T00:00:00"/>
    <d v="2016-12-22T00:00:00"/>
    <d v="2016-06-17T00:00:00"/>
    <d v="2016-11-18T00:00:00"/>
    <m/>
    <d v="2016-07-11T00:00:00"/>
    <x v="21"/>
    <x v="3"/>
    <n v="4.7333333333333334"/>
    <n v="17948.329338702748"/>
    <n v="84955.425536526338"/>
    <d v="2016-10-27T00:00:00"/>
    <m/>
    <n v="0"/>
    <m/>
    <m/>
    <m/>
    <m/>
    <m/>
    <s v="Lot élec : Eneris par Espace Soleil_x000a_Soit 1 sur 15_x000a_4 RO"/>
    <m/>
    <m/>
    <s v="ok"/>
    <s v="ok"/>
    <s v="ok"/>
    <s v="ok"/>
    <d v="2018-05-04T00:00:00"/>
    <s v="ok"/>
    <d v="2017-11-08T00:00:00"/>
    <n v="82104"/>
    <d v="2017-03-01T00:00:00"/>
    <m/>
    <m/>
    <m/>
    <m/>
    <m/>
    <d v="2017-03-01T00:00:00"/>
    <s v="élément transmis à OFOI 03/10/17"/>
    <s v="à déposer"/>
    <s v="ok"/>
    <m/>
    <m/>
    <m/>
    <s v="oui"/>
    <n v="6402537"/>
    <n v="6402537"/>
    <n v="6464079"/>
    <n v="6464079"/>
    <n v="61542"/>
    <n v="1975.5078527311123"/>
    <n v="146910.88636363635"/>
    <n v="5737343"/>
    <n v="5833192"/>
    <n v="0.91492281934489406"/>
    <n v="1799492"/>
    <n v="1905132"/>
    <m/>
    <n v="43298.454545454544"/>
    <n v="105640"/>
    <n v="3703045"/>
    <n v="3678947"/>
    <n v="473086"/>
    <n v="3205861"/>
    <n v="-24098"/>
    <n v="83612.431818181823"/>
    <m/>
    <n v="900000"/>
    <n v="880000"/>
    <m/>
    <n v="0.13613695005893336"/>
    <m/>
    <n v="0"/>
    <n v="-20000"/>
    <n v="20000"/>
    <n v="63298.454545454544"/>
    <n v="-454.54545454545456"/>
    <m/>
    <m/>
    <n v="0"/>
    <n v="0"/>
    <n v="61352.090909090912"/>
    <n v="0"/>
    <n v="63298.454545454544"/>
    <n v="0.45371634850544579"/>
    <n v="325591.79499999998"/>
    <m/>
    <n v="0"/>
    <n v="640253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FANFAN"/>
    <m/>
    <x v="6"/>
    <x v="2"/>
    <x v="3"/>
    <s v="PRLC 0149"/>
    <s v="FVA"/>
    <s v="DAM"/>
    <x v="1"/>
    <m/>
    <m/>
    <s v=" servitude EP OK / échange de lot à faire_x000a_DA  en cours pour les lots_x000a_manque les pièces PA_x000a_rétrocession des 3 rues à faire mais appartiennent à INGEPAR / DA à faire par BJE_x000a_1 des lots est occupé"/>
    <s v="EPFR"/>
    <s v="Dubois"/>
    <d v="2013-12-11T00:00:00"/>
    <n v="15520"/>
    <n v="130195"/>
    <n v="184575"/>
    <n v="5424.791666666667"/>
    <n v="8.3888530927835046"/>
    <n v="11.892719072164949"/>
    <n v="100.20684712857096"/>
    <n v="7690.625"/>
    <n v="646.66666666666663"/>
    <m/>
    <n v="15.463917525773196"/>
    <s v="NAU"/>
    <n v="790"/>
    <m/>
    <x v="0"/>
    <x v="17"/>
    <n v="24"/>
    <m/>
    <n v="24"/>
    <m/>
    <m/>
    <m/>
    <n v="1833.06"/>
    <m/>
    <n v="1841.94"/>
    <n v="76.747500000000002"/>
    <m/>
    <m/>
    <m/>
    <m/>
    <m/>
    <m/>
    <n v="700"/>
    <n v="4.5103092783505154E-2"/>
    <n v="1.5"/>
    <s v="MDV"/>
    <s v="non"/>
    <m/>
    <m/>
    <m/>
    <m/>
    <d v="2013-03-13T00:00:00"/>
    <s v="INGEPAR"/>
    <s v="LS 76"/>
    <n v="120000"/>
    <d v="2013-09-19T00:00:00"/>
    <m/>
    <d v="2013-10-17T00:00:00"/>
    <d v="2013-10-21T00:00:00"/>
    <m/>
    <d v="2013-10-03T00:00:00"/>
    <d v="2013-11-05T00:00:00"/>
    <d v="2014-02-05T00:00:00"/>
    <m/>
    <d v="2014-01-20T00:00:00"/>
    <d v="2016-01-20T00:00:00"/>
    <d v="2017-01-20T00:00:00"/>
    <m/>
    <s v="oui"/>
    <e v="#NUM!"/>
    <e v="#NUM!"/>
    <e v="#NUM!"/>
    <m/>
    <d v="2014-01-20T00:00:00"/>
    <m/>
    <m/>
    <m/>
    <m/>
    <m/>
    <m/>
    <m/>
    <m/>
    <m/>
    <m/>
    <m/>
    <m/>
    <m/>
    <m/>
    <m/>
    <m/>
    <s v="BARET/GILLOT"/>
    <d v="2013-12-18T00:00:00"/>
    <m/>
    <n v="3417194.08"/>
    <d v="2015-06-18T00:00:00"/>
    <d v="2015-12-18T00:00:00"/>
    <d v="2015-04-20T00:00:00"/>
    <d v="2015-10-15T00:00:00"/>
    <n v="16.066666666666666"/>
    <m/>
    <m/>
    <m/>
    <s v="0"/>
    <m/>
    <m/>
    <s v="0"/>
    <m/>
    <m/>
    <s v="0"/>
    <m/>
    <m/>
    <s v="0"/>
    <m/>
    <m/>
    <s v="0"/>
    <m/>
    <m/>
    <m/>
    <m/>
    <s v="0"/>
    <m/>
    <x v="17"/>
    <x v="3"/>
    <n v="11.333333333333334"/>
    <s v="0"/>
    <n v="14"/>
    <n v="27"/>
    <m/>
    <m/>
    <s v="0"/>
    <m/>
    <m/>
    <s v="0"/>
    <m/>
    <m/>
    <s v="0"/>
    <m/>
    <m/>
    <s v="0"/>
    <m/>
    <m/>
    <s v="0"/>
    <m/>
    <m/>
    <s v="0"/>
    <m/>
    <m/>
    <s v="0"/>
    <m/>
    <m/>
    <m/>
    <d v="2015-10-25T00:00:00"/>
    <d v="2016-11-30T00:00:00"/>
    <n v="13.4"/>
    <d v="2017-04-20T00:00:00"/>
    <d v="2017-02-08T00:00:00"/>
    <s v="ok"/>
    <s v="ok"/>
    <m/>
    <d v="2015-11-25T00:00:00"/>
    <x v="22"/>
    <x v="4"/>
    <n v="14.7"/>
    <n v="9655.5641448000006"/>
    <n v="141936.79292856"/>
    <m/>
    <m/>
    <n v="384475"/>
    <m/>
    <m/>
    <n v="59499.795999999995"/>
    <n v="1.562870585466462E-2"/>
    <m/>
    <s v="Lot VRD_x000a_Lot Men Ext_x000a_Soit 2 lots sur 15 soit 13%_x000a_3 RO"/>
    <m/>
    <m/>
    <s v="réserves à lever"/>
    <s v="ok"/>
    <s v="attente notification de la réception"/>
    <s v="manque 4 entreprises"/>
    <m/>
    <s v="ok"/>
    <d v="2017-11-30T00:00:00"/>
    <n v="29948"/>
    <s v="ok"/>
    <d v="2017-06-21T00:00:00"/>
    <m/>
    <m/>
    <d v="2018-04-12T00:00:00"/>
    <m/>
    <m/>
    <s v="envoi Arrangeur 18/04/18"/>
    <s v="à déposer"/>
    <d v="2017-09-25T00:00:00"/>
    <s v="ok"/>
    <m/>
    <m/>
    <s v="oui"/>
    <n v="3574384"/>
    <n v="4311559"/>
    <n v="3807084"/>
    <n v="3807084"/>
    <n v="-504475"/>
    <n v="2076.9009197734936"/>
    <n v="158628.5"/>
    <n v="3273574"/>
    <n v="3268014"/>
    <n v="0.77519965608727603"/>
    <n v="1046714"/>
    <n v="1042673"/>
    <m/>
    <n v="43444.708333333336"/>
    <n v="-4041"/>
    <n v="2047671"/>
    <n v="2051712"/>
    <n v="255345"/>
    <n v="1796367"/>
    <n v="4041"/>
    <n v="85488"/>
    <m/>
    <n v="480000"/>
    <n v="360000"/>
    <n v="120000"/>
    <n v="9.4560561311491945E-2"/>
    <n v="327805"/>
    <n v="24894"/>
    <n v="-95106"/>
    <n v="15000"/>
    <n v="58444.708333333336"/>
    <n v="-3962.75"/>
    <m/>
    <m/>
    <n v="1244630.4489499999"/>
    <n v="480000"/>
    <n v="83613.083333333328"/>
    <n v="0"/>
    <n v="78444.708333333328"/>
    <n v="0.38712133298897827"/>
    <n v="188451.07500000001"/>
    <m/>
    <n v="384475"/>
    <n v="5556189.4489500001"/>
    <m/>
    <m/>
    <m/>
    <m/>
    <m/>
    <n v="172483"/>
    <n v="86240"/>
    <d v="2012-12-03T00:00:00"/>
    <n v="16144"/>
    <m/>
    <m/>
    <d v="2013-01-17T00:00:00"/>
    <m/>
    <d v="2013-01-01T00:00:00"/>
    <n v="24216"/>
    <d v="2013-07-29T00:00:00"/>
    <n v="20008"/>
    <n v="41583"/>
    <n v="25872"/>
    <m/>
    <m/>
    <m/>
    <m/>
    <m/>
    <m/>
    <m/>
    <m/>
    <m/>
    <m/>
    <m/>
    <m/>
    <m/>
    <m/>
    <m/>
    <m/>
    <n v="24216"/>
    <m/>
    <m/>
    <m/>
    <m/>
    <m/>
  </r>
  <r>
    <s v="Josepha Fontaine"/>
    <m/>
    <x v="7"/>
    <x v="1"/>
    <x v="3"/>
    <s v="PRLC 0122"/>
    <s v="FHO"/>
    <s v="GGO"/>
    <x v="0"/>
    <m/>
    <m/>
    <m/>
    <s v="EPFR / RUET"/>
    <s v="BARET"/>
    <m/>
    <n v="4550"/>
    <n v="298500"/>
    <n v="122015"/>
    <n v="19900"/>
    <n v="65.604395604395606"/>
    <n v="26.816483516483515"/>
    <n v="103.92126802429075"/>
    <n v="8134.333333333333"/>
    <n v="303.33333333333331"/>
    <m/>
    <n v="32.967032967032964"/>
    <s v="UD"/>
    <n v="600"/>
    <m/>
    <x v="0"/>
    <x v="23"/>
    <n v="15"/>
    <m/>
    <n v="15"/>
    <m/>
    <m/>
    <m/>
    <n v="1160.5899999999999"/>
    <m/>
    <n v="1174.1099999999999"/>
    <n v="78.273999999999987"/>
    <m/>
    <m/>
    <m/>
    <m/>
    <m/>
    <m/>
    <m/>
    <n v="0"/>
    <n v="1.5"/>
    <s v="MDV"/>
    <s v="non"/>
    <m/>
    <m/>
    <m/>
    <m/>
    <d v="2012-02-24T00:00:00"/>
    <s v="OFOI"/>
    <s v="LOGIS 5"/>
    <m/>
    <d v="2013-11-18T00:00:00"/>
    <m/>
    <s v="05/03/2014_x000a_07/10/14"/>
    <s v="20/03/2014 &amp; 06/11/14_x000a_13/10/15"/>
    <d v="2015-10-14T00:00:00"/>
    <d v="2013-10-03T00:00:00"/>
    <s v="ok"/>
    <d v="2014-01-03T00:00:00"/>
    <s v="ok"/>
    <d v="2014-06-28T00:00:00"/>
    <d v="2016-06-28T00:00:00"/>
    <d v="2017-06-28T00:00:00"/>
    <m/>
    <s v="oui"/>
    <n v="3"/>
    <n v="14214.1333635839"/>
    <n v="0"/>
    <m/>
    <s v="CASUD = 02/07/14_x000a_CG : OK_x000a_Région : OK_x000a_Mairie : OK"/>
    <m/>
    <m/>
    <m/>
    <m/>
    <m/>
    <m/>
    <m/>
    <m/>
    <m/>
    <m/>
    <m/>
    <m/>
    <m/>
    <m/>
    <m/>
    <m/>
    <s v="LE GOFF"/>
    <d v="2015-12-02T00:00:00"/>
    <m/>
    <n v="2671324.61"/>
    <d v="2017-06-02T00:00:00"/>
    <d v="2017-12-02T00:00:00"/>
    <d v="2016-06-14T00:00:00"/>
    <d v="2017-12-02T00:00:00"/>
    <n v="-8.5666666666666664"/>
    <m/>
    <m/>
    <m/>
    <s v="0"/>
    <m/>
    <m/>
    <s v="0"/>
    <m/>
    <m/>
    <s v="0"/>
    <m/>
    <m/>
    <s v="0"/>
    <m/>
    <m/>
    <s v="0"/>
    <m/>
    <m/>
    <m/>
    <m/>
    <s v="0"/>
    <m/>
    <x v="18"/>
    <x v="4"/>
    <n v="24.833333333333332"/>
    <s v="0"/>
    <n v="13"/>
    <n v="15"/>
    <m/>
    <m/>
    <s v="0"/>
    <m/>
    <m/>
    <s v="0"/>
    <m/>
    <m/>
    <s v="0"/>
    <m/>
    <m/>
    <s v="0"/>
    <m/>
    <m/>
    <s v="0"/>
    <m/>
    <m/>
    <s v="0"/>
    <m/>
    <m/>
    <s v="0"/>
    <m/>
    <m/>
    <m/>
    <d v="2017-01-03T00:00:00"/>
    <d v="2017-03-20T00:00:00"/>
    <n v="2.5333333333333332"/>
    <d v="2018-06-14T00:00:00"/>
    <d v="2017-05-10T00:00:00"/>
    <s v="20/10/2016 y/c certif adressage + plans"/>
    <d v="2017-03-10T00:00:00"/>
    <m/>
    <d v="2017-02-03T00:00:00"/>
    <x v="23"/>
    <x v="4"/>
    <n v="1.5"/>
    <n v="4738.044454527967"/>
    <n v="7107.06668179195"/>
    <s v="ok"/>
    <m/>
    <n v="0"/>
    <m/>
    <m/>
    <n v="0"/>
    <n v="0"/>
    <m/>
    <s v="Lot 4 Menuiserie - PVC 400 par Sofaal_x000a_Lot Metallerie : Technipose par Pumalu_x000a_soit 2 lots sur 16 = 12%_x000a_3 RO"/>
    <m/>
    <m/>
    <s v="ok"/>
    <s v="ok"/>
    <m/>
    <m/>
    <m/>
    <d v="2018-05-03T00:00:00"/>
    <d v="2018-03-20T00:00:00"/>
    <n v="13223"/>
    <d v="2017-08-30T00:00:00"/>
    <m/>
    <m/>
    <d v="2018-01-25T00:00:00"/>
    <d v="2018-03-21T00:00:00"/>
    <m/>
    <d v="2017-09-20T00:00:00"/>
    <m/>
    <s v="à déposer"/>
    <s v="ok"/>
    <m/>
    <s v="ok"/>
    <m/>
    <m/>
    <n v="2369120"/>
    <n v="2369121"/>
    <n v="2951882"/>
    <n v="2951882"/>
    <n v="582761"/>
    <n v="2543.4322198192299"/>
    <n v="196792.13333333333"/>
    <n v="2132208"/>
    <n v="2403709.4727445007"/>
    <n v="0.91889961213462701"/>
    <n v="646677"/>
    <n v="835967"/>
    <m/>
    <n v="55731.133333333331"/>
    <n v="189290"/>
    <n v="1328613"/>
    <n v="1314229"/>
    <n v="212380"/>
    <n v="1101849"/>
    <n v="-14384"/>
    <n v="87615.266666666663"/>
    <n v="407855"/>
    <n v="393831"/>
    <n v="393831"/>
    <m/>
    <n v="0.1334169184269561"/>
    <m/>
    <n v="0"/>
    <n v="0"/>
    <n v="26255.4"/>
    <n v="81986.53333333334"/>
    <n v="0"/>
    <m/>
    <m/>
    <n v="753806.75427749997"/>
    <n v="300000"/>
    <n v="89367.2"/>
    <n v="162750"/>
    <n v="112836.53333333334"/>
    <n v="0.4726319970267101"/>
    <n v="124577"/>
    <m/>
    <n v="0"/>
    <n v="3122927.7542774999"/>
    <m/>
    <m/>
    <m/>
    <m/>
    <m/>
    <n v="144741"/>
    <n v="57156"/>
    <d v="2011-09-28T00:00:00"/>
    <n v="10799"/>
    <m/>
    <m/>
    <m/>
    <m/>
    <m/>
    <m/>
    <d v="2012-05-21T00:00:00"/>
    <n v="29206"/>
    <n v="41627"/>
    <n v="17151"/>
    <m/>
    <m/>
    <m/>
    <m/>
    <m/>
    <m/>
    <m/>
    <m/>
    <m/>
    <m/>
    <m/>
    <m/>
    <m/>
    <m/>
    <m/>
    <m/>
    <m/>
    <m/>
    <m/>
    <m/>
    <m/>
    <m/>
  </r>
  <r>
    <s v="Barrage LLS"/>
    <m/>
    <x v="8"/>
    <x v="2"/>
    <x v="3"/>
    <s v="PRLC 0140"/>
    <s v="FBR"/>
    <m/>
    <x v="2"/>
    <m/>
    <m/>
    <m/>
    <s v="SODEGIS"/>
    <m/>
    <m/>
    <n v="20161"/>
    <n v="1550000"/>
    <n v="1105335"/>
    <n v="14090.90909090909"/>
    <n v="76.88110708794207"/>
    <n v="54.825405485838999"/>
    <n v="392.66733926833251"/>
    <n v="10048.5"/>
    <n v="746.7037037037037"/>
    <m/>
    <n v="13.392192847577006"/>
    <s v="AU5b"/>
    <n v="460"/>
    <m/>
    <x v="1"/>
    <x v="0"/>
    <n v="27"/>
    <n v="27"/>
    <m/>
    <m/>
    <m/>
    <m/>
    <n v="2870.27"/>
    <m/>
    <n v="2814.94"/>
    <n v="104.25703703703704"/>
    <n v="0"/>
    <n v="0"/>
    <n v="0"/>
    <n v="0.70370370370370372"/>
    <n v="0.29629629629629628"/>
    <n v="12480"/>
    <m/>
    <n v="0"/>
    <n v="3.5"/>
    <s v="collectif"/>
    <s v="oui"/>
    <m/>
    <m/>
    <m/>
    <d v="2012-09-18T00:00:00"/>
    <d v="2013-03-15T00:00:00"/>
    <s v="OFOI"/>
    <s v="SNC DORIQUE"/>
    <m/>
    <d v="2013-08-07T00:00:00"/>
    <m/>
    <d v="2014-04-18T00:00:00"/>
    <d v="2015-06-05T00:00:00"/>
    <m/>
    <d v="2015-06-08T00:00:00"/>
    <d v="2015-06-16T00:00:00"/>
    <d v="2015-09-16T00:00:00"/>
    <d v="2015-07-07T00:00:00"/>
    <d v="2015-09-08T00:00:00"/>
    <d v="2017-09-08T00:00:00"/>
    <d v="2018-09-08T00:00:00"/>
    <m/>
    <s v="oui"/>
    <n v="9"/>
    <n v="157492.0272608505"/>
    <n v="0"/>
    <s v="ok"/>
    <s v="Mairie 02/11/15"/>
    <m/>
    <m/>
    <m/>
    <m/>
    <m/>
    <m/>
    <m/>
    <m/>
    <m/>
    <m/>
    <s v="SO"/>
    <s v="SO"/>
    <m/>
    <m/>
    <m/>
    <m/>
    <s v="MAREL"/>
    <d v="2015-12-22T00:00:00"/>
    <m/>
    <n v="18979814"/>
    <d v="2017-06-22T00:00:00"/>
    <d v="2017-12-22T00:00:00"/>
    <d v="2015-12-22T00:00:00"/>
    <d v="2017-12-12T00:00:00"/>
    <n v="-0.43333333333333335"/>
    <m/>
    <m/>
    <m/>
    <s v="0"/>
    <m/>
    <m/>
    <s v="0"/>
    <m/>
    <m/>
    <s v="0"/>
    <m/>
    <m/>
    <s v="0"/>
    <m/>
    <m/>
    <s v="0"/>
    <m/>
    <m/>
    <m/>
    <m/>
    <s v="0"/>
    <m/>
    <x v="19"/>
    <x v="4"/>
    <n v="21.533333333333335"/>
    <s v="0"/>
    <n v="24"/>
    <n v="30"/>
    <m/>
    <m/>
    <s v="0"/>
    <m/>
    <m/>
    <s v="0"/>
    <m/>
    <m/>
    <s v="0"/>
    <m/>
    <m/>
    <s v="0"/>
    <m/>
    <m/>
    <s v="0"/>
    <m/>
    <m/>
    <s v="0"/>
    <m/>
    <m/>
    <s v="0"/>
    <m/>
    <m/>
    <m/>
    <d v="2017-05-15T00:00:00"/>
    <d v="2017-11-20T00:00:00"/>
    <n v="6.3"/>
    <d v="2017-12-22T00:00:00"/>
    <d v="2017-12-06T00:00:00"/>
    <d v="2016-12-08T00:00:00"/>
    <d v="2017-11-27T00:00:00"/>
    <m/>
    <d v="2017-06-15T00:00:00"/>
    <x v="24"/>
    <x v="4"/>
    <n v="5.5666666666666664"/>
    <n v="17499.114140094502"/>
    <n v="97411.735379859383"/>
    <d v="2017-08-31T00:00:00"/>
    <n v="0"/>
    <n v="0"/>
    <m/>
    <m/>
    <n v="713667.76899999997"/>
    <n v="3.5947813466163943E-2"/>
    <m/>
    <m/>
    <m/>
    <m/>
    <m/>
    <m/>
    <m/>
    <m/>
    <m/>
    <m/>
    <d v="2018-11-20T00:00:00"/>
    <n v="52707"/>
    <m/>
    <m/>
    <m/>
    <m/>
    <m/>
    <m/>
    <m/>
    <s v="envoi OFOI 22/06/18"/>
    <m/>
    <d v="2018-03-01T00:00:00"/>
    <m/>
    <m/>
    <m/>
    <s v="oui"/>
    <n v="5545807"/>
    <n v="5546805"/>
    <n v="5488129.9500000002"/>
    <n v="5488129.9500000002"/>
    <n v="-58675.049999999814"/>
    <n v="1912.0605204388437"/>
    <n v="203264.07222222222"/>
    <n v="5057320"/>
    <n v="4965430"/>
    <n v="0.93090053102641968"/>
    <n v="1882322"/>
    <n v="1916369"/>
    <m/>
    <n v="70976.629629629635"/>
    <n v="34047"/>
    <n v="3664482"/>
    <n v="3571759.95"/>
    <n v="595108"/>
    <n v="2976651.95"/>
    <n v="-92722.049999999814"/>
    <n v="132287.40555555557"/>
    <m/>
    <n v="1"/>
    <n v="1"/>
    <m/>
    <n v="1.8221142886749611E-7"/>
    <m/>
    <n v="0"/>
    <n v="0"/>
    <n v="3.7037037037037035E-2"/>
    <n v="70976.666666666672"/>
    <n v="0"/>
    <m/>
    <m/>
    <n v="1015690.2065916295"/>
    <n v="540000"/>
    <n v="90976.666666666672"/>
    <n v="0"/>
    <n v="90976.666666666672"/>
    <n v="0.39970846321114534"/>
    <n v="358416.12820000004"/>
    <m/>
    <n v="0"/>
    <n v="6503820.1565916296"/>
    <m/>
    <m/>
    <m/>
    <m/>
    <m/>
    <n v="965006"/>
    <n v="482504"/>
    <d v="2012-06-30T00:00:00"/>
    <n v="96501"/>
    <m/>
    <m/>
    <d v="2013-05-07T00:00:00"/>
    <n v="48250"/>
    <d v="2012-12-19T00:00:00"/>
    <n v="96501"/>
    <d v="2013-07-30T00:00:00"/>
    <n v="96501"/>
    <n v="41570"/>
    <n v="144751"/>
    <m/>
    <m/>
    <m/>
    <m/>
    <m/>
    <m/>
    <m/>
    <m/>
    <m/>
    <m/>
    <m/>
    <m/>
    <m/>
    <m/>
    <m/>
    <m/>
    <n v="96501"/>
    <m/>
    <m/>
    <m/>
    <m/>
    <m/>
  </r>
  <r>
    <s v="Barrage LLTS"/>
    <m/>
    <x v="8"/>
    <x v="2"/>
    <x v="3"/>
    <s v="PRLC 0140"/>
    <s v="FBR"/>
    <s v="SRI"/>
    <x v="2"/>
    <m/>
    <m/>
    <m/>
    <s v="SODEGIS"/>
    <m/>
    <m/>
    <m/>
    <m/>
    <m/>
    <m/>
    <m/>
    <m/>
    <m/>
    <m/>
    <m/>
    <m/>
    <e v="#DIV/0!"/>
    <m/>
    <m/>
    <m/>
    <x v="0"/>
    <x v="24"/>
    <n v="83"/>
    <m/>
    <n v="83"/>
    <m/>
    <m/>
    <m/>
    <n v="7367.96"/>
    <m/>
    <n v="7367.66"/>
    <n v="88.766987951807224"/>
    <n v="0"/>
    <n v="0.12048192771084337"/>
    <n v="0.50602409638554213"/>
    <n v="0.33734939759036142"/>
    <n v="3.614457831325301E-2"/>
    <m/>
    <m/>
    <e v="#DIV/0!"/>
    <n v="3.5"/>
    <s v="collectif"/>
    <s v="oui"/>
    <m/>
    <m/>
    <m/>
    <d v="2012-09-18T00:00:00"/>
    <d v="2013-03-15T00:00:00"/>
    <s v="OFOI"/>
    <s v="SNC DORIQUE"/>
    <n v="415000"/>
    <d v="2013-07-08T00:00:00"/>
    <m/>
    <d v="2014-04-18T00:00:00"/>
    <d v="2015-06-05T00:00:00"/>
    <m/>
    <d v="2015-06-08T00:00:00"/>
    <d v="2015-06-16T00:00:00"/>
    <d v="2015-09-16T00:00:00"/>
    <d v="2015-07-07T00:00:00"/>
    <d v="2015-09-08T00:00:00"/>
    <d v="2017-09-08T00:00:00"/>
    <d v="2018-09-08T00:00:00"/>
    <m/>
    <s v="oui"/>
    <n v="9"/>
    <n v="342957.37513997324"/>
    <n v="0"/>
    <s v="ok"/>
    <s v="TCO 08/01/2016"/>
    <m/>
    <m/>
    <m/>
    <s v="SO"/>
    <m/>
    <m/>
    <m/>
    <m/>
    <m/>
    <m/>
    <d v="2016-01-29T00:00:00"/>
    <s v="SO"/>
    <m/>
    <m/>
    <m/>
    <m/>
    <m/>
    <d v="2015-12-22T00:00:00"/>
    <m/>
    <n v="18979814"/>
    <d v="2017-06-22T00:00:00"/>
    <d v="2017-12-22T00:00:00"/>
    <d v="2015-12-22T00:00:00"/>
    <m/>
    <m/>
    <m/>
    <m/>
    <m/>
    <s v="0"/>
    <m/>
    <m/>
    <s v="0"/>
    <m/>
    <m/>
    <s v="0"/>
    <m/>
    <m/>
    <s v="0"/>
    <m/>
    <m/>
    <s v="0"/>
    <m/>
    <m/>
    <m/>
    <m/>
    <s v="0"/>
    <m/>
    <x v="19"/>
    <x v="4"/>
    <n v="22.533333333333335"/>
    <s v="0"/>
    <n v="24"/>
    <n v="30"/>
    <m/>
    <m/>
    <s v="0"/>
    <m/>
    <m/>
    <s v="0"/>
    <m/>
    <m/>
    <s v="0"/>
    <m/>
    <m/>
    <s v="0"/>
    <m/>
    <m/>
    <s v="0"/>
    <m/>
    <m/>
    <s v="0"/>
    <m/>
    <m/>
    <s v="0"/>
    <m/>
    <m/>
    <m/>
    <d v="2017-05-15T00:00:00"/>
    <d v="2017-11-20T00:00:00"/>
    <n v="6.3"/>
    <d v="2017-12-22T00:00:00"/>
    <d v="2017-12-06T00:00:00"/>
    <d v="2016-12-08T00:00:00"/>
    <d v="2017-11-27T00:00:00"/>
    <m/>
    <d v="2017-06-15T00:00:00"/>
    <x v="24"/>
    <x v="4"/>
    <n v="5.5666666666666664"/>
    <n v="38106.375015552585"/>
    <n v="212125.48758657606"/>
    <d v="2017-08-31T00:00:00"/>
    <n v="0"/>
    <n v="0"/>
    <m/>
    <m/>
    <m/>
    <m/>
    <m/>
    <m/>
    <m/>
    <m/>
    <m/>
    <s v="envoi Lydie 29/01/18"/>
    <m/>
    <m/>
    <m/>
    <m/>
    <d v="2018-11-20T00:00:00"/>
    <n v="137952"/>
    <m/>
    <m/>
    <m/>
    <m/>
    <m/>
    <m/>
    <m/>
    <m/>
    <m/>
    <d v="2018-03-01T00:00:00"/>
    <m/>
    <m/>
    <m/>
    <s v="oui"/>
    <n v="14323815"/>
    <n v="14323814"/>
    <n v="14364754"/>
    <n v="14364754"/>
    <n v="40940"/>
    <n v="1949.6243193502678"/>
    <n v="173069.32530120481"/>
    <n v="13043765"/>
    <n v="12989943"/>
    <n v="0.92975823792461976"/>
    <n v="4234760"/>
    <n v="4422509"/>
    <m/>
    <n v="53283.240963855424"/>
    <n v="187749"/>
    <n v="8429054"/>
    <n v="8282245"/>
    <n v="1278025"/>
    <n v="7004220"/>
    <n v="-146809"/>
    <n v="99786.084337349399"/>
    <m/>
    <n v="1660000"/>
    <n v="1245000"/>
    <n v="415000"/>
    <n v="8.6670471349526768E-2"/>
    <m/>
    <n v="415000"/>
    <n v="0"/>
    <n v="15000"/>
    <n v="68283.240963855424"/>
    <n v="0"/>
    <m/>
    <m/>
    <n v="2467086.73961312"/>
    <n v="1660000"/>
    <n v="88283.240963855424"/>
    <n v="0"/>
    <n v="88283.240963855424"/>
    <n v="0.45620980509805781"/>
    <n v="770132.02990000008"/>
    <m/>
    <n v="0"/>
    <n v="16831840.73961312"/>
    <m/>
    <m/>
    <m/>
    <m/>
    <m/>
    <n v="965006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Rue de l'Eglise"/>
    <m/>
    <x v="9"/>
    <x v="1"/>
    <x v="3"/>
    <s v="PRLC 0148"/>
    <s v="APU"/>
    <s v="GGO"/>
    <x v="0"/>
    <e v="#REF!"/>
    <m/>
    <m/>
    <s v="EPFR"/>
    <s v="BARET"/>
    <d v="2013-11-13T00:00:00"/>
    <n v="1547"/>
    <n v="259906"/>
    <n v="259906"/>
    <n v="14439.222222222223"/>
    <n v="168.00646412411118"/>
    <n v="168.00646412411118"/>
    <n v="197.22270702594417"/>
    <n v="14439.222222222223"/>
    <n v="85.944444444444443"/>
    <n v="836"/>
    <n v="116.35423400129282"/>
    <s v="UA"/>
    <n v="383"/>
    <n v="0"/>
    <x v="0"/>
    <x v="25"/>
    <n v="18"/>
    <m/>
    <n v="18"/>
    <m/>
    <m/>
    <m/>
    <n v="1340.98"/>
    <m/>
    <n v="1317.83"/>
    <n v="73.212777777777774"/>
    <m/>
    <n v="0.66666666666666663"/>
    <n v="0.33333333333333331"/>
    <m/>
    <m/>
    <m/>
    <n v="0"/>
    <n v="0"/>
    <n v="3.5"/>
    <s v="collectif"/>
    <s v="oui"/>
    <m/>
    <m/>
    <m/>
    <d v="2013-02-08T00:00:00"/>
    <d v="2013-03-15T00:00:00"/>
    <s v="OFOI"/>
    <s v="LOGIS 5"/>
    <m/>
    <d v="2013-07-08T00:00:00"/>
    <m/>
    <d v="2013-08-28T00:00:00"/>
    <d v="2013-08-29T00:00:00"/>
    <m/>
    <d v="2013-10-02T00:00:00"/>
    <d v="2013-10-29T00:00:00"/>
    <d v="2014-01-29T00:00:00"/>
    <m/>
    <d v="2014-01-20T00:00:00"/>
    <d v="2016-01-20T00:00:00"/>
    <d v="2017-01-20T00:00:00"/>
    <m/>
    <s v="oui"/>
    <e v="#NUM!"/>
    <e v="#NUM!"/>
    <e v="#NUM!"/>
    <m/>
    <s v="CR + CASUD = 19/12/13_x000a_CG = 15/01/14_x000a_Commune = 15/01/14"/>
    <m/>
    <m/>
    <m/>
    <m/>
    <m/>
    <m/>
    <m/>
    <m/>
    <m/>
    <m/>
    <m/>
    <m/>
    <m/>
    <m/>
    <m/>
    <m/>
    <s v="BARET/GILLOT"/>
    <d v="2013-12-17T00:00:00"/>
    <m/>
    <n v="2595669.38"/>
    <d v="2015-06-17T00:00:00"/>
    <d v="2015-12-17T00:00:00"/>
    <d v="2015-05-29T00:00:00"/>
    <d v="2016-04-15T00:00:00"/>
    <n v="19.8"/>
    <d v="2012-10-02T00:00:00"/>
    <d v="2012-10-02T00:00:00"/>
    <d v="2012-10-03T00:00:00"/>
    <n v="1"/>
    <d v="2012-11-14T00:00:00"/>
    <d v="2013-02-06T00:00:00"/>
    <n v="84"/>
    <d v="2013-04-09T00:00:00"/>
    <d v="2013-04-11T00:00:00"/>
    <n v="2"/>
    <d v="2013-06-10T00:00:00"/>
    <d v="2013-06-12T00:00:00"/>
    <n v="2"/>
    <d v="2013-08-25T00:00:00"/>
    <d v="2013-09-12T00:00:00"/>
    <n v="18"/>
    <m/>
    <d v="2014-02-14T00:00:00"/>
    <d v="2013-10-26T00:00:00"/>
    <d v="2014-04-14T00:00:00"/>
    <n v="170"/>
    <d v="2014-04-14T00:00:00"/>
    <x v="20"/>
    <x v="3"/>
    <n v="9.6"/>
    <n v="8"/>
    <n v="15"/>
    <n v="42"/>
    <d v="2014-07-15T00:00:00"/>
    <n v="41835"/>
    <n v="0"/>
    <d v="2014-08-29T00:00:00"/>
    <d v="2015-05-29T00:00:00"/>
    <n v="273"/>
    <d v="2015-02-16T00:00:00"/>
    <d v="2015-09-08T00:00:00"/>
    <n v="204"/>
    <d v="2015-03-18T00:00:00"/>
    <d v="2017-07-27T00:00:00"/>
    <n v="862"/>
    <d v="2015-03-18T00:00:00"/>
    <d v="2017-07-27T00:00:00"/>
    <n v="862"/>
    <d v="2015-05-17T00:00:00"/>
    <d v="2017-07-18T00:00:00"/>
    <n v="793"/>
    <d v="2015-08-15T00:00:00"/>
    <d v="2017-09-07T00:00:00"/>
    <n v="754"/>
    <d v="2017-11-13T00:00:00"/>
    <d v="2017-11-02T00:00:00"/>
    <d v="2017-10-23T00:00:00"/>
    <d v="2015-07-22T00:00:00"/>
    <d v="2017-11-16T00:00:00"/>
    <n v="28.266666666666666"/>
    <d v="2017-05-29T00:00:00"/>
    <d v="2017-12-13T00:00:00"/>
    <d v="2016-01-13T00:00:00"/>
    <d v="2017-11-20T00:00:00"/>
    <m/>
    <d v="2015-08-22T00:00:00"/>
    <x v="25"/>
    <x v="4"/>
    <n v="27.7"/>
    <n v="7190.7782225148085"/>
    <n v="199184.55676366019"/>
    <d v="2017-09-21T00:00:00"/>
    <n v="366248"/>
    <n v="0"/>
    <m/>
    <m/>
    <n v="110247.29"/>
    <n v="3.2927085246660541E-2"/>
    <s v="JFO / BBL / FHO / AGA / APU"/>
    <s v="Lot carrelage : EEPC par _x000a_Lot plomberie : Attitude Plomb par _x000a_Lot ECS : DYELL par _x000a_Lot Charpente : Sorlier par JP Hoarau_x000a_Lot Charpente : JP Hoarau par CMOI_x000a_Soit 5 sur 15 lots  = 33 %_x000a_"/>
    <m/>
    <s v="faisaibilité à 23 logements mixte - à la demande de la Mairie réalisation d'une RPA et de moins de logements_x000a_beaucoup de RO"/>
    <s v="réserves à lever"/>
    <d v="2018-03-05T00:00:00"/>
    <s v="en cours"/>
    <s v="en cours"/>
    <d v="2018-02-21T00:00:00"/>
    <s v="ok"/>
    <d v="2018-11-16T00:00:00"/>
    <n v="26813"/>
    <d v="2018-02-20T00:00:00"/>
    <d v="2018-02-26T00:00:00"/>
    <m/>
    <m/>
    <d v="2018-04-20T00:00:00"/>
    <m/>
    <m/>
    <m/>
    <m/>
    <d v="2018-05-22T00:00:00"/>
    <m/>
    <m/>
    <m/>
    <s v="oui"/>
    <n v="2715924"/>
    <n v="3404922"/>
    <n v="3348225"/>
    <n v="3348225"/>
    <n v="-56697"/>
    <n v="2496.8493191546481"/>
    <n v="186012.5"/>
    <n v="2383274"/>
    <n v="2329832"/>
    <n v="0.71464860399151575"/>
    <n v="717900"/>
    <n v="736924"/>
    <m/>
    <n v="40940.222222222219"/>
    <n v="19024"/>
    <n v="1504024"/>
    <n v="1490303"/>
    <n v="341701"/>
    <n v="1148602"/>
    <n v="-13721"/>
    <n v="82794.611111111109"/>
    <m/>
    <n v="494000"/>
    <n v="432000"/>
    <m/>
    <n v="0.12902358712452119"/>
    <n v="688998"/>
    <n v="0"/>
    <n v="-62000"/>
    <n v="24000"/>
    <n v="64940.222222222219"/>
    <n v="-3444.4444444444443"/>
    <m/>
    <m/>
    <n v="0"/>
    <n v="0"/>
    <n v="67327.777777777781"/>
    <n v="0"/>
    <n v="64940.222222222219"/>
    <n v="0.34911751749061071"/>
    <m/>
    <m/>
    <n v="0"/>
    <n v="3404922"/>
    <m/>
    <m/>
    <m/>
    <m/>
    <m/>
    <n v="149910"/>
    <n v="66209"/>
    <d v="2012-12-14T00:00:00"/>
    <n v="14755"/>
    <m/>
    <m/>
    <d v="2013-04-09T00:00:00"/>
    <n v="4453"/>
    <d v="2013-02-06T00:00:00"/>
    <n v="14755"/>
    <d v="2013-06-28T00:00:00"/>
    <n v="12951"/>
    <n v="41514"/>
    <n v="19295"/>
    <m/>
    <m/>
    <m/>
    <m/>
    <m/>
    <m/>
    <m/>
    <m/>
    <m/>
    <m/>
    <m/>
    <m/>
    <m/>
    <m/>
    <m/>
    <m/>
    <n v="14755"/>
    <m/>
    <m/>
    <m/>
    <m/>
    <m/>
  </r>
  <r>
    <s v="Coco Huet (Parc à Moutons)"/>
    <m/>
    <x v="7"/>
    <x v="1"/>
    <x v="3"/>
    <s v="PRLC 0121"/>
    <s v="YFR"/>
    <s v="DBA"/>
    <x v="2"/>
    <m/>
    <m/>
    <s v="_x000a_1 LOT sous compromis_x000a_Obtenir conformité Mairie"/>
    <s v="Commune"/>
    <s v="BARET"/>
    <d v="2013-12-19T00:00:00"/>
    <n v="11354"/>
    <n v="444858"/>
    <n v="247250"/>
    <n v="13084.058823529413"/>
    <n v="39.180729258411134"/>
    <n v="21.776466443544127"/>
    <n v="93.413630644960193"/>
    <n v="7272.0588235294117"/>
    <n v="333.94117647058823"/>
    <m/>
    <n v="29.945393693852388"/>
    <s v="NAUD"/>
    <n v="300"/>
    <m/>
    <x v="0"/>
    <x v="26"/>
    <n v="34"/>
    <m/>
    <n v="34"/>
    <m/>
    <m/>
    <m/>
    <n v="2592.75"/>
    <m/>
    <n v="2646.83"/>
    <n v="77.847941176470584"/>
    <m/>
    <m/>
    <m/>
    <m/>
    <m/>
    <n v="1035"/>
    <s v="x"/>
    <e v="#VALUE!"/>
    <n v="2"/>
    <s v="MDV"/>
    <s v="non"/>
    <m/>
    <m/>
    <m/>
    <d v="2012-09-21T00:00:00"/>
    <d v="2013-03-15T00:00:00"/>
    <s v="INGEPAR"/>
    <s v="LS 77"/>
    <m/>
    <d v="2013-07-29T00:00:00"/>
    <m/>
    <d v="2013-08-12T00:00:00"/>
    <d v="2013-08-23T00:00:00"/>
    <m/>
    <d v="2013-10-02T00:00:00"/>
    <d v="2013-10-29T00:00:00"/>
    <d v="2014-01-29T00:00:00"/>
    <m/>
    <d v="2014-01-20T00:00:00"/>
    <d v="2016-01-20T00:00:00"/>
    <d v="2017-01-20T00:00:00"/>
    <m/>
    <s v="oui"/>
    <e v="#NUM!"/>
    <e v="#NUM!"/>
    <e v="#NUM!"/>
    <m/>
    <s v="CR + CASUD = 19/12/13_x000a_CG = 15/01/14_x000a_Commune = 15/01/14"/>
    <m/>
    <m/>
    <m/>
    <m/>
    <m/>
    <m/>
    <m/>
    <m/>
    <m/>
    <m/>
    <m/>
    <m/>
    <m/>
    <m/>
    <m/>
    <m/>
    <s v="MAREL"/>
    <d v="2013-12-19T00:00:00"/>
    <m/>
    <n v="5177307.8499999996"/>
    <d v="2015-06-19T00:00:00"/>
    <d v="2015-12-19T00:00:00"/>
    <d v="2014-12-15T00:00:00"/>
    <d v="2015-11-15T00:00:00"/>
    <n v="25"/>
    <m/>
    <m/>
    <m/>
    <s v="0"/>
    <m/>
    <m/>
    <s v="0"/>
    <m/>
    <m/>
    <s v="0"/>
    <m/>
    <m/>
    <s v="0"/>
    <m/>
    <m/>
    <s v="0"/>
    <m/>
    <m/>
    <m/>
    <m/>
    <s v="0"/>
    <m/>
    <x v="21"/>
    <x v="3"/>
    <n v="8.1666666666666661"/>
    <s v="0"/>
    <n v="18"/>
    <n v="43"/>
    <m/>
    <m/>
    <s v="0"/>
    <m/>
    <m/>
    <s v="0"/>
    <m/>
    <m/>
    <s v="0"/>
    <m/>
    <m/>
    <s v="0"/>
    <m/>
    <m/>
    <s v="0"/>
    <m/>
    <m/>
    <s v="0"/>
    <m/>
    <m/>
    <s v="0"/>
    <m/>
    <m/>
    <m/>
    <d v="2015-10-01T00:00:00"/>
    <d v="2017-11-29T00:00:00"/>
    <n v="26.333333333333332"/>
    <d v="2016-12-15T00:00:00"/>
    <d v="2018-01-31T00:00:00"/>
    <d v="2015-12-04T00:00:00"/>
    <d v="2017-11-15T00:00:00"/>
    <m/>
    <d v="2015-11-01T00:00:00"/>
    <x v="26"/>
    <x v="4"/>
    <n v="25.466666666666665"/>
    <n v="14196.666666666666"/>
    <n v="361541.77777777775"/>
    <d v="2017-09-04T00:00:00"/>
    <n v="51376"/>
    <n v="0"/>
    <n v="30629.999999999996"/>
    <m/>
    <n v="127571.90799999998"/>
    <n v="2.1677246353851463E-2"/>
    <m/>
    <s v="Lot Charpente Couverture : Trait Carré par HJP_x000a_Lot Gros-œuvre : Robert Construction par CH2D_x000a_Lot Men Ext :APOI par Espace Alu_x000a_Lot électricité : Electric Services par_x000a_Lot Gros-Œuvre : CH2D par DRMS_x000a_Lot OPC_x000a_Lot plomberie : Fluides OI par_x000a_Soit 7 lots sur 14 = 50%_x000a_3 RO"/>
    <m/>
    <m/>
    <s v="réserves à lever"/>
    <d v="2018-03-05T00:00:00"/>
    <m/>
    <m/>
    <m/>
    <s v="envoyé "/>
    <d v="2018-11-29T00:00:00"/>
    <n v="56500"/>
    <d v="2018-02-22T00:00:00"/>
    <d v="2018-03-12T00:00:00"/>
    <m/>
    <m/>
    <d v="2018-04-23T00:00:00"/>
    <m/>
    <m/>
    <m/>
    <m/>
    <d v="2018-05-22T00:00:00"/>
    <s v="ok"/>
    <m/>
    <m/>
    <s v="oui"/>
    <n v="5039187"/>
    <n v="5626169"/>
    <n v="5885060.5800000001"/>
    <n v="5885060.5800000001"/>
    <n v="258891.58000000007"/>
    <n v="2269.8141278565231"/>
    <n v="173090.01705882352"/>
    <n v="4467345"/>
    <n v="4848194"/>
    <n v="0.81070427230323139"/>
    <n v="1408892"/>
    <n v="1600171.58"/>
    <m/>
    <n v="47063.87"/>
    <n v="191279.58000000007"/>
    <n v="2956295"/>
    <n v="3023907"/>
    <n v="650910"/>
    <n v="2372997"/>
    <n v="67612"/>
    <n v="88938.441176470587"/>
    <m/>
    <n v="680000"/>
    <n v="680000"/>
    <m/>
    <n v="0.11554681396329823"/>
    <n v="580982"/>
    <n v="0"/>
    <n v="0"/>
    <n v="20000"/>
    <n v="67063.87"/>
    <n v="0"/>
    <m/>
    <m/>
    <n v="1298644.9078014998"/>
    <n v="680000"/>
    <n v="81438"/>
    <n v="0"/>
    <n v="87063.87"/>
    <n v="0.42707533654989638"/>
    <n v="252442.25"/>
    <m/>
    <n v="0"/>
    <n v="6924813.9078014996"/>
    <m/>
    <m/>
    <m/>
    <m/>
    <m/>
    <n v="258409"/>
    <n v="349737"/>
    <d v="2011-08-24T00:00:00"/>
    <n v="210013"/>
    <m/>
    <m/>
    <m/>
    <m/>
    <d v="2013-02-27T00:00:00"/>
    <n v="39806"/>
    <d v="2013-07-30T00:00:00"/>
    <n v="24327"/>
    <n v="41570"/>
    <n v="36491"/>
    <m/>
    <m/>
    <s v="ok"/>
    <m/>
    <d v="2016-12-15T00:00:00"/>
    <n v="39100"/>
    <m/>
    <m/>
    <m/>
    <m/>
    <m/>
    <m/>
    <m/>
    <m/>
    <m/>
    <m/>
    <n v="39806"/>
    <m/>
    <m/>
    <m/>
    <m/>
    <m/>
  </r>
  <r>
    <s v="Benoite Boulard (PIVET-VELIN)"/>
    <m/>
    <x v="2"/>
    <x v="1"/>
    <x v="3"/>
    <s v="PRLC 0147"/>
    <s v="YFR"/>
    <s v="GGO"/>
    <x v="0"/>
    <m/>
    <m/>
    <m/>
    <s v="Pivet-Velin"/>
    <s v="AUBERT"/>
    <d v="2013-12-11T00:00:00"/>
    <n v="5146"/>
    <n v="1069200"/>
    <n v="1069200"/>
    <n v="19800"/>
    <n v="207.77302759424796"/>
    <n v="207.77302759424796"/>
    <n v="226.47840067104713"/>
    <n v="19800"/>
    <n v="95.296296296296291"/>
    <n v="2205.9499999999998"/>
    <n v="104.93587252234745"/>
    <s v="UA"/>
    <n v="570"/>
    <n v="0.15"/>
    <x v="1"/>
    <x v="27"/>
    <n v="54"/>
    <n v="54"/>
    <m/>
    <m/>
    <m/>
    <m/>
    <n v="4668.4799999999996"/>
    <m/>
    <n v="4720.9799999999996"/>
    <n v="87.425555555555547"/>
    <m/>
    <m/>
    <m/>
    <m/>
    <m/>
    <m/>
    <n v="0"/>
    <n v="0"/>
    <s v="4/5"/>
    <s v="collectif"/>
    <s v="oui"/>
    <m/>
    <m/>
    <m/>
    <d v="2012-11-20T00:00:00"/>
    <d v="2013-03-15T00:00:00"/>
    <s v="INGEPAR"/>
    <s v="LS 74"/>
    <m/>
    <d v="2013-07-11T00:00:00"/>
    <m/>
    <d v="2013-08-12T00:00:00"/>
    <d v="2013-08-22T00:00:00"/>
    <m/>
    <d v="2013-10-03T00:00:00"/>
    <d v="2013-10-29T00:00:00"/>
    <d v="2014-01-29T00:00:00"/>
    <m/>
    <d v="2014-01-20T00:00:00"/>
    <d v="2016-01-20T00:00:00"/>
    <d v="2017-01-20T00:00:00"/>
    <m/>
    <s v="oui"/>
    <e v="#NUM!"/>
    <e v="#NUM!"/>
    <e v="#NUM!"/>
    <m/>
    <s v="CR + CASUD = 19/12/13_x000a_CG = 15/01/14_x000a_Commune = 15/01/14"/>
    <m/>
    <m/>
    <m/>
    <m/>
    <m/>
    <m/>
    <m/>
    <m/>
    <m/>
    <m/>
    <m/>
    <m/>
    <m/>
    <m/>
    <m/>
    <m/>
    <s v="QUINOT"/>
    <d v="2013-12-18T00:00:00"/>
    <m/>
    <n v="9174750.6199999992"/>
    <d v="2015-06-18T00:00:00"/>
    <d v="2015-12-18T00:00:00"/>
    <d v="2016-10-13T00:00:00"/>
    <d v="2016-10-25T00:00:00"/>
    <n v="13.766666666666667"/>
    <m/>
    <m/>
    <m/>
    <s v="0"/>
    <m/>
    <m/>
    <s v="0"/>
    <m/>
    <m/>
    <s v="0"/>
    <m/>
    <m/>
    <s v="0"/>
    <m/>
    <m/>
    <s v="0"/>
    <m/>
    <m/>
    <m/>
    <m/>
    <s v="0"/>
    <m/>
    <x v="22"/>
    <x v="3"/>
    <n v="9.9333333333333336"/>
    <s v="0"/>
    <n v="15"/>
    <n v="43"/>
    <m/>
    <m/>
    <s v="0"/>
    <m/>
    <m/>
    <s v="0"/>
    <m/>
    <m/>
    <s v="0"/>
    <m/>
    <m/>
    <s v="0"/>
    <m/>
    <m/>
    <s v="0"/>
    <m/>
    <m/>
    <s v="0"/>
    <m/>
    <m/>
    <s v="0"/>
    <m/>
    <m/>
    <m/>
    <d v="2015-08-05T00:00:00"/>
    <d v="2017-12-07T00:00:00"/>
    <n v="28.5"/>
    <d v="2018-10-13T00:00:00"/>
    <d v="2018-01-31T00:00:00"/>
    <d v="2016-06-06T00:00:00"/>
    <d v="2017-11-27T00:00:00"/>
    <m/>
    <d v="2015-09-05T00:00:00"/>
    <x v="27"/>
    <x v="4"/>
    <n v="27.633333333333333"/>
    <n v="30520.815629938501"/>
    <n v="843391.87190730055"/>
    <d v="2017-08-23T00:00:00"/>
    <n v="0"/>
    <n v="222887"/>
    <m/>
    <m/>
    <n v="173911.66743999999"/>
    <n v="1.6663020779787267E-2"/>
    <m/>
    <s v="Lot Men Ext_x000a_Lot Charpente_x000a_Lot ECS_x000a_Soit 3 sur 17 lots = 17 %_x000a_2 RO"/>
    <m/>
    <m/>
    <s v="réserves à lever"/>
    <d v="2018-03-07T00:00:00"/>
    <m/>
    <m/>
    <d v="2018-07-16T00:00:00"/>
    <s v="envoyé"/>
    <d v="2018-12-07T00:00:00"/>
    <n v="280724"/>
    <d v="2018-02-21T00:00:00"/>
    <d v="2018-03-27T00:00:00"/>
    <m/>
    <m/>
    <d v="2018-04-27T00:00:00"/>
    <m/>
    <m/>
    <m/>
    <m/>
    <d v="2018-07-06T00:00:00"/>
    <s v="ok"/>
    <m/>
    <m/>
    <s v="oui"/>
    <n v="9099071"/>
    <n v="9099072"/>
    <n v="10436983.17"/>
    <n v="10436983.17"/>
    <n v="1337911.17"/>
    <n v="2235.6276925251905"/>
    <n v="193277.46611111111"/>
    <n v="8367242"/>
    <n v="8644229"/>
    <n v="0.93888190817700956"/>
    <n v="3120981"/>
    <n v="3287400"/>
    <m/>
    <n v="60877.777777777781"/>
    <n v="166419"/>
    <n v="5978090"/>
    <n v="5918673"/>
    <n v="1256197"/>
    <n v="4662476"/>
    <n v="-59417"/>
    <n v="109605.05555555556"/>
    <n v="1213559.17"/>
    <n v="1"/>
    <n v="1"/>
    <m/>
    <n v="9.5813127578321085E-8"/>
    <n v="0"/>
    <n v="17350"/>
    <n v="17350"/>
    <n v="1.8518518518518517E-2"/>
    <n v="60877.796296296299"/>
    <n v="321.2962962962963"/>
    <m/>
    <m/>
    <m/>
    <m/>
    <n v="60877.796296296299"/>
    <n v="0"/>
    <n v="60877.796296296299"/>
    <n v="0.31497617141410028"/>
    <m/>
    <m/>
    <m/>
    <n v="10436983.17"/>
    <m/>
    <m/>
    <m/>
    <m/>
    <m/>
    <n v="455729"/>
    <n v="225585"/>
    <d v="2012-10-25T00:00:00"/>
    <n v="42868"/>
    <m/>
    <m/>
    <m/>
    <m/>
    <d v="2013-02-27T00:00:00"/>
    <n v="44712"/>
    <d v="2013-05-02T00:00:00"/>
    <n v="65685"/>
    <n v="41547"/>
    <n v="65685"/>
    <m/>
    <m/>
    <m/>
    <m/>
    <m/>
    <m/>
    <m/>
    <m/>
    <m/>
    <m/>
    <d v="2017-03-28T00:00:00"/>
    <n v="6635"/>
    <m/>
    <m/>
    <m/>
    <m/>
    <n v="44712"/>
    <m/>
    <m/>
    <m/>
    <m/>
    <m/>
  </r>
  <r>
    <s v="VEFA LOULOU PITOU (LA SAFRANIERE)"/>
    <m/>
    <x v="2"/>
    <x v="1"/>
    <x v="4"/>
    <s v="PRLC 0161"/>
    <s v="ADE"/>
    <m/>
    <x v="0"/>
    <m/>
    <m/>
    <m/>
    <m/>
    <m/>
    <m/>
    <n v="2671"/>
    <n v="637295"/>
    <n v="637295"/>
    <n v="13559.468085106382"/>
    <n v="238.5979034069637"/>
    <n v="238.5979034069637"/>
    <n v="166.56952430737061"/>
    <n v="13559.468085106382"/>
    <n v="56.829787234042556"/>
    <m/>
    <n v="175.96405840509172"/>
    <s v="UB"/>
    <n v="512"/>
    <m/>
    <x v="0"/>
    <x v="28"/>
    <n v="47"/>
    <m/>
    <n v="47"/>
    <m/>
    <m/>
    <n v="3318.5"/>
    <n v="3826"/>
    <n v="3826"/>
    <n v="3826"/>
    <n v="81.40425531914893"/>
    <m/>
    <m/>
    <m/>
    <m/>
    <m/>
    <m/>
    <n v="0"/>
    <n v="0"/>
    <n v="4.5"/>
    <s v="collectif"/>
    <s v="oui"/>
    <n v="7250000"/>
    <n v="1894.929430214323"/>
    <m/>
    <d v="2013-11-13T00:00:00"/>
    <d v="2014-05-12T00:00:00"/>
    <s v="INGEPAR"/>
    <s v="LS 101"/>
    <s v="SO"/>
    <d v="2014-06-10T00:00:00"/>
    <m/>
    <d v="2014-10-23T00:00:00"/>
    <d v="2014-11-14T00:00:00"/>
    <m/>
    <d v="2014-12-16T00:00:00"/>
    <d v="2014-12-17T00:00:00"/>
    <d v="2015-03-17T00:00:00"/>
    <s v="ok"/>
    <d v="2015-03-17T00:00:00"/>
    <d v="2017-03-17T00:00:00"/>
    <d v="2018-03-17T00:00:00"/>
    <m/>
    <s v="non"/>
    <n v="16"/>
    <n v="327147.92451910797"/>
    <n v="0"/>
    <s v="22/10/2014_x000a_cr 24/11/14 - modif à faire"/>
    <s v="Ville 18/03/15_x000a_Région 17/06/15_x000a_CG 30/06/15_x000a_CASUD 29/09/15"/>
    <m/>
    <m/>
    <m/>
    <m/>
    <m/>
    <m/>
    <m/>
    <m/>
    <m/>
    <m/>
    <d v="2015-09-29T00:00:00"/>
    <m/>
    <m/>
    <m/>
    <m/>
    <m/>
    <s v="BARET/GILLOT"/>
    <d v="2014-12-19T00:00:00"/>
    <m/>
    <n v="7100881.4887365336"/>
    <d v="2016-06-19T00:00:00"/>
    <d v="2016-12-19T00:00:00"/>
    <d v="2015-05-19T00:00:00"/>
    <d v="2016-10-19T00:00:00"/>
    <n v="0.66666666666666663"/>
    <m/>
    <m/>
    <m/>
    <s v="0"/>
    <m/>
    <m/>
    <s v="0"/>
    <m/>
    <m/>
    <s v="0"/>
    <m/>
    <m/>
    <s v="0"/>
    <m/>
    <m/>
    <s v="0"/>
    <m/>
    <m/>
    <m/>
    <m/>
    <s v="0"/>
    <m/>
    <x v="23"/>
    <x v="4"/>
    <n v="7.9"/>
    <s v="0"/>
    <n v="18"/>
    <n v="20"/>
    <m/>
    <m/>
    <s v="0"/>
    <m/>
    <m/>
    <s v="0"/>
    <m/>
    <m/>
    <s v="0"/>
    <m/>
    <m/>
    <s v="0"/>
    <m/>
    <m/>
    <s v="0"/>
    <m/>
    <m/>
    <s v="0"/>
    <m/>
    <m/>
    <s v="0"/>
    <m/>
    <m/>
    <m/>
    <d v="2016-08-02T00:00:00"/>
    <d v="2016-10-31T00:00:00"/>
    <n v="3"/>
    <d v="2017-05-19T00:00:00"/>
    <d v="2016-10-14T00:00:00"/>
    <d v="2016-08-09T00:00:00"/>
    <m/>
    <m/>
    <d v="2016-09-02T00:00:00"/>
    <x v="28"/>
    <x v="3"/>
    <n v="2.2333333333333334"/>
    <n v="20446.745282444248"/>
    <n v="45664.39779745882"/>
    <s v="ok"/>
    <m/>
    <n v="0"/>
    <m/>
    <m/>
    <n v="0"/>
    <n v="0"/>
    <m/>
    <m/>
    <m/>
    <m/>
    <m/>
    <m/>
    <m/>
    <s v="sauf Peinture"/>
    <s v="ok"/>
    <m/>
    <d v="2017-10-31T00:00:00"/>
    <n v="27200"/>
    <d v="2016-12-06T00:00:00"/>
    <d v="2017-02-13T00:00:00"/>
    <m/>
    <m/>
    <m/>
    <s v="SO"/>
    <s v="ok"/>
    <m/>
    <s v="déposé DRFIP 16/06/17"/>
    <d v="2017-03-14T00:00:00"/>
    <s v="ok"/>
    <s v="ok"/>
    <m/>
    <m/>
    <m/>
    <n v="9070838.1099999994"/>
    <n v="7893608.4299999997"/>
    <n v="7893608.4299999997"/>
    <n v="-1177229.6799999997"/>
    <n v="2063.1490930475693"/>
    <n v="167949.1155319149"/>
    <n v="7995841"/>
    <n v="6785519"/>
    <n v="0.87767400174928611"/>
    <n v="2612892.11"/>
    <n v="2234701"/>
    <m/>
    <n v="47546.829787234041"/>
    <n v="-378191.10999999987"/>
    <n v="5339946"/>
    <n v="4540907.43"/>
    <n v="1362272"/>
    <n v="3178635.43"/>
    <n v="-799038.5700000003"/>
    <n v="96615.051702127646"/>
    <n v="0"/>
    <n v="1118000"/>
    <n v="1118000"/>
    <n v="0"/>
    <n v="0.1416335773321353"/>
    <m/>
    <n v="0"/>
    <n v="0"/>
    <n v="23787.234042553191"/>
    <n v="71334.063829787236"/>
    <n v="0"/>
    <n v="5.07"/>
    <n v="4.96"/>
    <n v="0"/>
    <n v="0"/>
    <n v="79380.683191489356"/>
    <n v="0"/>
    <n v="71334.063829787236"/>
    <n v="0.42473616847497969"/>
    <n v="0"/>
    <m/>
    <n v="0"/>
    <n v="7893608.429999999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rveine des Indes (Ilôt 5.1)"/>
    <m/>
    <x v="4"/>
    <x v="0"/>
    <x v="4"/>
    <s v="PRLC 0155"/>
    <s v="YFR"/>
    <s v="GGO"/>
    <x v="0"/>
    <s v="oui"/>
    <m/>
    <m/>
    <s v="SODEGIS"/>
    <s v="QUINOT"/>
    <m/>
    <n v="1500"/>
    <n v="128915"/>
    <n v="128915"/>
    <n v="8057.1875"/>
    <n v="85.943333333333328"/>
    <n v="85.943333333333328"/>
    <n v="91.134345662255399"/>
    <n v="8057.1875"/>
    <n v="93.75"/>
    <m/>
    <n v="106.66666666666667"/>
    <m/>
    <n v="90"/>
    <m/>
    <x v="0"/>
    <x v="6"/>
    <n v="16"/>
    <m/>
    <n v="16"/>
    <m/>
    <m/>
    <m/>
    <n v="1374.99"/>
    <m/>
    <n v="1414.56"/>
    <n v="88.41"/>
    <n v="0.125"/>
    <n v="0.125"/>
    <n v="0.375"/>
    <n v="0.3125"/>
    <n v="6.25E-2"/>
    <m/>
    <n v="0"/>
    <n v="0"/>
    <n v="2.5"/>
    <s v="collectif"/>
    <s v="oui"/>
    <m/>
    <m/>
    <m/>
    <d v="2014-01-28T00:00:00"/>
    <d v="2014-05-22T00:00:00"/>
    <s v="INTERINVEST"/>
    <s v="PC 95 "/>
    <m/>
    <d v="2014-10-17T00:00:00"/>
    <m/>
    <d v="2014-11-12T00:00:00"/>
    <d v="2014-12-19T00:00:00"/>
    <m/>
    <d v="2015-01-13T00:00:00"/>
    <s v="23/01/2015_x000a_transmis à DAF 11/03/15"/>
    <d v="2015-04-22T00:00:00"/>
    <d v="2015-03-11T00:00:00"/>
    <d v="2015-04-24T00:00:00"/>
    <d v="2017-04-24T00:00:00"/>
    <d v="2018-04-24T00:00:00"/>
    <m/>
    <s v="oui"/>
    <n v="8"/>
    <n v="59281.617932302062"/>
    <n v="0"/>
    <s v="28/10/2014_x000a_12/01/15"/>
    <s v="CIVIS 25/05/15_x000a_Région 12/06/15_x000a_Commune 29/06/15_x000a_CG 30/06/15"/>
    <m/>
    <m/>
    <m/>
    <m/>
    <m/>
    <m/>
    <m/>
    <m/>
    <m/>
    <m/>
    <m/>
    <m/>
    <m/>
    <m/>
    <m/>
    <m/>
    <s v="QUINOT"/>
    <d v="2016-04-18T00:00:00"/>
    <s v="24/6/16 (mail)"/>
    <n v="2657721.79"/>
    <d v="2016-06-01T00:00:00"/>
    <d v="2018-04-18T00:00:00"/>
    <d v="2016-07-22T00:00:00"/>
    <d v="2018-02-18T00:00:00"/>
    <n v="-6.4"/>
    <m/>
    <m/>
    <m/>
    <s v="0"/>
    <m/>
    <m/>
    <s v="0"/>
    <m/>
    <m/>
    <s v="0"/>
    <m/>
    <m/>
    <s v="0"/>
    <m/>
    <m/>
    <s v="0"/>
    <m/>
    <m/>
    <m/>
    <m/>
    <s v="0"/>
    <m/>
    <x v="24"/>
    <x v="5"/>
    <n v="18.633333333333333"/>
    <s v="0"/>
    <n v="13"/>
    <n v="14"/>
    <m/>
    <m/>
    <s v="0"/>
    <m/>
    <m/>
    <s v="0"/>
    <m/>
    <m/>
    <s v="0"/>
    <m/>
    <m/>
    <s v="0"/>
    <m/>
    <m/>
    <s v="0"/>
    <m/>
    <m/>
    <s v="0"/>
    <m/>
    <m/>
    <s v="0"/>
    <m/>
    <m/>
    <m/>
    <d v="2017-05-28T00:00:00"/>
    <d v="2017-07-05T00:00:00"/>
    <n v="1.2666666666666666"/>
    <d v="2018-07-22T00:00:00"/>
    <d v="2017-07-12T00:00:00"/>
    <d v="2016-11-28T00:00:00"/>
    <d v="2017-07-26T00:00:00"/>
    <m/>
    <d v="2017-06-28T00:00:00"/>
    <x v="29"/>
    <x v="4"/>
    <n v="1.4333333333333333"/>
    <n v="7410.2022415377578"/>
    <n v="10621.289879537453"/>
    <d v="2017-06-15T00:00:00"/>
    <n v="0"/>
    <n v="0"/>
    <m/>
    <m/>
    <n v="12993.96"/>
    <n v="4.665640564888658E-3"/>
    <m/>
    <s v="Lot Menui Ext :PVC 400 par Sofaal_x000a_soit 1 sur 15_x000a_1  RO"/>
    <m/>
    <m/>
    <s v="ok"/>
    <s v="ok"/>
    <s v="ok"/>
    <s v="ok"/>
    <d v="2018-02-15T00:00:00"/>
    <s v="envoyé "/>
    <d v="2018-07-05T00:00:00"/>
    <n v="9694"/>
    <d v="2017-11-17T00:00:00"/>
    <d v="2017-11-20T00:00:00"/>
    <m/>
    <m/>
    <d v="2018-03-21T00:00:00"/>
    <m/>
    <s v="ok"/>
    <d v="2018-08-24T00:00:00"/>
    <m/>
    <s v="ok"/>
    <s v="ok"/>
    <s v="ok"/>
    <m/>
    <m/>
    <n v="2681224"/>
    <n v="2686279"/>
    <n v="2785032.37"/>
    <n v="2785032.37"/>
    <n v="98753.370000000112"/>
    <n v="2025.4928181295866"/>
    <n v="174064.52312500001"/>
    <m/>
    <n v="2460822"/>
    <n v="0.90214364797490654"/>
    <n v="797080"/>
    <n v="863024"/>
    <m/>
    <n v="53939"/>
    <n v="65944"/>
    <n v="1564144"/>
    <n v="1596953.37"/>
    <n v="242605.3"/>
    <n v="1354348.07"/>
    <n v="32809.370000000112"/>
    <n v="99809.585625000007"/>
    <m/>
    <n v="320000"/>
    <n v="320000"/>
    <n v="0"/>
    <n v="0.1148999212529799"/>
    <m/>
    <n v="5055"/>
    <n v="0"/>
    <n v="20000"/>
    <n v="73939"/>
    <n v="0"/>
    <n v="5.07"/>
    <n v="5.07"/>
    <n v="0"/>
    <n v="0"/>
    <n v="69817.5"/>
    <n v="0"/>
    <n v="73939"/>
    <n v="0.42477926387620407"/>
    <n v="0"/>
    <m/>
    <n v="0"/>
    <n v="2785032.37"/>
    <m/>
    <m/>
    <m/>
    <m/>
    <m/>
    <n v="141274"/>
    <n v="141274"/>
    <d v="2014-01-02T00:00:00"/>
    <n v="14192"/>
    <m/>
    <m/>
    <d v="2014-02-26T00:00:00"/>
    <n v="7096"/>
    <m/>
    <m/>
    <d v="2014-07-07T00:00:00"/>
    <n v="27458"/>
    <n v="41933"/>
    <n v="20852"/>
    <m/>
    <m/>
    <d v="2016-07-13T00:00:00"/>
    <m/>
    <d v="2016-07-13T00:00:00"/>
    <m/>
    <d v="2016-07-13T00:00:00"/>
    <n v="30071"/>
    <d v="2016-10-17T00:00:00"/>
    <n v="8517"/>
    <d v="2017-03-28T00:00:00"/>
    <n v="6635"/>
    <d v="2017-06-16T00:00:00"/>
    <n v="7555"/>
    <d v="2017-07-05T00:00:00"/>
    <n v="7198"/>
    <m/>
    <m/>
    <d v="2017-08-17T00:00:00"/>
    <n v="7429"/>
    <d v="2018-02-12T00:00:00"/>
    <n v="4271"/>
  </r>
  <r>
    <s v="VEFA Petunias"/>
    <m/>
    <x v="2"/>
    <x v="1"/>
    <x v="4"/>
    <s v="PRLC 0165"/>
    <s v="YFR"/>
    <s v="GGO"/>
    <x v="2"/>
    <m/>
    <m/>
    <m/>
    <m/>
    <m/>
    <m/>
    <n v="3512"/>
    <n v="977347"/>
    <n v="977347"/>
    <n v="19546.939999999999"/>
    <n v="278.28787015945329"/>
    <n v="278.28787015945329"/>
    <n v="217.55371245915362"/>
    <n v="19546.939999999999"/>
    <n v="70.239999999999995"/>
    <m/>
    <n v="142.36902050113895"/>
    <s v="UA"/>
    <m/>
    <m/>
    <x v="0"/>
    <x v="29"/>
    <n v="50"/>
    <m/>
    <n v="50"/>
    <m/>
    <m/>
    <n v="3918.4"/>
    <n v="4492.4399999999996"/>
    <n v="4492.4399999999996"/>
    <n v="4492.4399999999996"/>
    <n v="89.848799999999997"/>
    <m/>
    <m/>
    <m/>
    <m/>
    <m/>
    <m/>
    <n v="0"/>
    <n v="0"/>
    <n v="4"/>
    <s v="collectif"/>
    <s v="oui"/>
    <n v="8177215"/>
    <n v="1820.2168532022688"/>
    <m/>
    <d v="2013-11-13T00:00:00"/>
    <m/>
    <s v="INGEPAR"/>
    <s v="LS 79"/>
    <s v="SO"/>
    <d v="2014-07-28T00:00:00"/>
    <m/>
    <d v="2014-11-19T00:00:00"/>
    <d v="2015-07-10T00:00:00"/>
    <m/>
    <d v="2015-08-12T00:00:00"/>
    <d v="2015-09-03T00:00:00"/>
    <d v="2015-11-20T00:00:00"/>
    <d v="2015-09-17T00:00:00"/>
    <d v="2015-11-17T00:00:00"/>
    <d v="2017-11-17T00:00:00"/>
    <d v="2018-11-17T00:00:00"/>
    <m/>
    <s v="oui"/>
    <n v="7"/>
    <n v="163112.89964363858"/>
    <n v="0"/>
    <s v="ok"/>
    <s v="16/12/15 Région_x000a_20/01/16 CG_x000a_25/01/16 Mairie_x000a_10/02/16 CASUD"/>
    <m/>
    <m/>
    <m/>
    <d v="2016-02-01T00:00:00"/>
    <m/>
    <m/>
    <m/>
    <m/>
    <m/>
    <m/>
    <d v="2016-02-10T00:00:00"/>
    <d v="2015-12-22T00:00:00"/>
    <m/>
    <m/>
    <m/>
    <m/>
    <s v="LE GOFF"/>
    <d v="2015-11-25T00:00:00"/>
    <s v="doc jur 30/11/15"/>
    <n v="8009024.4900000002"/>
    <d v="2017-05-25T00:00:00"/>
    <d v="2017-11-25T00:00:00"/>
    <d v="2016-09-23T00:00:00"/>
    <d v="2018-02-26T00:00:00"/>
    <n v="1.6666666666666667"/>
    <m/>
    <m/>
    <m/>
    <s v="0"/>
    <d v="2014-02-06T00:00:00"/>
    <d v="2012-02-07T00:00:00"/>
    <n v="-730"/>
    <m/>
    <m/>
    <s v="0"/>
    <m/>
    <m/>
    <s v="0"/>
    <m/>
    <m/>
    <s v="0"/>
    <m/>
    <m/>
    <m/>
    <m/>
    <s v="0"/>
    <d v="2015-12-11T00:00:00"/>
    <x v="25"/>
    <x v="4"/>
    <n v="16.666666666666668"/>
    <n v="-1"/>
    <n v="24"/>
    <n v="27"/>
    <m/>
    <m/>
    <s v="0"/>
    <m/>
    <d v="2016-08-24T00:00:00"/>
    <s v="0"/>
    <m/>
    <m/>
    <s v="0"/>
    <m/>
    <d v="2017-07-13T00:00:00"/>
    <s v="0"/>
    <m/>
    <d v="2017-10-26T00:00:00"/>
    <s v="0"/>
    <m/>
    <m/>
    <s v="0"/>
    <m/>
    <d v="2017-11-13T00:00:00"/>
    <s v="0"/>
    <m/>
    <m/>
    <m/>
    <d v="2017-12-10T00:00:00"/>
    <d v="2018-03-30T00:00:00"/>
    <n v="3.6666666666666665"/>
    <d v="2018-09-23T00:00:00"/>
    <d v="2018-03-30T00:00:00"/>
    <d v="2017-10-09T00:00:00"/>
    <d v="2018-03-30T00:00:00"/>
    <m/>
    <d v="2018-01-10T00:00:00"/>
    <x v="30"/>
    <x v="5"/>
    <n v="3.2333333333333334"/>
    <n v="23301.842806234083"/>
    <n v="75342.625073490199"/>
    <s v="sem 12/02 : T5"/>
    <n v="119075"/>
    <n v="66513.73"/>
    <m/>
    <m/>
    <n v="0"/>
    <n v="0"/>
    <s v="FMA / YFR"/>
    <m/>
    <s v="équipement local refoulement par CASUD à partir du 05/02 (1 mois travaux)"/>
    <s v="décalage de programmation"/>
    <m/>
    <m/>
    <m/>
    <m/>
    <m/>
    <m/>
    <d v="2019-03-30T00:00:00"/>
    <m/>
    <m/>
    <d v="2018-08-28T00:00:00"/>
    <m/>
    <m/>
    <m/>
    <m/>
    <m/>
    <m/>
    <m/>
    <d v="2018-07-06T00:00:00"/>
    <m/>
    <m/>
    <m/>
    <m/>
    <m/>
    <n v="8927957.6050000004"/>
    <n v="8836763.6449999996"/>
    <n v="8836763.6449999996"/>
    <n v="-91193.960000000894"/>
    <n v="1967.0298646170011"/>
    <n v="176735.27289999998"/>
    <n v="8046979"/>
    <n v="7435240.3190134894"/>
    <n v="0.8590679428218172"/>
    <n v="2663620"/>
    <n v="2572426.04"/>
    <m/>
    <n v="51448.520799999998"/>
    <n v="-91193.959999999963"/>
    <n v="5272823.875"/>
    <n v="5272823.875"/>
    <n v="1076863.6000000001"/>
    <n v="4195960.2750000004"/>
    <n v="0"/>
    <n v="105456.47749999999"/>
    <m/>
    <n v="925000"/>
    <n v="925000"/>
    <n v="0"/>
    <n v="0.10467633142178491"/>
    <m/>
    <n v="0"/>
    <n v="0"/>
    <n v="18500"/>
    <n v="69948.520799999998"/>
    <n v="0"/>
    <n v="4.9400000000000004"/>
    <n v="4.93"/>
    <m/>
    <n v="0"/>
    <n v="69948.520799999998"/>
    <m/>
    <n v="69948.520799999998"/>
    <n v="0.39578132679591432"/>
    <m/>
    <m/>
    <n v="66513.73"/>
    <n v="8836763.644999999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Z'ambaville (AX 18)"/>
    <m/>
    <x v="4"/>
    <x v="0"/>
    <x v="4"/>
    <s v="PRLC 0153"/>
    <s v="FVA"/>
    <s v="DBE"/>
    <x v="2"/>
    <s v="oui"/>
    <m/>
    <m/>
    <s v="SODEGIS"/>
    <s v="QUINOT"/>
    <d v="2013-05-13T00:00:00"/>
    <n v="1492"/>
    <n v="325000"/>
    <n v="85500"/>
    <n v="36111.111111111109"/>
    <n v="217.82841823056302"/>
    <n v="57.305630026809652"/>
    <n v="103.33949744370717"/>
    <n v="9500"/>
    <n v="165.77777777777777"/>
    <m/>
    <n v="60.321715817694368"/>
    <s v="UA"/>
    <n v="30"/>
    <m/>
    <x v="1"/>
    <x v="20"/>
    <n v="9"/>
    <n v="9"/>
    <m/>
    <m/>
    <m/>
    <m/>
    <n v="858.51"/>
    <m/>
    <n v="827.37"/>
    <n v="91.93"/>
    <n v="0"/>
    <n v="0"/>
    <n v="0"/>
    <n v="0.88888888888888884"/>
    <n v="0.1111111111111111"/>
    <m/>
    <n v="0"/>
    <n v="0"/>
    <n v="2"/>
    <s v="MDV"/>
    <s v="non"/>
    <m/>
    <m/>
    <m/>
    <d v="2013-11-13T00:00:00"/>
    <d v="2014-05-14T00:00:00"/>
    <s v="INTERINVEST"/>
    <s v="PC 97 "/>
    <m/>
    <d v="2014-06-10T00:00:00"/>
    <m/>
    <d v="2014-06-30T00:00:00"/>
    <d v="2014-11-20T00:00:00"/>
    <m/>
    <d v="2015-02-19T00:00:00"/>
    <d v="2015-02-24T00:00:00"/>
    <d v="2015-05-23T00:00:00"/>
    <d v="2015-03-11T00:00:00"/>
    <d v="2015-05-22T00:00:00"/>
    <d v="2017-05-22T00:00:00"/>
    <d v="2018-05-22T00:00:00"/>
    <m/>
    <s v="oui"/>
    <n v="0"/>
    <n v="0"/>
    <n v="0"/>
    <s v="ok"/>
    <s v="CIVIS 25/05/15_x000a_Région 12/06/15_x000a_Commune 29/06/15_x000a_CG 30/06/15"/>
    <m/>
    <m/>
    <m/>
    <m/>
    <m/>
    <m/>
    <m/>
    <m/>
    <m/>
    <m/>
    <m/>
    <m/>
    <m/>
    <m/>
    <m/>
    <m/>
    <s v="MAREL"/>
    <d v="2016-04-18T00:00:00"/>
    <d v="2016-06-27T00:00:00"/>
    <n v="1734390.06"/>
    <d v="2016-06-01T00:00:00"/>
    <d v="2018-04-18T00:00:00"/>
    <d v="2016-09-01T00:00:00"/>
    <d v="2018-01-31T00:00:00"/>
    <n v="2.8"/>
    <d v="2013-10-01T00:00:00"/>
    <d v="2013-10-02T00:00:00"/>
    <d v="2013-10-08T00:00:00"/>
    <n v="6"/>
    <d v="2014-02-06T00:00:00"/>
    <d v="2014-02-06T00:00:00"/>
    <n v="0"/>
    <d v="2014-02-14T00:00:00"/>
    <d v="2014-02-18T00:00:00"/>
    <n v="4"/>
    <d v="2014-05-14T00:00:00"/>
    <d v="2014-06-11T00:00:00"/>
    <n v="28"/>
    <d v="2014-11-03T00:00:00"/>
    <d v="2014-11-03T00:00:00"/>
    <n v="0"/>
    <m/>
    <d v="2015-05-22T00:00:00"/>
    <d v="2015-06-03T00:00:00"/>
    <d v="2016-05-10T00:00:00"/>
    <n v="342"/>
    <d v="2015-03-20T00:00:00"/>
    <x v="26"/>
    <x v="5"/>
    <n v="23.333333333333332"/>
    <n v="417"/>
    <n v="13"/>
    <n v="22"/>
    <d v="2016-07-01T00:00:00"/>
    <d v="2017-06-20T00:00:00"/>
    <n v="354"/>
    <d v="2016-09-02T00:00:00"/>
    <d v="2016-08-22T00:00:00"/>
    <n v="-11"/>
    <d v="2016-12-01T00:00:00"/>
    <d v="2017-06-20T00:00:00"/>
    <n v="201"/>
    <d v="2017-02-09T00:00:00"/>
    <d v="2017-10-27T00:00:00"/>
    <n v="260"/>
    <d v="2017-03-07T00:00:00"/>
    <d v="2017-09-01T00:00:00"/>
    <n v="178"/>
    <d v="2017-03-24T00:00:00"/>
    <d v="2017-10-09T00:00:00"/>
    <n v="199"/>
    <d v="2017-05-24T00:00:00"/>
    <d v="2018-02-18T00:00:00"/>
    <n v="270"/>
    <d v="2017-11-20T00:00:00"/>
    <s v="-"/>
    <d v="2017-11-30T00:00:00"/>
    <d v="2017-06-10T00:00:00"/>
    <d v="2018-03-12T00:00:00"/>
    <n v="9.1666666666666661"/>
    <d v="2018-09-01T00:00:00"/>
    <d v="2018-04-16T00:00:00"/>
    <s v="ok"/>
    <d v="2018-04-15T00:00:00"/>
    <m/>
    <d v="2017-07-10T00:00:00"/>
    <x v="31"/>
    <x v="5"/>
    <n v="9.6333333333333329"/>
    <n v="5363.8647850361422"/>
    <n v="51671.897429181503"/>
    <d v="2018-03-08T00:00:00"/>
    <n v="0"/>
    <n v="24629"/>
    <n v="3439.7489999999998"/>
    <m/>
    <n v="27474.088999999996"/>
    <n v="1.5144147853676496E-2"/>
    <s v="SFE / AGA / FVA"/>
    <s v="Lot GO "/>
    <s v="bâche à poser pour sécurité incendie, avant inauguration_x000a_retard SBIM / AMEDEE"/>
    <s v="problématique juridique INTERINVEST qui a mis beaucoup de temps à se solutionner_x000a_retard SBIM / AMEDEE_x000a_convention MOD EDF très tardive_x000a_"/>
    <m/>
    <m/>
    <m/>
    <s v="ok"/>
    <m/>
    <d v="2018-11-14T00:00:00"/>
    <d v="2019-03-12T00:00:00"/>
    <m/>
    <s v="ok"/>
    <d v="2018-06-11T00:00:00"/>
    <m/>
    <m/>
    <m/>
    <m/>
    <m/>
    <m/>
    <m/>
    <d v="2018-05-03T00:00:00"/>
    <m/>
    <m/>
    <m/>
    <m/>
    <m/>
    <n v="1569068"/>
    <n v="1814172"/>
    <n v="1814172"/>
    <n v="245104"/>
    <n v="2113.1635042107837"/>
    <n v="201574.66666666666"/>
    <n v="1344547"/>
    <n v="1545657.7250008537"/>
    <n v="0.86988253441562946"/>
    <n v="478312"/>
    <n v="614225"/>
    <m/>
    <n v="68247.222222222219"/>
    <n v="135913"/>
    <n v="980627"/>
    <n v="1199946"/>
    <n v="270994"/>
    <n v="928952"/>
    <n v="219319"/>
    <n v="133327.33333333334"/>
    <n v="0"/>
    <n v="85500"/>
    <n v="1"/>
    <m/>
    <n v="5.5121565099670815E-7"/>
    <m/>
    <n v="0"/>
    <n v="-85499"/>
    <n v="0.1111111111111111"/>
    <n v="68247.333333333328"/>
    <n v="-9499.8888888888887"/>
    <n v="5.7"/>
    <n v="5.59"/>
    <n v="0"/>
    <n v="0"/>
    <n v="62645.777777777781"/>
    <m/>
    <n v="68247.333333333328"/>
    <n v="0.33857098444910405"/>
    <m/>
    <m/>
    <n v="24629"/>
    <n v="1569068"/>
    <m/>
    <m/>
    <m/>
    <m/>
    <m/>
    <n v="91876"/>
    <n v="86406"/>
    <d v="2013-02-19T00:00:00"/>
    <n v="7458"/>
    <m/>
    <m/>
    <d v="2014-02-11T00:00:00"/>
    <n v="5456"/>
    <m/>
    <m/>
    <d v="2014-05-14T00:00:00"/>
    <n v="17627"/>
    <d v="2014-11-03T00:00:00"/>
    <n v="13089"/>
    <m/>
    <m/>
    <s v="ok"/>
    <m/>
    <s v="ok"/>
    <m/>
    <d v="2016-08-12T00:00:00"/>
    <n v="17699"/>
    <d v="2016-12-08T00:00:00"/>
    <n v="5451"/>
    <d v="2017-09-07T00:00:00"/>
    <s v="-"/>
    <d v="2017-09-07T00:00:00"/>
    <m/>
    <d v="2017-09-07T00:00:00"/>
    <n v="15909"/>
    <d v="2018-03-08T00:00:00"/>
    <m/>
    <d v="2018-03-08T00:00:00"/>
    <n v="3717"/>
    <m/>
    <m/>
  </r>
  <r>
    <s v="Fleurs jaunes (Ilôt 6.1)"/>
    <m/>
    <x v="4"/>
    <x v="0"/>
    <x v="4"/>
    <s v="PRLC 0160"/>
    <s v="FHO"/>
    <s v="VAF"/>
    <x v="3"/>
    <m/>
    <m/>
    <s v="convention paroi clouée OK / notaire doit rédiger une constitution de servitude"/>
    <s v="SODEGIS"/>
    <s v="QUINOT"/>
    <m/>
    <n v="2529"/>
    <n v="217810"/>
    <n v="217810"/>
    <n v="7260.333333333333"/>
    <n v="86.124950573349153"/>
    <n v="86.124950573349153"/>
    <n v="84.317900278724068"/>
    <n v="7260.333333333333"/>
    <n v="84.3"/>
    <n v="1077.3"/>
    <n v="118.62396204033215"/>
    <m/>
    <n v="110"/>
    <m/>
    <x v="0"/>
    <x v="1"/>
    <n v="30"/>
    <m/>
    <n v="30"/>
    <m/>
    <m/>
    <m/>
    <n v="2546.5500000000002"/>
    <m/>
    <n v="2583.1999999999998"/>
    <n v="86.106666666666655"/>
    <n v="6.6666666666666666E-2"/>
    <n v="0.4"/>
    <n v="0.4"/>
    <n v="0.1"/>
    <n v="3.3333333333333333E-2"/>
    <m/>
    <n v="0"/>
    <n v="0"/>
    <n v="4"/>
    <s v="collectif"/>
    <s v="oui"/>
    <m/>
    <m/>
    <m/>
    <d v="2014-01-28T00:00:00"/>
    <m/>
    <s v="OFOI"/>
    <s v="IONIQUE 4"/>
    <m/>
    <d v="2014-09-08T00:00:00"/>
    <m/>
    <s v="ok"/>
    <d v="2015-09-09T00:00:00"/>
    <m/>
    <d v="2015-08-17T00:00:00"/>
    <d v="2015-09-15T00:00:00"/>
    <d v="2015-12-15T00:00:00"/>
    <d v="2015-09-22T00:00:00"/>
    <d v="2015-09-15T00:00:00"/>
    <d v="2017-09-15T00:00:00"/>
    <d v="2018-09-15T00:00:00"/>
    <m/>
    <s v="oui"/>
    <n v="0"/>
    <n v="0"/>
    <n v="0"/>
    <s v="ok"/>
    <s v="16/12/15 Région _x000a_16/12/15 Commune_x000a_10/02/16 CIVIS_x000a_11/05/16 CG"/>
    <m/>
    <m/>
    <m/>
    <s v="Mail 16/12/15"/>
    <m/>
    <m/>
    <m/>
    <m/>
    <m/>
    <m/>
    <d v="2016-02-10T00:00:00"/>
    <m/>
    <m/>
    <m/>
    <m/>
    <m/>
    <s v="AUBERT"/>
    <d v="2016-12-21T00:00:00"/>
    <s v="MAIL 03/04/17"/>
    <n v="4558993.83"/>
    <d v="2017-06-21T00:00:00"/>
    <d v="2017-06-22T00:00:00"/>
    <d v="2017-06-21T00:00:00"/>
    <d v="2018-12-21T00:00:00"/>
    <n v="-3.8666666666666667"/>
    <d v="2013-09-26T00:00:00"/>
    <d v="2013-09-27T00:00:00"/>
    <d v="2013-10-07T00:00:00"/>
    <n v="10"/>
    <d v="2014-02-06T00:00:00"/>
    <d v="2013-12-17T00:00:00"/>
    <n v="-51"/>
    <d v="2014-03-10T00:00:00"/>
    <d v="2014-03-10T00:00:00"/>
    <n v="0"/>
    <d v="2014-07-15T00:00:00"/>
    <d v="2014-07-15T00:00:00"/>
    <n v="0"/>
    <d v="2014-09-10T00:00:00"/>
    <d v="2014-09-10T00:00:00"/>
    <n v="0"/>
    <m/>
    <d v="2015-02-20T00:00:00"/>
    <d v="2015-12-30T00:00:00"/>
    <d v="2017-02-06T00:00:00"/>
    <n v="404"/>
    <d v="2017-02-21T00:00:00"/>
    <x v="27"/>
    <x v="6"/>
    <n v="29.4"/>
    <n v="-15"/>
    <n v="16"/>
    <n v="18"/>
    <d v="2017-04-14T00:00:00"/>
    <d v="2017-04-14T00:00:00"/>
    <n v="0"/>
    <d v="2017-06-22T00:00:00"/>
    <d v="2017-06-21T00:00:00"/>
    <n v="-1"/>
    <d v="2018-02-13T00:00:00"/>
    <d v="2017-12-19T00:00:00"/>
    <n v="-56"/>
    <d v="2018-03-30T00:00:00"/>
    <d v="2018-03-30T00:00:00"/>
    <n v="0"/>
    <d v="2018-02-16T00:00:00"/>
    <d v="2018-04-19T00:00:00"/>
    <n v="62"/>
    <d v="2018-03-09T00:00:00"/>
    <d v="2018-11-20T00:00:00"/>
    <n v="256"/>
    <d v="2018-05-18T00:00:00"/>
    <d v="2018-11-20T00:00:00"/>
    <n v="186"/>
    <d v="2018-05-04T00:00:00"/>
    <d v="2018-05-04T00:00:00"/>
    <d v="2018-03-01T00:00:00"/>
    <d v="2018-06-06T00:00:00"/>
    <d v="2018-08-07T00:00:00"/>
    <n v="2.0666666666666669"/>
    <d v="2019-06-21T00:00:00"/>
    <m/>
    <d v="2016-11-28T00:00:00"/>
    <d v="2018-08-22T00:00:00"/>
    <s v="7 &amp; 08/08"/>
    <d v="2018-06-21T00:00:00"/>
    <x v="32"/>
    <x v="5"/>
    <n v="2.2333333333333334"/>
    <n v="12880.082339110333"/>
    <n v="28765.517224013078"/>
    <d v="2018-06-27T00:00:00"/>
    <n v="0"/>
    <n v="0"/>
    <n v="101278.04394999999"/>
    <m/>
    <n v="84397"/>
    <n v="1.7698085099779645E-2"/>
    <s v="FMA / FHO"/>
    <m/>
    <s v="avancement PERSM problématique_x000a_mur soutènement arrière_x000a_intempéries"/>
    <s v="problématique foncière non anticipée et propre à la vente en VEFA défisc_x000a_changements de RO_x000a_délai paiement entreprises"/>
    <m/>
    <s v="envoyé à GL 30/10/18"/>
    <m/>
    <m/>
    <m/>
    <m/>
    <d v="2019-08-07T00:00:00"/>
    <m/>
    <m/>
    <d v="2018-11-13T00:00:00"/>
    <m/>
    <m/>
    <m/>
    <m/>
    <m/>
    <m/>
    <m/>
    <m/>
    <m/>
    <m/>
    <m/>
    <m/>
    <m/>
    <n v="4943575.0199999996"/>
    <n v="4768708"/>
    <n v="4768708"/>
    <n v="-174867.01999999955"/>
    <n v="1872.6151067130038"/>
    <n v="158956.93333333332"/>
    <n v="4386257"/>
    <n v="3720168"/>
    <n v="0.7965032725845238"/>
    <n v="1393063.02"/>
    <n v="1462622"/>
    <m/>
    <n v="48754.066666666666"/>
    <n v="69558.979999999981"/>
    <n v="2950512"/>
    <n v="2706086"/>
    <n v="461009"/>
    <n v="2245077"/>
    <n v="-244426"/>
    <n v="90202.866666666669"/>
    <m/>
    <n v="600000"/>
    <n v="600000"/>
    <n v="0"/>
    <n v="0.12582024313503784"/>
    <m/>
    <n v="0"/>
    <n v="0"/>
    <n v="20000"/>
    <n v="68754.066666666666"/>
    <n v="0"/>
    <n v="6.29"/>
    <n v="6.16"/>
    <n v="0"/>
    <n v="0"/>
    <n v="66435.433999999994"/>
    <n v="0"/>
    <n v="68754.066666666666"/>
    <n v="0.43253266922613004"/>
    <n v="0"/>
    <m/>
    <n v="0"/>
    <n v="4943575.0199999996"/>
    <m/>
    <m/>
    <m/>
    <m/>
    <m/>
    <n v="231904"/>
    <n v="215671"/>
    <d v="2013-12-19T00:00:00"/>
    <n v="47620"/>
    <m/>
    <m/>
    <d v="2004-02-28T00:00:00"/>
    <n v="12520"/>
    <m/>
    <m/>
    <n v="41820"/>
    <n v="24983"/>
    <d v="2014-12-17T00:00:00"/>
    <n v="36513"/>
    <m/>
    <m/>
    <d v="2016-12-23T00:00:00"/>
    <m/>
    <d v="2016-12-23T00:00:00"/>
    <n v="28342"/>
    <d v="2017-06-21T00:00:00"/>
    <n v="11537"/>
    <d v="2017-08-24T00:00:00"/>
    <n v="11375"/>
    <d v="2018-03-01T00:00:00"/>
    <n v="12633"/>
    <d v="2018-04-19T00:00:00"/>
    <n v="11595"/>
    <d v="2018-04-26T00:00:00"/>
    <n v="11596"/>
    <d v="2018-07-09T00:00:00"/>
    <n v="6957"/>
    <m/>
    <m/>
    <m/>
    <m/>
  </r>
  <r>
    <s v="Manapany "/>
    <m/>
    <x v="7"/>
    <x v="1"/>
    <x v="4"/>
    <s v="PRLC 0111"/>
    <s v="FHO"/>
    <s v="VAF"/>
    <x v="3"/>
    <s v="oui"/>
    <m/>
    <s v="terrains achetés_x000a_PA obtenu"/>
    <s v="Commune / MOREL"/>
    <s v="AUBERT"/>
    <m/>
    <n v="7020"/>
    <n v="577000"/>
    <n v="173455"/>
    <n v="27476.190476190477"/>
    <n v="82.193732193732188"/>
    <n v="24.708689458689459"/>
    <n v="113.95918742773048"/>
    <n v="8259.7619047619046"/>
    <n v="334.28571428571428"/>
    <m/>
    <n v="29.914529914529915"/>
    <s v="NAUC"/>
    <n v="40"/>
    <m/>
    <x v="0"/>
    <x v="30"/>
    <n v="21"/>
    <m/>
    <n v="21"/>
    <m/>
    <m/>
    <m/>
    <n v="1508.31"/>
    <m/>
    <n v="1522.08"/>
    <n v="72.47999999999999"/>
    <n v="0"/>
    <n v="7"/>
    <n v="8"/>
    <n v="5"/>
    <n v="1"/>
    <m/>
    <m/>
    <n v="0"/>
    <n v="1"/>
    <s v="MDV"/>
    <s v="non"/>
    <m/>
    <m/>
    <m/>
    <d v="2013-06-13T00:00:00"/>
    <d v="2012-02-24T00:00:00"/>
    <s v="SO"/>
    <m/>
    <s v="SO"/>
    <d v="2014-07-28T00:00:00"/>
    <d v="2017-10-02T00:00:00"/>
    <s v="30/06/2014_x000a_08/04/16"/>
    <s v="16/10/2014_x000a_20/05/2016"/>
    <d v="2016-05-20T00:00:00"/>
    <d v="2016-06-06T00:00:00"/>
    <d v="2016-08-12T00:00:00"/>
    <d v="2016-11-12T00:00:00"/>
    <d v="2016-08-29T00:00:00"/>
    <d v="2016-08-12T00:00:00"/>
    <d v="2018-08-12T00:00:00"/>
    <d v="2019-08-12T00:00:00"/>
    <m/>
    <s v="oui"/>
    <n v="5"/>
    <n v="41874.957609744997"/>
    <n v="0"/>
    <d v="2016-08-18T00:00:00"/>
    <s v="Commune 16/11/16_x000a_Région 13/12/16_x000a_CASUD 29/06/2017_x000a_CDC 21/06/17"/>
    <m/>
    <m/>
    <m/>
    <m/>
    <m/>
    <m/>
    <m/>
    <m/>
    <m/>
    <m/>
    <d v="2017-06-29T00:00:00"/>
    <d v="2017-01-11T00:00:00"/>
    <m/>
    <m/>
    <m/>
    <m/>
    <s v="AUBERT"/>
    <s v="SO"/>
    <s v="SO"/>
    <s v="SO"/>
    <s v="SO"/>
    <s v="SO"/>
    <m/>
    <s v="SO"/>
    <m/>
    <d v="2011-09-12T00:00:00"/>
    <d v="2011-09-13T00:00:00"/>
    <d v="2011-09-15T00:00:00"/>
    <n v="2"/>
    <d v="2014-02-06T00:00:00"/>
    <d v="2014-02-06T00:00:00"/>
    <n v="0"/>
    <d v="2012-01-10T00:00:00"/>
    <d v="2012-02-13T00:00:00"/>
    <n v="34"/>
    <d v="2012-03-30T00:00:00"/>
    <d v="2014-04-24T00:00:00"/>
    <n v="755"/>
    <d v="2015-06-09T00:00:00"/>
    <d v="2014-04-24T00:00:00"/>
    <n v="-411"/>
    <m/>
    <d v="2015-08-28T00:00:00"/>
    <d v="2015-12-15T00:00:00"/>
    <d v="2017-07-12T00:00:00"/>
    <n v="575"/>
    <d v="2017-07-27T00:00:00"/>
    <x v="28"/>
    <x v="6"/>
    <n v="36.166666666666664"/>
    <n v="-10"/>
    <n v="15"/>
    <n v="16"/>
    <d v="2017-08-18T00:00:00"/>
    <d v="2017-10-30T00:00:00"/>
    <n v="73"/>
    <d v="2018-06-15T00:00:00"/>
    <d v="2018-07-03T00:00:00"/>
    <n v="18"/>
    <d v="2018-07-13T00:00:00"/>
    <d v="2018-07-19T00:00:00"/>
    <n v="6"/>
    <d v="2018-08-24T00:00:00"/>
    <d v="2018-09-15T00:00:00"/>
    <n v="22"/>
    <d v="2018-08-29T00:00:00"/>
    <d v="2018-11-20T00:00:00"/>
    <n v="83"/>
    <d v="2018-09-12T00:00:00"/>
    <d v="2018-11-20T00:00:00"/>
    <n v="69"/>
    <d v="2018-10-03T00:00:00"/>
    <d v="2018-11-20T00:00:00"/>
    <n v="48"/>
    <d v="2018-08-03T00:00:00"/>
    <d v="2018-08-03T00:00:00"/>
    <d v="2018-08-03T00:00:00"/>
    <d v="2018-10-17T00:00:00"/>
    <d v="2018-11-17T00:00:00"/>
    <n v="1.0333333333333334"/>
    <d v="1901-12-31T00:00:00"/>
    <m/>
    <d v="2018-09-24T00:00:00"/>
    <d v="2019-01-21T00:00:00"/>
    <m/>
    <d v="2018-11-17T00:00:00"/>
    <x v="33"/>
    <x v="6"/>
    <n v="3.4666666666666668"/>
    <n v="8374.9915219489994"/>
    <n v="29033.303942756531"/>
    <m/>
    <n v="368628"/>
    <n v="331830"/>
    <s v="80659_x000a_31 478 FRAFU"/>
    <n v="0"/>
    <n v="0"/>
    <n v="0"/>
    <s v="FHO"/>
    <s v="Lot carrelage "/>
    <s v="1 mois de retard sur VRD (rattrapable)_x000a_pb effectif Gros Œuvre_x000a_retards de paiement SODEGIS_x000a_pb avancement  plaquiste"/>
    <s v="montage technico financier complexe / reprise d'études MOE à la demande du Maire / recherche de solutions pour minimiser les fonds propres (négociation foncière avec un propriétaire foncier pour réalisation de lots à batir en dation)_x000a_nombreux retards de paiement de la DAF (JM Plomberie, gros oeuvre)"/>
    <m/>
    <m/>
    <m/>
    <m/>
    <m/>
    <m/>
    <d v="2019-11-17T00:00:00"/>
    <m/>
    <m/>
    <m/>
    <m/>
    <m/>
    <m/>
    <m/>
    <m/>
    <m/>
    <m/>
    <m/>
    <m/>
    <m/>
    <m/>
    <m/>
    <m/>
    <n v="3673992.59"/>
    <n v="3923630.97"/>
    <n v="3923630.97"/>
    <n v="249638.38000000035"/>
    <n v="2601.3425423155718"/>
    <n v="186839.57"/>
    <n v="2877228"/>
    <n v="2855004"/>
    <n v="0.74292386472828753"/>
    <n v="840305.59"/>
    <n v="1251614"/>
    <n v="1268847"/>
    <n v="59600.666666666664"/>
    <n v="411308.41000000003"/>
    <n v="1784577"/>
    <n v="1784577"/>
    <n v="599672"/>
    <n v="1184905"/>
    <n v="0"/>
    <n v="84979.857142857145"/>
    <m/>
    <n v="717280"/>
    <n v="442750"/>
    <n v="0"/>
    <n v="0.11284190674027633"/>
    <m/>
    <n v="112859.97"/>
    <n v="-161670.03"/>
    <n v="21083.333333333332"/>
    <n v="80684"/>
    <n v="-7698.5728571428572"/>
    <n v="5.15"/>
    <n v="5"/>
    <n v="1512119.8533942373"/>
    <n v="315000"/>
    <m/>
    <n v="292222.2"/>
    <n v="109599.34285714287"/>
    <n v="0.43767603091399521"/>
    <n v="177098.21865"/>
    <m/>
    <n v="331830"/>
    <n v="5435750.8233942371"/>
    <m/>
    <m/>
    <m/>
    <m/>
    <m/>
    <n v="193956"/>
    <n v="174560"/>
    <d v="2011-09-28T00:00:00"/>
    <n v="24368"/>
    <m/>
    <m/>
    <m/>
    <m/>
    <d v="2014-02-06T00:00:00"/>
    <n v="17298"/>
    <n v="40998"/>
    <n v="11733"/>
    <d v="2014-12-19T00:00:00"/>
    <n v="26183"/>
    <m/>
    <m/>
    <m/>
    <m/>
    <d v="2017-07-17T00:00:00"/>
    <n v="49639"/>
    <d v="2017-12-21T00:00:00"/>
    <n v="3735"/>
    <m/>
    <m/>
    <m/>
    <m/>
    <s v="partie"/>
    <n v="16717"/>
    <d v="2018-10-16T00:00:00"/>
    <n v="24887"/>
    <m/>
    <m/>
    <m/>
    <m/>
    <m/>
    <m/>
  </r>
  <r>
    <s v="Lacaussade 3"/>
    <s v="Excel OK"/>
    <x v="7"/>
    <x v="1"/>
    <x v="5"/>
    <s v="PRLC 0166"/>
    <s v="FBR"/>
    <s v="DAM"/>
    <x v="3"/>
    <m/>
    <m/>
    <m/>
    <s v="SODEGIS"/>
    <s v="LE GOFF"/>
    <m/>
    <n v="779"/>
    <n v="195000"/>
    <n v="195000"/>
    <n v="9750"/>
    <n v="250.32092426187421"/>
    <n v="250.32092426187421"/>
    <n v="150.05655978022486"/>
    <n v="9750"/>
    <n v="38.950000000000003"/>
    <m/>
    <n v="256.73940949935815"/>
    <s v="UA"/>
    <n v="35"/>
    <n v="0"/>
    <x v="0"/>
    <x v="3"/>
    <n v="20"/>
    <m/>
    <n v="20"/>
    <m/>
    <m/>
    <m/>
    <n v="1304.1600000000001"/>
    <m/>
    <n v="1299.51"/>
    <n v="64.975499999999997"/>
    <n v="0.2"/>
    <n v="0.4"/>
    <n v="0.2"/>
    <n v="0.2"/>
    <n v="0"/>
    <m/>
    <n v="0"/>
    <n v="0"/>
    <n v="4"/>
    <s v="collectif"/>
    <s v="non"/>
    <m/>
    <m/>
    <m/>
    <d v="2014-10-09T00:00:00"/>
    <m/>
    <s v="OFOI"/>
    <s v="LOGIS 8"/>
    <m/>
    <d v="2015-09-02T00:00:00"/>
    <m/>
    <d v="2016-07-28T00:00:00"/>
    <d v="2016-08-24T00:00:00"/>
    <d v="2016-08-24T00:00:00"/>
    <d v="2016-08-24T00:00:00"/>
    <d v="2016-09-07T00:00:00"/>
    <d v="2016-12-07T00:00:00"/>
    <d v="2016-10-03T00:00:00"/>
    <d v="2016-09-07T00:00:00"/>
    <d v="2018-09-07T00:00:00"/>
    <d v="2019-09-07T00:00:00"/>
    <m/>
    <s v="non"/>
    <n v="12"/>
    <n v="87228"/>
    <n v="0"/>
    <s v="14/09/2016_x000a_retour 28/09 pour signature"/>
    <s v="Commune 21/12/16_x000a_CG 12/01/17_x000a_Région 19/06/17_x000a_CASUD 29/06/17"/>
    <m/>
    <m/>
    <m/>
    <d v="2016-12-21T00:00:00"/>
    <m/>
    <m/>
    <m/>
    <m/>
    <m/>
    <m/>
    <d v="2017-06-29T00:00:00"/>
    <d v="2017-06-26T00:00:00"/>
    <m/>
    <m/>
    <m/>
    <m/>
    <s v="LE GOFF"/>
    <d v="2016-12-15T00:00:00"/>
    <s v="MAIL 04/04/2017"/>
    <n v="2638167.36"/>
    <d v="2018-06-15T00:00:00"/>
    <d v="2018-12-15T00:00:00"/>
    <d v="2017-08-25T00:00:00"/>
    <d v="2018-11-15T00:00:00"/>
    <n v="-2.7666666666666666"/>
    <d v="2014-07-08T00:00:00"/>
    <d v="2014-07-09T00:00:00"/>
    <d v="2014-08-11T00:00:00"/>
    <n v="33"/>
    <d v="2015-02-13T00:00:00"/>
    <d v="2015-02-05T00:00:00"/>
    <n v="-8"/>
    <d v="2015-01-23T00:00:00"/>
    <d v="2015-01-23T00:00:00"/>
    <n v="0"/>
    <d v="2015-04-27T00:00:00"/>
    <d v="2015-06-29T00:00:00"/>
    <n v="63"/>
    <d v="2015-08-28T00:00:00"/>
    <d v="2015-09-07T00:00:00"/>
    <n v="10"/>
    <m/>
    <d v="2016-06-07T00:00:00"/>
    <d v="2017-03-16T00:00:00"/>
    <d v="2017-02-15T00:00:00"/>
    <n v="-29"/>
    <d v="2017-03-02T00:00:00"/>
    <x v="29"/>
    <x v="6"/>
    <n v="17.899999999999999"/>
    <n v="-10"/>
    <n v="14"/>
    <n v="17"/>
    <d v="2017-05-05T00:00:00"/>
    <d v="2017-06-07T00:00:00"/>
    <n v="33"/>
    <d v="2017-06-13T00:00:00"/>
    <d v="2017-08-31T00:00:00"/>
    <n v="79"/>
    <d v="2017-08-31T00:00:00"/>
    <d v="2017-11-15T00:00:00"/>
    <n v="76"/>
    <d v="2017-11-15T00:00:00"/>
    <d v="2018-03-22T00:00:00"/>
    <n v="127"/>
    <d v="2017-11-08T00:00:00"/>
    <d v="2018-11-20T00:00:00"/>
    <n v="377"/>
    <d v="2018-03-08T00:00:00"/>
    <d v="2018-11-20T00:00:00"/>
    <n v="257"/>
    <d v="2018-04-10T00:00:00"/>
    <d v="2018-11-20T00:00:00"/>
    <n v="224"/>
    <m/>
    <m/>
    <m/>
    <d v="2018-04-20T00:00:00"/>
    <d v="2018-08-14T00:00:00"/>
    <n v="3.8666666666666667"/>
    <d v="2019-08-25T00:00:00"/>
    <m/>
    <d v="2017-05-24T00:00:00"/>
    <d v="2018-08-15T00:00:00"/>
    <d v="2018-08-16T00:00:00"/>
    <d v="2018-05-05T00:00:00"/>
    <x v="34"/>
    <x v="5"/>
    <n v="3.7"/>
    <n v="7269"/>
    <n v="26895.300000000003"/>
    <d v="2018-07-26T00:00:00"/>
    <n v="0"/>
    <n v="33867"/>
    <n v="11509.23"/>
    <n v="0"/>
    <n v="31941.984999999997"/>
    <n v="1.1498633497174476E-2"/>
    <s v="JMO / NBL / FBR"/>
    <s v="Lot plomberie _x000a_Lot peinture, étanchéité"/>
    <s v="difficultés de terrassement dû à la nature du sol rencontré (courrier LASETRA) /retard galvanisation charpente+ 45 jours"/>
    <m/>
    <m/>
    <m/>
    <m/>
    <m/>
    <m/>
    <m/>
    <d v="2019-08-14T00:00:00"/>
    <m/>
    <m/>
    <d v="2018-11-15T00:00:00"/>
    <m/>
    <m/>
    <m/>
    <m/>
    <m/>
    <m/>
    <m/>
    <m/>
    <m/>
    <m/>
    <m/>
    <m/>
    <m/>
    <n v="2786207.2295052204"/>
    <n v="2777894"/>
    <n v="2777894"/>
    <n v="-8313.2295052204281"/>
    <n v="2130.0254569991412"/>
    <n v="138894.70000000001"/>
    <n v="2475597.5350000001"/>
    <n v="2036370.9416817785"/>
    <n v="0.74845718787581372"/>
    <n v="819282.73457759398"/>
    <n v="803098"/>
    <m/>
    <n v="40154.9"/>
    <n v="-16184.734577593976"/>
    <n v="1502929.4949276266"/>
    <n v="1544668"/>
    <n v="339371"/>
    <n v="1205297"/>
    <n v="41738.505072373431"/>
    <n v="77233.399999999994"/>
    <m/>
    <n v="400000"/>
    <n v="400000"/>
    <m/>
    <n v="0.14399397529207378"/>
    <m/>
    <n v="30128"/>
    <n v="30128"/>
    <n v="20000"/>
    <n v="60154.9"/>
    <n v="1506.4"/>
    <n v="5.59"/>
    <n v="5.49"/>
    <n v="0"/>
    <n v="0"/>
    <n v="60964.13672887969"/>
    <n v="0"/>
    <n v="60154.9"/>
    <n v="0.43309715921485847"/>
    <n v="0"/>
    <m/>
    <n v="33867"/>
    <n v="2786207.2295052204"/>
    <m/>
    <m/>
    <m/>
    <m/>
    <m/>
    <n v="131447"/>
    <n v="124874"/>
    <d v="2014-10-24T00:00:00"/>
    <n v="13352"/>
    <m/>
    <m/>
    <m/>
    <n v="6171"/>
    <d v="2015-03-03T00:00:00"/>
    <n v="12860"/>
    <d v="2015-04-27T00:00:00"/>
    <n v="13828"/>
    <m/>
    <n v="19512"/>
    <m/>
    <m/>
    <d v="2016-12-13T00:00:00"/>
    <m/>
    <d v="2016-12-13T00:00:00"/>
    <n v="19717"/>
    <d v="2017-08-17T00:00:00"/>
    <n v="6573"/>
    <m/>
    <m/>
    <d v="2017-12-14T00:00:00"/>
    <n v="13144"/>
    <m/>
    <m/>
    <m/>
    <m/>
    <m/>
    <m/>
    <d v="2018-08-21T00:00:00"/>
    <n v="19717"/>
    <m/>
    <m/>
  </r>
  <r>
    <s v="Anne Caze (Plaine St Paul)"/>
    <m/>
    <x v="8"/>
    <x v="2"/>
    <x v="5"/>
    <s v="PRLC 0167"/>
    <s v="FBR"/>
    <s v="DBE"/>
    <x v="2"/>
    <m/>
    <m/>
    <s v="acte signé"/>
    <s v="EPFR / RUET"/>
    <s v="BARET/GILLOT"/>
    <m/>
    <n v="1767"/>
    <n v="210000"/>
    <n v="210000"/>
    <n v="11666.666666666666"/>
    <n v="118.84550084889644"/>
    <n v="118.84550084889644"/>
    <n v="122.68720021966851"/>
    <n v="11666.666666666666"/>
    <n v="98.166666666666671"/>
    <m/>
    <n v="101.86757215619694"/>
    <s v="UB4"/>
    <n v="200"/>
    <m/>
    <x v="0"/>
    <x v="25"/>
    <n v="18"/>
    <m/>
    <n v="18"/>
    <m/>
    <m/>
    <m/>
    <n v="1709.55"/>
    <m/>
    <n v="1711.67"/>
    <n v="95.092777777777783"/>
    <n v="0"/>
    <n v="0"/>
    <n v="0.55555555555555558"/>
    <n v="0.22222222222222221"/>
    <n v="0.22222222222222221"/>
    <m/>
    <n v="0"/>
    <n v="0"/>
    <n v="3"/>
    <s v="collectif"/>
    <s v="oui"/>
    <m/>
    <m/>
    <m/>
    <d v="2014-10-08T00:00:00"/>
    <m/>
    <s v="OFOI"/>
    <s v="LOGIS 9"/>
    <m/>
    <d v="2015-11-12T00:00:00"/>
    <m/>
    <d v="2016-07-22T00:00:00"/>
    <d v="2016-08-25T00:00:00"/>
    <d v="2016-08-25T00:00:00"/>
    <d v="2016-08-26T00:00:00"/>
    <d v="2016-09-07T00:00:00"/>
    <d v="2016-12-07T00:00:00"/>
    <d v="2016-10-05T00:00:00"/>
    <d v="2016-09-07T00:00:00"/>
    <d v="2018-09-07T00:00:00"/>
    <d v="2019-09-07T00:00:00"/>
    <m/>
    <s v="oui"/>
    <n v="11"/>
    <n v="97262"/>
    <n v="0"/>
    <d v="2016-09-14T00:00:00"/>
    <d v="2016-12-21T00:00:00"/>
    <m/>
    <m/>
    <m/>
    <m/>
    <m/>
    <m/>
    <m/>
    <m/>
    <m/>
    <m/>
    <d v="2016-12-21T00:00:00"/>
    <m/>
    <m/>
    <m/>
    <m/>
    <m/>
    <s v="BARET/GILLOT"/>
    <d v="2016-12-15T00:00:00"/>
    <s v="MAIL 03/04/17"/>
    <n v="3231709.2458374146"/>
    <d v="2018-06-15T00:00:00"/>
    <d v="2018-12-15T00:00:00"/>
    <d v="2017-09-12T00:00:00"/>
    <d v="2018-12-15T00:00:00"/>
    <n v="-2.6333333333333333"/>
    <d v="2014-06-23T00:00:00"/>
    <d v="2014-06-24T00:00:00"/>
    <d v="2014-06-23T00:00:00"/>
    <n v="-1"/>
    <d v="2015-01-23T00:00:00"/>
    <d v="2014-12-23T00:00:00"/>
    <n v="-31"/>
    <d v="2015-01-22T00:00:00"/>
    <d v="2015-02-03T00:00:00"/>
    <n v="12"/>
    <d v="2015-03-15T00:00:00"/>
    <d v="2015-05-04T00:00:00"/>
    <n v="50"/>
    <d v="2015-07-01T00:00:00"/>
    <d v="2015-09-07T00:00:00"/>
    <n v="68"/>
    <m/>
    <d v="2016-04-12T00:00:00"/>
    <d v="2016-11-21T00:00:00"/>
    <d v="2017-02-03T00:00:00"/>
    <n v="74"/>
    <d v="2017-02-17T00:00:00"/>
    <x v="27"/>
    <x v="6"/>
    <n v="15.066666666666666"/>
    <n v="-11"/>
    <n v="16"/>
    <n v="18"/>
    <d v="2017-03-06T00:00:00"/>
    <d v="2017-05-12T00:00:00"/>
    <n v="67"/>
    <d v="2017-06-13T00:00:00"/>
    <d v="2017-07-07T00:00:00"/>
    <n v="24"/>
    <d v="2017-11-29T00:00:00"/>
    <d v="2017-11-25T00:00:00"/>
    <n v="-4"/>
    <d v="2017-12-13T00:00:00"/>
    <d v="2018-11-20T00:00:00"/>
    <n v="342"/>
    <d v="2018-02-05T00:00:00"/>
    <d v="2018-11-20T00:00:00"/>
    <n v="288"/>
    <d v="2018-04-26T00:00:00"/>
    <d v="2018-11-20T00:00:00"/>
    <n v="208"/>
    <d v="2018-05-24T00:00:00"/>
    <d v="2018-11-20T00:00:00"/>
    <n v="180"/>
    <m/>
    <m/>
    <m/>
    <d v="2018-06-06T00:00:00"/>
    <d v="2018-09-03T00:00:00"/>
    <n v="2.9666666666666668"/>
    <d v="2019-09-12T00:00:00"/>
    <d v="2018-09-17T00:00:00"/>
    <d v="2017-05-24T00:00:00"/>
    <d v="2018-08-22T00:00:00"/>
    <d v="2018-08-28T00:00:00"/>
    <d v="2018-06-21T00:00:00"/>
    <x v="35"/>
    <x v="5"/>
    <n v="3.2666666666666666"/>
    <n v="8842"/>
    <n v="28883.866666666665"/>
    <d v="2018-08-16T00:00:00"/>
    <n v="0"/>
    <n v="0"/>
    <n v="177717.03653999997"/>
    <n v="70491"/>
    <n v="8425.6391399999993"/>
    <n v="2.4681831068391752E-3"/>
    <s v="JMO / NBL / FBR"/>
    <m/>
    <s v="SMOI : 1 mois retard _x000a_mur voisin : 1,5 mois retard"/>
    <s v="INFO / arrêt de chantier du 20/02/17 au 17/04/2017 suite pb d'avoisinant (bornage et mur)/retard galvanisation charpente"/>
    <m/>
    <m/>
    <m/>
    <m/>
    <m/>
    <m/>
    <d v="2019-09-03T00:00:00"/>
    <m/>
    <m/>
    <d v="2018-11-13T00:00:00"/>
    <m/>
    <m/>
    <m/>
    <m/>
    <m/>
    <m/>
    <m/>
    <s v="ok"/>
    <m/>
    <m/>
    <m/>
    <m/>
    <m/>
    <n v="3472055.7637468651"/>
    <n v="3413701"/>
    <n v="3413701"/>
    <n v="-58354.763746865094"/>
    <n v="1996.8418589687344"/>
    <n v="189650.05555555556"/>
    <n v="3100225"/>
    <n v="2697771.947337376"/>
    <n v="0.80687358331367054"/>
    <n v="1068687.828"/>
    <n v="982780"/>
    <m/>
    <n v="54598.888888888891"/>
    <n v="-85907.82799999998"/>
    <n v="1997187.9357468651"/>
    <n v="2024741"/>
    <n v="334225"/>
    <n v="1690516"/>
    <n v="27553.064253134886"/>
    <n v="112485.61111111111"/>
    <m/>
    <n v="360000"/>
    <n v="360000"/>
    <m/>
    <n v="0.10545739067364131"/>
    <m/>
    <n v="46180"/>
    <n v="0"/>
    <n v="20000"/>
    <n v="74598.888888888891"/>
    <n v="0"/>
    <n v="5.0199999999999996"/>
    <n v="4.8499999999999996"/>
    <n v="0"/>
    <n v="0"/>
    <n v="79371.546000000002"/>
    <n v="0"/>
    <n v="74598.888888888891"/>
    <n v="0.39335020846875574"/>
    <n v="0"/>
    <m/>
    <n v="0"/>
    <n v="3413701"/>
    <m/>
    <m/>
    <m/>
    <m/>
    <m/>
    <n v="167759"/>
    <n v="156016"/>
    <d v="2014-10-29T00:00:00"/>
    <n v="19485"/>
    <m/>
    <m/>
    <d v="2014-12-19T00:00:00"/>
    <m/>
    <d v="2014-12-19T00:00:00"/>
    <n v="29228"/>
    <d v="2015-03-23T00:00:00"/>
    <n v="10005"/>
    <n v="42202"/>
    <n v="25161"/>
    <m/>
    <m/>
    <d v="2016-12-15T00:00:00"/>
    <m/>
    <d v="2016-12-15T00:00:00"/>
    <n v="25164"/>
    <d v="2017-08-16T00:00:00"/>
    <n v="8388"/>
    <m/>
    <m/>
    <d v="2017-12-13T00:00:00"/>
    <n v="16776"/>
    <m/>
    <m/>
    <m/>
    <m/>
    <d v="2018-08-21T00:00:00"/>
    <n v="21809"/>
    <m/>
    <m/>
    <m/>
    <m/>
  </r>
  <r>
    <s v="Christiane - Amata (HE 168)"/>
    <m/>
    <x v="10"/>
    <x v="0"/>
    <x v="5"/>
    <s v="PRLC 0129"/>
    <s v="APU"/>
    <m/>
    <x v="3"/>
    <m/>
    <m/>
    <s v="servitude PERRAU à mettre en place_x000a_rétrocession zone N à faire"/>
    <s v="EPFR"/>
    <m/>
    <m/>
    <n v="10371.413793103447"/>
    <n v="468089.65517241386"/>
    <n v="468089.65517241386"/>
    <n v="10175.862068965518"/>
    <n v="45.13267569014301"/>
    <n v="45.13267569014301"/>
    <n v="116.08445142558473"/>
    <n v="10175.862068965518"/>
    <n v="225.4655172413793"/>
    <m/>
    <n v="44.352680278351308"/>
    <s v="UC 2"/>
    <n v="280"/>
    <n v="0.25"/>
    <x v="1"/>
    <x v="31"/>
    <n v="46"/>
    <n v="46"/>
    <m/>
    <m/>
    <m/>
    <m/>
    <n v="4286.38"/>
    <m/>
    <n v="4032.32"/>
    <n v="87.659130434782611"/>
    <m/>
    <m/>
    <n v="0.78260869565217395"/>
    <n v="0.21739130434782608"/>
    <m/>
    <m/>
    <m/>
    <m/>
    <n v="2"/>
    <s v="collectif"/>
    <s v="oui"/>
    <m/>
    <m/>
    <m/>
    <d v="2014-10-09T00:00:00"/>
    <m/>
    <s v="INGEPAR"/>
    <s v="LS 119"/>
    <m/>
    <d v="2015-10-27T00:00:00"/>
    <d v="2015-11-27T00:00:00"/>
    <d v="2016-08-18T00:00:00"/>
    <d v="2016-08-31T00:00:00"/>
    <d v="2016-09-01T00:00:00"/>
    <d v="2016-09-01T00:00:00"/>
    <d v="2016-09-07T00:00:00"/>
    <d v="2016-12-07T00:00:00"/>
    <d v="2016-10-17T00:00:00"/>
    <d v="2016-09-07T00:00:00"/>
    <d v="2018-09-07T00:00:00"/>
    <d v="2019-09-07T00:00:00"/>
    <m/>
    <s v="non"/>
    <n v="8"/>
    <n v="206815.77622200004"/>
    <n v="0"/>
    <d v="2016-09-14T00:00:00"/>
    <s v="CG 12/01/17_x000a_Commune 18/01/17_x000a_CIVIS 18/01/17_x000a_Région 19/06/17"/>
    <m/>
    <m/>
    <m/>
    <d v="2017-01-18T00:00:00"/>
    <m/>
    <m/>
    <m/>
    <m/>
    <m/>
    <m/>
    <d v="2017-01-18T00:00:00"/>
    <d v="2017-06-26T00:00:00"/>
    <m/>
    <m/>
    <m/>
    <m/>
    <m/>
    <d v="2016-12-21T00:00:00"/>
    <s v="MAIL 03/04/17"/>
    <n v="9447490.1300000008"/>
    <d v="2018-06-21T00:00:00"/>
    <d v="2018-12-21T00:00:00"/>
    <d v="2018-02-28T00:00:00"/>
    <d v="2018-10-16T00:00:00"/>
    <n v="2.1"/>
    <d v="2012-08-09T00:00:00"/>
    <d v="2012-08-10T00:00:00"/>
    <d v="2014-09-17T00:00:00"/>
    <n v="768"/>
    <d v="2015-02-06T00:00:00"/>
    <d v="2015-02-05T00:00:00"/>
    <n v="-1"/>
    <d v="2015-03-12T00:00:00"/>
    <d v="2015-04-07T00:00:00"/>
    <n v="26"/>
    <d v="2015-07-16T00:00:00"/>
    <d v="2015-08-10T00:00:00"/>
    <n v="25"/>
    <d v="2015-10-19T00:00:00"/>
    <d v="2015-12-01T00:00:00"/>
    <n v="43"/>
    <m/>
    <d v="2016-05-24T00:00:00"/>
    <d v="2017-01-27T00:00:00"/>
    <d v="2017-02-07T00:00:00"/>
    <n v="11"/>
    <d v="2017-02-16T00:00:00"/>
    <x v="30"/>
    <x v="6"/>
    <n v="15.933333333333334"/>
    <n v="0"/>
    <n v="18"/>
    <n v="21"/>
    <d v="2017-06-23T00:00:00"/>
    <d v="2017-06-23T00:00:00"/>
    <n v="0"/>
    <d v="2017-07-26T00:00:00"/>
    <d v="2018-03-01T00:00:00"/>
    <n v="218"/>
    <d v="2017-11-07T00:00:00"/>
    <d v="2018-06-08T00:00:00"/>
    <n v="213"/>
    <d v="2018-02-02T00:00:00"/>
    <d v="2018-06-27T00:00:00"/>
    <n v="145"/>
    <d v="2018-03-23T00:00:00"/>
    <d v="2018-11-20T00:00:00"/>
    <n v="242"/>
    <d v="2018-04-24T00:00:00"/>
    <d v="2018-11-20T00:00:00"/>
    <n v="210"/>
    <d v="2018-09-03T00:00:00"/>
    <d v="2018-11-20T00:00:00"/>
    <n v="78"/>
    <m/>
    <m/>
    <m/>
    <d v="2018-08-16T00:00:00"/>
    <d v="2018-11-29T00:00:00"/>
    <n v="3.5"/>
    <d v="2020-02-28T00:00:00"/>
    <m/>
    <d v="2017-06-01T00:00:00"/>
    <d v="2018-11-29T00:00:00"/>
    <s v="04/12 ou 10/12/2018"/>
    <d v="2018-08-31T00:00:00"/>
    <x v="36"/>
    <x v="7"/>
    <n v="3.6333333333333333"/>
    <n v="25851.972027750006"/>
    <n v="93928.831700825016"/>
    <m/>
    <n v="0"/>
    <n v="0"/>
    <n v="491714.43721999996"/>
    <m/>
    <n v="77194.093559999994"/>
    <n v="9.1382171797185652E-3"/>
    <s v="SFE / APU"/>
    <s v="Lot cloisons_x000a_Lot carrelage_x000a_Lot peinture / sols souples"/>
    <s v="intempéries = 23 j_x000a_réception EDF_x000a_"/>
    <s v="aléa mouvement de terrain grevant la parcelle après maîtrise foncière, à lever auprès du BRGM _x000a_sécurisation du site proximité école_x000a_"/>
    <m/>
    <m/>
    <m/>
    <m/>
    <m/>
    <m/>
    <d v="2019-11-29T00:00:00"/>
    <m/>
    <m/>
    <m/>
    <m/>
    <m/>
    <m/>
    <m/>
    <m/>
    <m/>
    <m/>
    <m/>
    <m/>
    <m/>
    <m/>
    <m/>
    <m/>
    <n v="8943716.4772763215"/>
    <n v="8447391"/>
    <n v="8447391"/>
    <n v="-496325.4772763215"/>
    <n v="1970.7517765573748"/>
    <n v="183638.9347826087"/>
    <n v="7838932.0183052132"/>
    <m/>
    <n v="0"/>
    <n v="2934715.4772763224"/>
    <n v="2642685"/>
    <m/>
    <n v="57449.67391304348"/>
    <m/>
    <n v="5440169"/>
    <n v="5285874"/>
    <n v="1258166"/>
    <n v="4027708"/>
    <n v="-154295"/>
    <n v="114910.30434782608"/>
    <m/>
    <n v="456000"/>
    <n v="406000"/>
    <m/>
    <n v="4.8062176830692457E-2"/>
    <m/>
    <n v="112832"/>
    <n v="-50000"/>
    <n v="8826.0869565217399"/>
    <n v="66275.760869565216"/>
    <n v="-1086.9565217391305"/>
    <n v="6.38"/>
    <n v="5.74"/>
    <m/>
    <m/>
    <n v="73711.206027746142"/>
    <m/>
    <n v="66275.760869565216"/>
    <n v="0.3609025555937922"/>
    <m/>
    <m/>
    <n v="0"/>
    <n v="8447391"/>
    <m/>
    <m/>
    <m/>
    <m/>
    <m/>
    <n v="475807"/>
    <n v="398488"/>
    <d v="2012-07-12T00:00:00"/>
    <n v="41000"/>
    <m/>
    <m/>
    <m/>
    <m/>
    <m/>
    <n v="81523"/>
    <m/>
    <n v="46614"/>
    <n v="42039"/>
    <n v="72488"/>
    <m/>
    <m/>
    <d v="2016-12-12T00:00:00"/>
    <n v="18438"/>
    <d v="2017-02-28T00:00:00"/>
    <n v="47284"/>
    <s v="11/12/2017_x000a_01/03/18"/>
    <n v="23642"/>
    <d v="2018-07-09T00:00:00"/>
    <n v="67499"/>
    <m/>
    <m/>
    <n v="0.75"/>
    <m/>
    <m/>
    <m/>
    <n v="81523"/>
    <m/>
    <m/>
    <m/>
    <m/>
    <m/>
  </r>
  <r>
    <s v="Christiane - Amata (HE 168) LLTS"/>
    <m/>
    <x v="10"/>
    <x v="0"/>
    <x v="5"/>
    <s v="PRLC 0129"/>
    <s v="APU"/>
    <s v="VAF"/>
    <x v="3"/>
    <m/>
    <m/>
    <s v="servitude PERRAU à mettre en place_x000a_rétrocession zone N à faire"/>
    <s v="EPFR"/>
    <s v="AUBERT"/>
    <m/>
    <n v="2705.5862068965516"/>
    <n v="122110.34482758622"/>
    <n v="122110.34482758622"/>
    <n v="10175.862068965518"/>
    <n v="45.132675690143003"/>
    <n v="45.132675690143003"/>
    <n v="180.24731324002335"/>
    <n v="10175.862068965518"/>
    <n v="225.4655172413793"/>
    <m/>
    <n v="44.352680278351308"/>
    <s v="UC 2"/>
    <n v="280"/>
    <n v="0.25"/>
    <x v="0"/>
    <x v="32"/>
    <n v="12"/>
    <m/>
    <n v="12"/>
    <m/>
    <m/>
    <m/>
    <n v="1301.51"/>
    <m/>
    <n v="677.46"/>
    <n v="56.455000000000005"/>
    <m/>
    <n v="1"/>
    <m/>
    <m/>
    <m/>
    <m/>
    <m/>
    <m/>
    <n v="2"/>
    <s v="collectif"/>
    <s v="oui"/>
    <m/>
    <m/>
    <m/>
    <d v="2014-10-09T00:00:00"/>
    <m/>
    <s v="INGEPAR"/>
    <s v="LS 119"/>
    <m/>
    <d v="2015-10-29T00:00:00"/>
    <d v="2015-11-27T00:00:00"/>
    <d v="2016-08-18T00:00:00"/>
    <d v="2016-08-31T00:00:00"/>
    <d v="2016-09-01T00:00:00"/>
    <d v="2016-09-01T00:00:00"/>
    <d v="2016-09-09T00:00:00"/>
    <d v="2016-12-09T00:00:00"/>
    <d v="2016-10-17T00:00:00"/>
    <d v="2016-09-09T00:00:00"/>
    <d v="2018-09-09T00:00:00"/>
    <d v="2019-09-09T00:00:00"/>
    <m/>
    <s v="non"/>
    <n v="8"/>
    <n v="31784"/>
    <n v="0"/>
    <d v="2016-09-14T00:00:00"/>
    <s v="CG 12/01/17_x000a_Commune 18/01/17_x000a_CIVIS 18/01/17_x000a_Région 22/06/17"/>
    <m/>
    <m/>
    <m/>
    <d v="2017-01-18T00:00:00"/>
    <m/>
    <m/>
    <m/>
    <m/>
    <m/>
    <m/>
    <d v="2017-01-18T00:00:00"/>
    <d v="2017-06-26T00:00:00"/>
    <m/>
    <m/>
    <m/>
    <m/>
    <s v="AUBERT"/>
    <d v="2016-12-21T00:00:00"/>
    <s v="MAIL 03/04/17"/>
    <n v="9447490.1300000008"/>
    <d v="2018-06-21T00:00:00"/>
    <d v="2018-12-21T00:00:00"/>
    <m/>
    <d v="2018-10-16T00:00:00"/>
    <n v="2.1"/>
    <m/>
    <m/>
    <m/>
    <s v="0"/>
    <m/>
    <m/>
    <s v="0"/>
    <m/>
    <m/>
    <s v="0"/>
    <m/>
    <m/>
    <s v="0"/>
    <m/>
    <m/>
    <s v="0"/>
    <m/>
    <m/>
    <m/>
    <m/>
    <s v="0"/>
    <m/>
    <x v="30"/>
    <x v="6"/>
    <n v="15.866666666666667"/>
    <s v="0"/>
    <n v="18"/>
    <n v="21"/>
    <m/>
    <m/>
    <s v="0"/>
    <m/>
    <m/>
    <s v="0"/>
    <m/>
    <m/>
    <s v="0"/>
    <m/>
    <m/>
    <s v="0"/>
    <m/>
    <m/>
    <s v="0"/>
    <m/>
    <m/>
    <s v="0"/>
    <m/>
    <m/>
    <s v="0"/>
    <m/>
    <m/>
    <m/>
    <d v="2018-08-16T00:00:00"/>
    <d v="2018-11-29T00:00:00"/>
    <n v="3.5"/>
    <d v="1901-12-31T00:00:00"/>
    <m/>
    <d v="2017-06-01T00:00:00"/>
    <d v="2018-11-29T00:00:00"/>
    <m/>
    <d v="2018-08-31T00:00:00"/>
    <x v="36"/>
    <x v="6"/>
    <n v="3.6333333333333333"/>
    <n v="3973"/>
    <n v="14435.233333333334"/>
    <m/>
    <n v="0"/>
    <n v="0"/>
    <s v="-"/>
    <m/>
    <m/>
    <n v="0"/>
    <m/>
    <m/>
    <m/>
    <m/>
    <m/>
    <m/>
    <m/>
    <m/>
    <m/>
    <m/>
    <d v="2019-11-29T00:00:00"/>
    <m/>
    <m/>
    <m/>
    <m/>
    <m/>
    <m/>
    <m/>
    <m/>
    <m/>
    <m/>
    <m/>
    <m/>
    <m/>
    <m/>
    <m/>
    <m/>
    <n v="1416864.7499111779"/>
    <n v="1499983.8900000001"/>
    <n v="1499983.8900000001"/>
    <n v="83119.140088822227"/>
    <n v="1152.4950941598606"/>
    <n v="124998.65750000002"/>
    <n v="1249637.106694787"/>
    <m/>
    <n v="0"/>
    <n v="410870.74991117785"/>
    <n v="443491.89"/>
    <m/>
    <n v="36957.657500000001"/>
    <n v="32621.140088822169"/>
    <n v="789994"/>
    <n v="771556"/>
    <n v="172922"/>
    <n v="598634"/>
    <n v="-18438"/>
    <n v="64296.333333333336"/>
    <m/>
    <n v="216000"/>
    <n v="266000"/>
    <m/>
    <n v="0.17733523791378852"/>
    <m/>
    <n v="18936"/>
    <n v="50000"/>
    <n v="22166.666666666668"/>
    <n v="59124.324166666665"/>
    <n v="4166.666666666667"/>
    <n v="5.85"/>
    <n v="5.84"/>
    <n v="0"/>
    <n v="0"/>
    <n v="52239.229159264825"/>
    <n v="0"/>
    <n v="59124.324166666665"/>
    <n v="0.47299967334982507"/>
    <n v="0"/>
    <m/>
    <n v="0"/>
    <n v="1499983.890000000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RPA mixte St Philippe"/>
    <m/>
    <x v="5"/>
    <x v="1"/>
    <x v="5"/>
    <s v="PRLC 0174"/>
    <s v="FHO"/>
    <s v="MMA"/>
    <x v="3"/>
    <m/>
    <m/>
    <s v="acte signé 30/11/15_x000a_voie à détacher : en cours_x000a_"/>
    <s v="EPFR"/>
    <s v="MOUTIEN"/>
    <m/>
    <n v="3547"/>
    <n v="319230"/>
    <n v="132491.5"/>
    <n v="16801.57894736842"/>
    <n v="90"/>
    <n v="37.353115308711587"/>
    <n v="110.26440187087003"/>
    <n v="6973.2368421052633"/>
    <n v="186.68421052631578"/>
    <m/>
    <n v="53.566394135889482"/>
    <s v="UA"/>
    <m/>
    <m/>
    <x v="0"/>
    <x v="33"/>
    <n v="19"/>
    <m/>
    <n v="19"/>
    <m/>
    <m/>
    <m/>
    <n v="1200.06"/>
    <m/>
    <n v="1201.58"/>
    <n v="63.241052631578945"/>
    <n v="0"/>
    <n v="0.68421052631578949"/>
    <n v="0.26315789473684209"/>
    <n v="0.10526315789473684"/>
    <n v="0"/>
    <m/>
    <s v="x"/>
    <m/>
    <n v="2"/>
    <s v="collectif"/>
    <s v="non"/>
    <m/>
    <m/>
    <m/>
    <d v="2015-01-27T00:00:00"/>
    <m/>
    <s v="OFOI"/>
    <s v="LOGIS 8"/>
    <m/>
    <d v="2015-09-01T00:00:00"/>
    <m/>
    <d v="2016-06-15T00:00:00"/>
    <d v="2016-06-17T00:00:00"/>
    <d v="2016-06-20T00:00:00"/>
    <d v="2016-06-27T00:00:00"/>
    <d v="2016-07-08T00:00:00"/>
    <s v="06/10/2016_x000a_renvoyé le 04/10/16 à CDC"/>
    <d v="2015-08-19T00:00:00"/>
    <d v="2016-07-08T00:00:00"/>
    <d v="2018-07-08T00:00:00"/>
    <d v="2019-07-08T00:00:00"/>
    <m/>
    <s v="oui"/>
    <n v="4"/>
    <n v="0"/>
    <n v="0"/>
    <d v="2016-07-13T00:00:00"/>
    <s v="Commune 05/05/17_x000a_Région 13/12/16_x000a_CASUD 29/06/17_x000a_CG 12/01/17"/>
    <m/>
    <m/>
    <m/>
    <m/>
    <m/>
    <m/>
    <m/>
    <m/>
    <m/>
    <m/>
    <d v="2017-06-29T00:00:00"/>
    <d v="2016-12-15T00:00:00"/>
    <m/>
    <m/>
    <m/>
    <m/>
    <s v="LE GOFF"/>
    <d v="2016-12-15T00:00:00"/>
    <s v="MAIL 03/04/17"/>
    <n v="2533920.5099999998"/>
    <d v="2018-06-15T00:00:00"/>
    <d v="2018-12-15T00:00:00"/>
    <d v="2018-02-16T00:00:00"/>
    <d v="2018-11-15T00:00:00"/>
    <n v="3.0666666666666669"/>
    <d v="2014-12-03T00:00:00"/>
    <d v="2014-12-04T00:00:00"/>
    <d v="2014-12-04T00:00:00"/>
    <n v="0"/>
    <d v="2015-02-06T00:00:00"/>
    <d v="2015-02-06T00:00:00"/>
    <n v="0"/>
    <d v="2015-03-16T00:00:00"/>
    <d v="2015-03-16T00:00:00"/>
    <n v="0"/>
    <d v="2015-06-22T00:00:00"/>
    <d v="2015-12-14T00:00:00"/>
    <n v="175"/>
    <d v="2016-03-15T00:00:00"/>
    <d v="2016-03-15T00:00:00"/>
    <n v="0"/>
    <m/>
    <d v="2016-05-24T00:00:00"/>
    <d v="2017-06-15T00:00:00"/>
    <d v="2017-07-24T00:00:00"/>
    <n v="39"/>
    <d v="2017-02-08T00:00:00"/>
    <x v="31"/>
    <x v="6"/>
    <n v="23.3"/>
    <n v="173"/>
    <n v="15"/>
    <n v="15"/>
    <d v="2017-11-20T00:00:00"/>
    <d v="2017-12-12T00:00:00"/>
    <n v="22"/>
    <d v="2017-11-20T00:00:00"/>
    <d v="2018-02-13T00:00:00"/>
    <n v="85"/>
    <d v="2018-03-07T00:00:00"/>
    <d v="2018-06-13T00:00:00"/>
    <n v="98"/>
    <d v="2018-04-19T00:00:00"/>
    <d v="2018-11-20T00:00:00"/>
    <n v="215"/>
    <d v="2018-05-09T00:00:00"/>
    <d v="2018-11-20T00:00:00"/>
    <n v="195"/>
    <d v="2018-06-01T00:00:00"/>
    <d v="2018-11-20T00:00:00"/>
    <n v="172"/>
    <d v="2018-07-06T00:00:00"/>
    <d v="2018-11-20T00:00:00"/>
    <n v="137"/>
    <d v="2018-06-01T00:00:00"/>
    <d v="2018-06-01T00:00:00"/>
    <d v="2018-05-04T00:00:00"/>
    <d v="2018-10-31T00:00:00"/>
    <d v="2018-11-30T00:00:00"/>
    <n v="1"/>
    <d v="2020-02-16T00:00:00"/>
    <m/>
    <d v="2018-09-24T00:00:00"/>
    <d v="2019-01-21T00:00:00"/>
    <m/>
    <d v="2018-12-01T00:00:00"/>
    <x v="37"/>
    <x v="6"/>
    <n v="2.5333333333333332"/>
    <m/>
    <n v="0"/>
    <m/>
    <n v="66994"/>
    <n v="83104.25"/>
    <n v="99692.481999999989"/>
    <n v="83900.84"/>
    <n v="1791.7937399999998"/>
    <n v="6.8459284006154402E-4"/>
    <s v="FHO"/>
    <m/>
    <s v="retards de paiement SODEGIS"/>
    <s v="attente des garanties= retard OS_x000a_janvier 2018 : DAF ne paie pas entreprises qui n'ont plus de fournitures (ex : 3 situations LASETRA pas payées au 26/01/18)_x000a_"/>
    <m/>
    <m/>
    <m/>
    <m/>
    <m/>
    <m/>
    <d v="2019-11-30T00:00:00"/>
    <m/>
    <m/>
    <m/>
    <m/>
    <m/>
    <m/>
    <m/>
    <m/>
    <m/>
    <m/>
    <m/>
    <m/>
    <m/>
    <m/>
    <m/>
    <m/>
    <n v="2810342.5550338021"/>
    <n v="2617313"/>
    <n v="2617313"/>
    <n v="-193029.55503380205"/>
    <n v="2180.9851174107962"/>
    <n v="137753.31578947368"/>
    <n v="2613042.4974093148"/>
    <n v="1858695.408962426"/>
    <n v="0.72506727798724757"/>
    <n v="780309.39272020268"/>
    <n v="771141"/>
    <m/>
    <n v="40586.368421052633"/>
    <n v="-9168.3927202026825"/>
    <n v="1460078.9123135994"/>
    <n v="1359322"/>
    <n v="334066"/>
    <n v="1025256"/>
    <n v="-100756.91231359937"/>
    <n v="71543.263157894733"/>
    <m/>
    <n v="420000"/>
    <n v="420000"/>
    <m/>
    <n v="0.16046991704851502"/>
    <m/>
    <n v="66850"/>
    <n v="0"/>
    <n v="22105.263157894737"/>
    <n v="62691.631578947367"/>
    <n v="0"/>
    <n v="5.65"/>
    <n v="5.65"/>
    <n v="510850.13361374999"/>
    <n v="380000"/>
    <n v="83174.178564221191"/>
    <n v="0"/>
    <n v="82691.631578947374"/>
    <n v="0.5208294635109052"/>
    <n v="111550"/>
    <m/>
    <n v="83104.25"/>
    <n v="3321192.6886475519"/>
    <m/>
    <m/>
    <m/>
    <m/>
    <m/>
    <n v="139538"/>
    <n v="125584"/>
    <d v="2014-12-19T00:00:00"/>
    <n v="13467"/>
    <m/>
    <m/>
    <d v="2015-03-19T00:00:00"/>
    <n v="4987"/>
    <d v="2014-05-05T00:00:00"/>
    <n v="14412"/>
    <d v="2015-08-31T00:00:00"/>
    <n v="13125"/>
    <d v="2016-04-27T00:00:00"/>
    <n v="26102"/>
    <m/>
    <m/>
    <d v="2016-12-22T00:00:00"/>
    <m/>
    <d v="2016-12-22T00:00:00"/>
    <n v="18387"/>
    <d v="2018-02-14T00:00:00"/>
    <n v="7055"/>
    <d v="2018-07-09T00:00:00"/>
    <n v="7119"/>
    <m/>
    <m/>
    <m/>
    <m/>
    <d v="2018-10-25T00:00:00"/>
    <n v="20930"/>
    <m/>
    <m/>
    <m/>
    <m/>
    <m/>
    <m/>
  </r>
  <r>
    <s v="VEFA Maurice Lebon"/>
    <m/>
    <x v="7"/>
    <x v="1"/>
    <x v="5"/>
    <s v="PRLC 0163"/>
    <s v="FHO"/>
    <s v="VAF"/>
    <x v="3"/>
    <m/>
    <m/>
    <m/>
    <m/>
    <s v="BARET/GILLOT"/>
    <m/>
    <n v="3038"/>
    <n v="690000"/>
    <n v="690000"/>
    <n v="12545.454545454546"/>
    <n v="227.12310730743911"/>
    <n v="227.12310730743911"/>
    <n v="211.48777048979343"/>
    <n v="12545.454545454546"/>
    <n v="55.236363636363635"/>
    <m/>
    <n v="181.04015799868336"/>
    <s v="UB"/>
    <m/>
    <m/>
    <x v="0"/>
    <x v="34"/>
    <n v="55"/>
    <m/>
    <n v="55"/>
    <m/>
    <m/>
    <n v="3155.14"/>
    <n v="3262.6"/>
    <n v="3262.6"/>
    <n v="3262.6"/>
    <n v="59.32"/>
    <m/>
    <n v="1"/>
    <m/>
    <m/>
    <m/>
    <m/>
    <n v="0"/>
    <n v="0"/>
    <n v="3"/>
    <s v="collectif"/>
    <s v="non"/>
    <n v="6373285"/>
    <n v="1953.4374425304973"/>
    <m/>
    <s v="17/02/2014_x000a_09/10/14"/>
    <m/>
    <s v="OFOI"/>
    <s v="IONIQUE 5"/>
    <m/>
    <d v="2015-11-12T00:00:00"/>
    <m/>
    <d v="2016-10-06T00:00:00"/>
    <d v="2016-11-23T00:00:00"/>
    <d v="2016-11-24T00:00:00"/>
    <d v="2016-11-23T00:00:00"/>
    <d v="2016-12-15T00:00:00"/>
    <d v="2017-03-11T00:00:00"/>
    <d v="2016-12-23T00:00:00"/>
    <d v="2016-12-15T00:00:00"/>
    <d v="2018-12-15T00:00:00"/>
    <d v="2019-12-15T00:00:00"/>
    <m/>
    <s v="oui"/>
    <n v="9"/>
    <n v="0"/>
    <n v="0"/>
    <m/>
    <s v="CG 29/03/17_x000a_Région 28/06/17_x000a_CASUD 29/06/2017"/>
    <m/>
    <m/>
    <m/>
    <d v="2017-04-25T00:00:00"/>
    <m/>
    <m/>
    <m/>
    <m/>
    <m/>
    <m/>
    <d v="2017-06-29T00:00:00"/>
    <d v="2017-06-29T00:00:00"/>
    <m/>
    <m/>
    <m/>
    <m/>
    <s v="BARET/GILLOT"/>
    <d v="2016-12-23T00:00:00"/>
    <s v="MAIL 03/04/17"/>
    <n v="6242199"/>
    <d v="2018-06-23T00:00:00"/>
    <d v="2018-12-23T00:00:00"/>
    <d v="2017-10-10T00:00:00"/>
    <d v="2018-12-23T00:00:00"/>
    <n v="2.2666666666666666"/>
    <m/>
    <m/>
    <m/>
    <s v="0"/>
    <d v="2015-02-06T00:00:00"/>
    <d v="2014-12-09T00:00:00"/>
    <n v="-59"/>
    <m/>
    <m/>
    <s v="0"/>
    <m/>
    <m/>
    <s v="0"/>
    <m/>
    <m/>
    <s v="0"/>
    <m/>
    <m/>
    <m/>
    <m/>
    <s v="0"/>
    <d v="2017-01-06T00:00:00"/>
    <x v="32"/>
    <x v="6"/>
    <n v="14.9"/>
    <n v="26"/>
    <n v="22"/>
    <n v="23"/>
    <d v="2017-03-30T00:00:00"/>
    <d v="2017-03-13T00:00:00"/>
    <n v="-17"/>
    <d v="2017-07-30T00:00:00"/>
    <d v="2017-06-09T00:00:00"/>
    <n v="-51"/>
    <m/>
    <d v="2017-09-18T00:00:00"/>
    <s v="0"/>
    <d v="2017-10-30T00:00:00"/>
    <d v="2018-08-28T00:00:00"/>
    <n v="302"/>
    <d v="2017-10-30T00:00:00"/>
    <d v="2018-11-20T00:00:00"/>
    <n v="386"/>
    <d v="2018-02-28T00:00:00"/>
    <d v="2018-11-20T00:00:00"/>
    <n v="265"/>
    <d v="2018-12-31T00:00:00"/>
    <d v="2018-12-31T00:00:00"/>
    <n v="0"/>
    <m/>
    <m/>
    <m/>
    <d v="2018-12-01T00:00:00"/>
    <d v="2019-01-23T00:00:00"/>
    <n v="1.7666666666666666"/>
    <d v="2019-10-10T00:00:00"/>
    <m/>
    <d v="2018-10-19T00:00:00"/>
    <d v="2019-02-23T00:00:00"/>
    <m/>
    <d v="2019-01-01T00:00:00"/>
    <x v="33"/>
    <x v="6"/>
    <n v="1.9666666666666666"/>
    <m/>
    <n v="0"/>
    <m/>
    <n v="0"/>
    <n v="0"/>
    <n v="0"/>
    <m/>
    <n v="0"/>
    <n v="0"/>
    <s v="FHO"/>
    <m/>
    <m/>
    <m/>
    <m/>
    <m/>
    <m/>
    <m/>
    <m/>
    <m/>
    <d v="2020-01-23T00:00:00"/>
    <m/>
    <m/>
    <m/>
    <m/>
    <m/>
    <m/>
    <m/>
    <m/>
    <m/>
    <m/>
    <m/>
    <m/>
    <m/>
    <m/>
    <m/>
    <m/>
    <n v="6578594.558091728"/>
    <n v="6893824"/>
    <n v="6893824"/>
    <n v="315229.44190827198"/>
    <n v="2112.9847361000429"/>
    <n v="125342.25454545455"/>
    <n v="5462235"/>
    <n v="5874333.7564800717"/>
    <n v="0.87000984727288555"/>
    <n v="1733988.3513843757"/>
    <n v="1928374"/>
    <m/>
    <n v="35061.345454545452"/>
    <n v="194385.64861562429"/>
    <n v="3744606.2067073518"/>
    <n v="3865450"/>
    <n v="735184"/>
    <n v="3130266"/>
    <n v="120843.79329264816"/>
    <n v="70280.909090909088"/>
    <m/>
    <n v="1100000"/>
    <n v="1100000"/>
    <n v="0"/>
    <n v="0.15956311040142598"/>
    <m/>
    <n v="0"/>
    <n v="0"/>
    <n v="20000"/>
    <n v="55061.345454545452"/>
    <n v="0"/>
    <n v="5.78"/>
    <n v="5.69"/>
    <n v="0"/>
    <n v="0"/>
    <n v="51527.060934261375"/>
    <n v="0"/>
    <n v="55061.345454545452"/>
    <n v="0.43928797718073453"/>
    <n v="0"/>
    <m/>
    <n v="0"/>
    <n v="6893824"/>
    <m/>
    <m/>
    <m/>
    <m/>
    <m/>
    <n v="234959.82488479264"/>
    <n v="211463.95391705071"/>
    <m/>
    <m/>
    <m/>
    <m/>
    <m/>
    <m/>
    <m/>
    <m/>
    <m/>
    <m/>
    <m/>
    <m/>
    <m/>
    <m/>
    <m/>
    <n v="129228"/>
    <d v="2017-04-03T00:00:00"/>
    <n v="23495.981566820275"/>
    <d v="2017-10-09T00:00:00"/>
    <n v="11747.990783410138"/>
    <d v="2017-11-08T00:00:00"/>
    <n v="11747.990783410138"/>
    <d v="2018-08-29T00:00:00"/>
    <n v="11747.990783410138"/>
    <d v="2018-09-10T00:00:00"/>
    <n v="11748"/>
    <d v="2018-09-14T00:00:00"/>
    <n v="11748"/>
    <m/>
    <m/>
    <m/>
    <m/>
    <m/>
    <m/>
  </r>
  <r>
    <s v="Ilot 6.2"/>
    <m/>
    <x v="4"/>
    <x v="0"/>
    <x v="5"/>
    <s v="PRLC 0157"/>
    <s v="FVA"/>
    <s v="DBE"/>
    <x v="3"/>
    <m/>
    <m/>
    <m/>
    <s v="SODEGIS"/>
    <s v="QUINOT"/>
    <m/>
    <n v="1263"/>
    <n v="126500"/>
    <n v="126500"/>
    <n v="7027.7777777777774"/>
    <n v="100.15835312747427"/>
    <n v="100.15835312747427"/>
    <n v="86.456710134230022"/>
    <n v="7027.7777777777774"/>
    <n v="70.166666666666671"/>
    <m/>
    <n v="142.51781472684087"/>
    <m/>
    <m/>
    <m/>
    <x v="0"/>
    <x v="25"/>
    <n v="18"/>
    <m/>
    <n v="18"/>
    <m/>
    <m/>
    <m/>
    <n v="1509.87"/>
    <m/>
    <n v="1463.16"/>
    <n v="81.286666666666676"/>
    <n v="0"/>
    <n v="0.33333333333333331"/>
    <n v="0.33333333333333331"/>
    <n v="0.33333333333333331"/>
    <n v="0"/>
    <m/>
    <n v="0"/>
    <n v="0"/>
    <n v="3"/>
    <s v="collectif"/>
    <s v="oui"/>
    <m/>
    <m/>
    <m/>
    <d v="2015-02-12T00:00:00"/>
    <m/>
    <s v="SO"/>
    <m/>
    <m/>
    <d v="2015-10-21T00:00:00"/>
    <m/>
    <m/>
    <m/>
    <m/>
    <d v="2017-05-30T00:00:00"/>
    <d v="2017-07-13T00:00:00"/>
    <d v="2017-10-05T00:00:00"/>
    <d v="2017-08-10T00:00:00"/>
    <d v="2017-07-13T00:00:00"/>
    <d v="2019-07-13T00:00:00"/>
    <d v="2020-07-13T00:00:00"/>
    <m/>
    <s v="non"/>
    <n v="12"/>
    <n v="0"/>
    <n v="0"/>
    <d v="2017-07-04T00:00:00"/>
    <s v="ES 15/10/17_x000a_CG 19/10/17"/>
    <m/>
    <m/>
    <m/>
    <m/>
    <m/>
    <m/>
    <m/>
    <m/>
    <m/>
    <m/>
    <m/>
    <m/>
    <m/>
    <m/>
    <m/>
    <m/>
    <s v="BARET/GILLOT"/>
    <s v="SO"/>
    <s v="SO"/>
    <s v="SO"/>
    <s v="SO"/>
    <s v="SO"/>
    <d v="2018-05-02T00:00:00"/>
    <s v="SO"/>
    <m/>
    <d v="2014-11-20T00:00:00"/>
    <d v="2014-11-12T00:00:00"/>
    <d v="2014-11-12T00:00:00"/>
    <n v="0"/>
    <d v="2015-02-06T00:00:00"/>
    <d v="2015-01-08T00:00:00"/>
    <n v="-29"/>
    <d v="2015-01-29T00:00:00"/>
    <d v="2015-01-29T00:00:00"/>
    <n v="0"/>
    <d v="2015-04-15T00:00:00"/>
    <d v="2015-04-15T00:00:00"/>
    <n v="0"/>
    <d v="2015-06-19T00:00:00"/>
    <d v="2015-06-19T00:00:00"/>
    <n v="0"/>
    <m/>
    <d v="2016-04-12T00:00:00"/>
    <d v="2016-05-12T00:00:00"/>
    <d v="2017-12-19T00:00:00"/>
    <n v="586"/>
    <d v="2018-01-12T00:00:00"/>
    <x v="33"/>
    <x v="7"/>
    <n v="27.466666666666665"/>
    <n v="10"/>
    <n v="15"/>
    <n v="15"/>
    <m/>
    <d v="2018-04-15T00:00:00"/>
    <s v="0"/>
    <m/>
    <d v="2018-05-02T00:00:00"/>
    <s v="0"/>
    <d v="2018-10-02T00:00:00"/>
    <d v="2018-11-20T00:00:00"/>
    <n v="49"/>
    <d v="2018-11-08T00:00:00"/>
    <d v="2018-11-20T00:00:00"/>
    <n v="12"/>
    <d v="2018-11-23T00:00:00"/>
    <m/>
    <s v="0"/>
    <d v="2018-12-13T00:00:00"/>
    <d v="2018-12-13T00:00:00"/>
    <n v="0"/>
    <d v="2019-03-28T00:00:00"/>
    <d v="2019-03-28T00:00:00"/>
    <n v="0"/>
    <m/>
    <m/>
    <m/>
    <d v="2019-04-22T00:00:00"/>
    <d v="2019-04-22T00:00:00"/>
    <n v="0"/>
    <d v="2020-05-02T00:00:00"/>
    <m/>
    <d v="2018-09-05T00:00:00"/>
    <d v="2019-06-27T00:00:00"/>
    <m/>
    <d v="2019-05-22T00:00:00"/>
    <x v="38"/>
    <x v="6"/>
    <n v="1.6333333333333333"/>
    <m/>
    <n v="0"/>
    <m/>
    <n v="0"/>
    <n v="0"/>
    <n v="115573"/>
    <n v="96000"/>
    <m/>
    <n v="0"/>
    <s v="JMO / AGA / FVA"/>
    <s v="Lot étanchéité"/>
    <m/>
    <s v="passage en crédit d'impôt"/>
    <m/>
    <m/>
    <m/>
    <m/>
    <m/>
    <m/>
    <d v="2020-04-22T00:00:00"/>
    <m/>
    <m/>
    <m/>
    <m/>
    <m/>
    <m/>
    <m/>
    <m/>
    <m/>
    <m/>
    <m/>
    <m/>
    <m/>
    <m/>
    <m/>
    <m/>
    <n v="3031790"/>
    <n v="2903227"/>
    <n v="2903227"/>
    <n v="-128563"/>
    <n v="1922.8324292819914"/>
    <n v="161290.38888888888"/>
    <n v="2583163.1920000003"/>
    <n v="2614548"/>
    <n v="0.91947805252568948"/>
    <n v="883707"/>
    <n v="876912"/>
    <n v="866176"/>
    <n v="48717.333333333336"/>
    <n v="-6795"/>
    <n v="1788083"/>
    <n v="1657979"/>
    <n v="261692"/>
    <n v="1396287"/>
    <n v="-130104"/>
    <n v="92109.944444444438"/>
    <m/>
    <n v="360000"/>
    <n v="360000"/>
    <m/>
    <n v="0.12399994902224318"/>
    <m/>
    <n v="8336"/>
    <n v="8336"/>
    <n v="20000"/>
    <n v="68717.333333333328"/>
    <n v="463.11111111111109"/>
    <n v="5.19"/>
    <n v="5.13"/>
    <n v="0"/>
    <n v="0"/>
    <n v="68717.333333333328"/>
    <n v="0"/>
    <n v="68717.333333333328"/>
    <n v="0.42604729151389126"/>
    <n v="0"/>
    <m/>
    <n v="0"/>
    <n v="2903227"/>
    <m/>
    <m/>
    <m/>
    <m/>
    <m/>
    <n v="143890"/>
    <n v="122307"/>
    <d v="2014-12-17T00:00:00"/>
    <n v="14522"/>
    <m/>
    <m/>
    <d v="2014-12-19T00:00:00"/>
    <m/>
    <m/>
    <n v="21783"/>
    <d v="2015-03-23T00:00:00"/>
    <n v="13917"/>
    <n v="42202"/>
    <n v="21557"/>
    <m/>
    <m/>
    <d v="2017-09-11T00:00:00"/>
    <n v="7178"/>
    <d v="2017-12-23T00:00:00"/>
    <n v="14356"/>
    <d v="2018-06-06T00:00:00"/>
    <n v="7178"/>
    <d v="2018-07-10T00:00:00"/>
    <n v="7177"/>
    <m/>
    <m/>
    <d v="2018-11-08T00:00:00"/>
    <n v="14639"/>
    <m/>
    <m/>
    <n v="21783"/>
    <m/>
    <m/>
    <m/>
    <m/>
    <m/>
  </r>
  <r>
    <s v="CD 61 Rue Bertaut LLS"/>
    <m/>
    <x v="2"/>
    <x v="1"/>
    <x v="5"/>
    <s v="PRLC 0173"/>
    <s v="FBR"/>
    <s v="SRI"/>
    <x v="3"/>
    <m/>
    <m/>
    <s v="acheté 25/11/15_x000a_DA ER fait_x000a_convention de prise de possession anticipée reçue, à signer  / attention aux enrobés_x000a_OST à évacuer_x000a_AEP coupée_x000a_"/>
    <s v="Etat"/>
    <m/>
    <m/>
    <n v="8838"/>
    <n v="652080"/>
    <n v="652080"/>
    <n v="7326.7415730337079"/>
    <n v="73.78139850644942"/>
    <n v="73.78139850644942"/>
    <n v="335.48387096774195"/>
    <n v="32604"/>
    <n v="441.9"/>
    <m/>
    <n v="22.629554197782305"/>
    <s v="UB"/>
    <n v="630"/>
    <n v="0"/>
    <x v="1"/>
    <x v="3"/>
    <n v="20"/>
    <n v="20"/>
    <m/>
    <m/>
    <m/>
    <m/>
    <n v="1853.17"/>
    <m/>
    <n v="1943.7"/>
    <n v="97.185000000000002"/>
    <m/>
    <m/>
    <m/>
    <n v="0.8"/>
    <n v="0.2"/>
    <m/>
    <s v="SO"/>
    <n v="0"/>
    <n v="4"/>
    <s v="collectif"/>
    <s v="oui"/>
    <m/>
    <m/>
    <m/>
    <d v="2015-01-27T00:00:00"/>
    <m/>
    <s v="SO"/>
    <s v="LS 118"/>
    <m/>
    <d v="2015-12-16T00:00:00"/>
    <m/>
    <m/>
    <m/>
    <m/>
    <d v="2017-06-13T00:00:00"/>
    <d v="2017-07-13T00:00:00"/>
    <d v="2017-10-05T00:00:00"/>
    <d v="2017-07-27T00:00:00"/>
    <d v="2017-07-13T00:00:00"/>
    <d v="2019-07-13T00:00:00"/>
    <d v="2020-07-13T00:00:00"/>
    <n v="90205.94"/>
    <s v="non"/>
    <n v="3"/>
    <n v="37038"/>
    <n v="-53167.94"/>
    <d v="2017-07-04T00:00:00"/>
    <s v="Mairie 04/12/17_x000a_CG 17/10/17"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4-09-25T00:00:00"/>
    <d v="2014-10-09T00:00:00"/>
    <d v="2014-10-09T00:00:00"/>
    <n v="0"/>
    <d v="2014-12-26T00:00:00"/>
    <d v="2015-02-05T00:00:00"/>
    <n v="41"/>
    <d v="2015-01-16T00:00:00"/>
    <d v="2015-02-19T00:00:00"/>
    <n v="34"/>
    <d v="2015-04-06T00:00:00"/>
    <d v="2015-05-12T00:00:00"/>
    <n v="36"/>
    <d v="2015-06-22T00:00:00"/>
    <d v="2015-09-07T00:00:00"/>
    <n v="77"/>
    <m/>
    <d v="2016-05-24T00:00:00"/>
    <d v="2017-11-03T00:00:00"/>
    <d v="2017-12-19T00:00:00"/>
    <n v="46"/>
    <d v="2018-01-15T00:00:00"/>
    <x v="34"/>
    <x v="7"/>
    <n v="25.833333333333332"/>
    <n v="14"/>
    <n v="21"/>
    <n v="21"/>
    <d v="2018-05-30T00:00:00"/>
    <d v="2018-11-20T00:00:00"/>
    <n v="174"/>
    <d v="2018-08-10T00:00:00"/>
    <d v="2018-11-20T00:00:00"/>
    <n v="102"/>
    <d v="2019-03-05T00:00:00"/>
    <d v="2019-03-05T00:00:00"/>
    <n v="0"/>
    <d v="2019-05-30T00:00:00"/>
    <d v="2019-05-30T00:00:00"/>
    <n v="0"/>
    <d v="2019-06-06T00:00:00"/>
    <d v="2019-06-06T00:00:00"/>
    <n v="0"/>
    <d v="2019-06-10T00:00:00"/>
    <d v="2019-06-10T00:00:00"/>
    <n v="0"/>
    <d v="2019-07-02T00:00:00"/>
    <d v="2019-07-02T00:00:00"/>
    <n v="0"/>
    <d v="2019-08-26T00:00:00"/>
    <d v="2019-08-26T00:00:00"/>
    <d v="2019-07-11T00:00:00"/>
    <d v="2019-10-29T00:00:00"/>
    <d v="2019-10-29T00:00:00"/>
    <n v="0"/>
    <d v="1901-12-31T00:00:00"/>
    <m/>
    <m/>
    <d v="2020-03-02T00:00:00"/>
    <m/>
    <d v="2019-11-29T00:00:00"/>
    <x v="39"/>
    <x v="6"/>
    <n v="4.166666666666667"/>
    <n v="12346"/>
    <n v="51441.666666666672"/>
    <m/>
    <n v="0"/>
    <n v="0"/>
    <n v="485791.79999999993"/>
    <m/>
    <n v="0"/>
    <n v="0"/>
    <s v="JMO / FBR"/>
    <s v="Lot désamiantage"/>
    <s v="résilier SIB (perte agrément) / se positionner sur demande de DLC_x000a_pas de nouvelles de l'AMO déchets : faire une MD huissier_x000a_courrier refus offre technique DLC à envoyer_x000a_O'SUD Peinture pas à jour attestation fiscale"/>
    <m/>
    <m/>
    <m/>
    <m/>
    <m/>
    <m/>
    <m/>
    <d v="2020-10-29T00:00:00"/>
    <m/>
    <m/>
    <m/>
    <m/>
    <m/>
    <m/>
    <m/>
    <m/>
    <m/>
    <m/>
    <m/>
    <m/>
    <m/>
    <m/>
    <m/>
    <m/>
    <n v="3620927.386608588"/>
    <n v="3410268"/>
    <n v="3410268"/>
    <n v="-210659.38660858804"/>
    <n v="1840.2348408402897"/>
    <n v="170513.4"/>
    <n v="3320758.5701554646"/>
    <n v="3416358.2225748161"/>
    <n v="1.02282335149287"/>
    <n v="1232699.6352114086"/>
    <n v="1114069"/>
    <n v="1114069"/>
    <n v="55703.45"/>
    <n v="-118630.6352114086"/>
    <n v="2188227.7513971794"/>
    <n v="2066681"/>
    <n v="309940"/>
    <n v="1756741"/>
    <n v="-121546.75139717944"/>
    <n v="103334.05"/>
    <m/>
    <n v="200000"/>
    <n v="200000"/>
    <m/>
    <n v="5.8646417231724896E-2"/>
    <m/>
    <n v="29518"/>
    <n v="29518"/>
    <n v="10000"/>
    <n v="65703.45"/>
    <n v="1475.9"/>
    <n v="6.32"/>
    <n v="5.48"/>
    <n v="0"/>
    <n v="0"/>
    <n v="65703.45"/>
    <n v="0"/>
    <n v="65703.45"/>
    <n v="0.38532719422637751"/>
    <n v="0"/>
    <m/>
    <n v="0"/>
    <n v="3410268"/>
    <m/>
    <m/>
    <m/>
    <m/>
    <m/>
    <n v="685491"/>
    <n v="445569"/>
    <d v="2014-10-24T00:00:00"/>
    <n v="67842"/>
    <m/>
    <m/>
    <d v="2014-12-19T00:00:00"/>
    <n v="33921"/>
    <d v="2015-03-02T00:00:00"/>
    <n v="72217"/>
    <d v="2015-04-27T00:00:00"/>
    <n v="65293"/>
    <m/>
    <n v="103472"/>
    <m/>
    <m/>
    <m/>
    <m/>
    <d v="2017-12-14T00:00:00"/>
    <n v="68549"/>
    <d v="2018-08-21T00:00:00"/>
    <n v="34275"/>
    <m/>
    <m/>
    <m/>
    <m/>
    <m/>
    <m/>
    <m/>
    <m/>
    <n v="72217"/>
    <m/>
    <m/>
    <m/>
    <m/>
    <m/>
  </r>
  <r>
    <s v="VEFA Paule &amp; Gaston"/>
    <m/>
    <x v="11"/>
    <x v="0"/>
    <x v="6"/>
    <s v="PRLC 0191"/>
    <s v="ADE"/>
    <s v="DAM"/>
    <x v="2"/>
    <m/>
    <m/>
    <m/>
    <m/>
    <m/>
    <m/>
    <n v="807"/>
    <n v="250272"/>
    <n v="250272"/>
    <n v="10881.391304347826"/>
    <n v="310.12639405204459"/>
    <n v="310.12639405204459"/>
    <n v="162.92583213441748"/>
    <n v="10881.391304347826"/>
    <n v="35.086956521739133"/>
    <m/>
    <n v="285.00619578686491"/>
    <m/>
    <m/>
    <m/>
    <x v="0"/>
    <x v="2"/>
    <n v="23"/>
    <m/>
    <n v="23"/>
    <m/>
    <m/>
    <n v="1103"/>
    <n v="1536.11"/>
    <n v="1536.11"/>
    <n v="1536.11"/>
    <n v="66.787391304347821"/>
    <m/>
    <m/>
    <m/>
    <m/>
    <m/>
    <m/>
    <m/>
    <m/>
    <m/>
    <s v="collectif"/>
    <s v="oui"/>
    <n v="2973918"/>
    <n v="1936.0058849952154"/>
    <m/>
    <m/>
    <m/>
    <s v="OFOI"/>
    <s v="LOGIS 10"/>
    <m/>
    <d v="2016-06-22T00:00:00"/>
    <m/>
    <d v="2016-07-06T00:00:00"/>
    <d v="2016-08-24T00:00:00"/>
    <s v="ok"/>
    <d v="2016-08-24T00:00:00"/>
    <d v="2016-09-07T00:00:00"/>
    <d v="2016-12-07T00:00:00"/>
    <d v="2016-10-11T00:00:00"/>
    <d v="2016-09-07T00:00:00"/>
    <d v="2018-09-07T00:00:00"/>
    <d v="2019-09-07T00:00:00"/>
    <m/>
    <s v="non"/>
    <n v="15"/>
    <n v="127935"/>
    <n v="0"/>
    <m/>
    <s v="ok_x000a_Région 19/06/17"/>
    <m/>
    <m/>
    <m/>
    <s v="ok"/>
    <m/>
    <m/>
    <m/>
    <m/>
    <m/>
    <m/>
    <s v="ok"/>
    <d v="2017-07-06T00:00:00"/>
    <m/>
    <m/>
    <m/>
    <m/>
    <m/>
    <d v="2016-12-23T00:00:00"/>
    <s v="ok"/>
    <n v="2912750"/>
    <d v="2018-06-23T00:00:00"/>
    <d v="2018-12-23T00:00:00"/>
    <d v="2016-12-23T00:00:00"/>
    <d v="2018-10-23T00:00:00"/>
    <n v="-5.1333333333333337"/>
    <m/>
    <m/>
    <m/>
    <s v="0"/>
    <d v="2015-02-06T00:00:00"/>
    <d v="2015-02-06T00:00:00"/>
    <n v="0"/>
    <m/>
    <m/>
    <s v="0"/>
    <m/>
    <m/>
    <s v="0"/>
    <m/>
    <m/>
    <s v="0"/>
    <m/>
    <m/>
    <m/>
    <m/>
    <s v="0"/>
    <d v="2017-01-06T00:00:00"/>
    <x v="35"/>
    <x v="5"/>
    <n v="1.3333333333333333"/>
    <n v="-158"/>
    <n v="18"/>
    <n v="20"/>
    <m/>
    <m/>
    <s v="0"/>
    <d v="2016-12-08T00:00:00"/>
    <d v="2016-12-08T00:00:00"/>
    <n v="0"/>
    <m/>
    <d v="2017-09-16T00:00:00"/>
    <s v="0"/>
    <m/>
    <d v="2017-10-16T00:00:00"/>
    <s v="0"/>
    <d v="2017-07-30T00:00:00"/>
    <d v="2017-11-14T00:00:00"/>
    <n v="107"/>
    <d v="2017-08-30T00:00:00"/>
    <d v="2017-11-14T00:00:00"/>
    <n v="76"/>
    <d v="2018-03-30T00:00:00"/>
    <d v="2018-11-20T00:00:00"/>
    <n v="235"/>
    <d v="2018-04-13T00:00:00"/>
    <d v="2018-04-13T00:00:00"/>
    <d v="2018-04-13T00:00:00"/>
    <d v="2018-02-01T00:00:00"/>
    <d v="2018-04-20T00:00:00"/>
    <n v="2.6"/>
    <d v="2018-12-23T00:00:00"/>
    <d v="2018-04-20T00:00:00"/>
    <d v="2017-10-16T00:00:00"/>
    <s v="ok"/>
    <m/>
    <d v="2018-03-01T00:00:00"/>
    <x v="40"/>
    <x v="5"/>
    <n v="2.7333333333333334"/>
    <n v="8529"/>
    <n v="23312.600000000002"/>
    <d v="2018-03-22T00:00:00"/>
    <n v="0"/>
    <n v="0"/>
    <n v="0"/>
    <m/>
    <n v="0"/>
    <n v="0"/>
    <s v="MFL / ADE"/>
    <m/>
    <m/>
    <m/>
    <s v="ok"/>
    <s v="ok"/>
    <s v="ok"/>
    <s v="ok"/>
    <d v="2018-08-22T00:00:00"/>
    <s v="ok"/>
    <d v="2019-04-20T00:00:00"/>
    <m/>
    <m/>
    <m/>
    <m/>
    <m/>
    <m/>
    <m/>
    <m/>
    <s v="envoyé arrangeur 12/10/17"/>
    <m/>
    <d v="2018-08-03T00:00:00"/>
    <m/>
    <m/>
    <m/>
    <m/>
    <m/>
    <n v="0"/>
    <n v="3202767"/>
    <n v="3202767"/>
    <n v="3202767"/>
    <n v="2084.9854502607236"/>
    <n v="139250.73913043478"/>
    <n v="3537549.5398594467"/>
    <n v="3653732"/>
    <n v="1.1647617113577102"/>
    <m/>
    <n v="901691"/>
    <m/>
    <n v="39203.956521739128"/>
    <m/>
    <m/>
    <n v="1772076"/>
    <n v="296327"/>
    <n v="1475749"/>
    <n v="1772076"/>
    <n v="77046.782608695648"/>
    <m/>
    <m/>
    <n v="529000"/>
    <m/>
    <n v="0.16516967984246123"/>
    <m/>
    <m/>
    <n v="529000"/>
    <n v="23000"/>
    <n v="62203.956521739128"/>
    <n v="23000"/>
    <m/>
    <m/>
    <m/>
    <m/>
    <n v="0"/>
    <m/>
    <n v="62203.956521739128"/>
    <e v="#DIV/0!"/>
    <m/>
    <m/>
    <m/>
    <n v="0"/>
    <m/>
    <m/>
    <m/>
    <m/>
    <m/>
    <n v="101410.59907834102"/>
    <n v="101410.59907834101"/>
    <m/>
    <m/>
    <m/>
    <m/>
    <m/>
    <m/>
    <m/>
    <m/>
    <m/>
    <m/>
    <m/>
    <m/>
    <m/>
    <m/>
    <m/>
    <m/>
    <m/>
    <m/>
    <d v="2016-12-23T00:00:00"/>
    <n v="65916.894009216587"/>
    <d v="2017-05-10T00:00:00"/>
    <n v="10141.0599078341"/>
    <d v="2017-10-19T00:00:00"/>
    <n v="5070.5345622119812"/>
    <m/>
    <m/>
    <d v="2017-11-16T00:00:00"/>
    <n v="10141.0599078341"/>
    <d v="2018-03-30T00:00:00"/>
    <n v="2535.2626728110604"/>
    <d v="2018-05-04T00:00:00"/>
    <n v="7605.7880184331807"/>
    <m/>
    <m/>
  </r>
  <r>
    <s v="FAHAM (Ilôt 5.6)"/>
    <s v="Excel OK"/>
    <x v="4"/>
    <x v="0"/>
    <x v="6"/>
    <s v="PRLC 0156"/>
    <s v="ADE"/>
    <s v="MMA"/>
    <x v="3"/>
    <s v="oui"/>
    <m/>
    <m/>
    <s v="SODEGIS"/>
    <s v="QUINOT"/>
    <m/>
    <n v="3126"/>
    <n v="268450"/>
    <n v="268450"/>
    <n v="8948.3333333333339"/>
    <n v="85.876519513755596"/>
    <n v="85.876519513755596"/>
    <n v="100.22812211813815"/>
    <n v="8948.3333333333339"/>
    <n v="104.2"/>
    <n v="1264.3499999999999"/>
    <n v="95.969289827255281"/>
    <m/>
    <n v="100"/>
    <m/>
    <x v="1"/>
    <x v="1"/>
    <n v="30"/>
    <n v="30"/>
    <m/>
    <m/>
    <m/>
    <m/>
    <n v="2596.9"/>
    <m/>
    <n v="2678.39"/>
    <n v="89.279666666666657"/>
    <n v="0"/>
    <n v="0"/>
    <n v="0.53333333333333333"/>
    <n v="0.4"/>
    <n v="6.6666666666666666E-2"/>
    <m/>
    <n v="0"/>
    <n v="0"/>
    <n v="3"/>
    <s v="collectif"/>
    <s v="oui"/>
    <m/>
    <m/>
    <m/>
    <d v="2014-01-28T00:00:00"/>
    <d v="2014-05-28T00:00:00"/>
    <s v="INGEPAR"/>
    <s v="LS 97"/>
    <s v="SO"/>
    <d v="2016-08-19T00:00:00"/>
    <d v="2016-09-13T00:00:00"/>
    <s v="19/06/2014_x000a_18/11/15"/>
    <s v="30/06/2014_x000a_09/09/16"/>
    <d v="2016-09-14T00:00:00"/>
    <d v="2014-10-20T00:00:00"/>
    <d v="2015-01-23T00:00:00"/>
    <d v="2015-04-23T00:00:00"/>
    <d v="2015-03-11T00:00:00"/>
    <d v="2015-01-23T00:00:00"/>
    <d v="2018-01-23T00:00:00"/>
    <d v="2019-01-23T00:00:00"/>
    <m/>
    <s v="non"/>
    <n v="4"/>
    <n v="69774.294047676667"/>
    <n v="0"/>
    <s v="ok"/>
    <s v="CIVIS 25/05/15_x000a_Région 12/06/15_x000a_Commune 29/06/15_x000a_CG 30/06/15"/>
    <m/>
    <m/>
    <m/>
    <m/>
    <m/>
    <m/>
    <m/>
    <m/>
    <m/>
    <m/>
    <m/>
    <m/>
    <m/>
    <m/>
    <m/>
    <m/>
    <s v="LE GOFF"/>
    <d v="2016-12-15T00:00:00"/>
    <s v="MAIL 03/04/17"/>
    <n v="4997938.95"/>
    <d v="2018-06-15T00:00:00"/>
    <d v="2018-12-15T00:00:00"/>
    <d v="2017-07-18T00:00:00"/>
    <d v="2018-05-15T00:00:00"/>
    <n v="3.5666666666666669"/>
    <d v="2013-10-01T00:00:00"/>
    <d v="2013-10-02T00:00:00"/>
    <d v="2013-10-17T00:00:00"/>
    <n v="15"/>
    <d v="2014-02-09T00:00:00"/>
    <d v="2014-02-04T00:00:00"/>
    <n v="-5"/>
    <d v="2014-02-09T00:00:00"/>
    <d v="2014-02-27T00:00:00"/>
    <n v="18"/>
    <d v="2014-04-24T00:00:00"/>
    <d v="2014-07-04T00:00:00"/>
    <n v="71"/>
    <d v="2014-08-29T00:00:00"/>
    <d v="2014-10-08T00:00:00"/>
    <n v="40"/>
    <m/>
    <d v="2015-02-20T00:00:00"/>
    <d v="2015-06-22T00:00:00"/>
    <d v="2017-02-14T00:00:00"/>
    <n v="603"/>
    <d v="2017-02-15T00:00:00"/>
    <x v="36"/>
    <x v="6"/>
    <n v="5.9666666666666668"/>
    <n v="-1"/>
    <n v="16"/>
    <n v="17"/>
    <d v="2017-04-19T00:00:00"/>
    <d v="2017-04-19T00:00:00"/>
    <n v="0"/>
    <d v="2017-06-30T00:00:00"/>
    <d v="2017-07-20T00:00:00"/>
    <n v="20"/>
    <d v="2018-01-24T00:00:00"/>
    <d v="2017-12-15T00:00:00"/>
    <n v="-40"/>
    <d v="2018-03-23T00:00:00"/>
    <d v="2018-11-20T00:00:00"/>
    <n v="242"/>
    <d v="2018-03-02T00:00:00"/>
    <m/>
    <s v="0"/>
    <d v="2018-03-21T00:00:00"/>
    <d v="2018-11-20T00:00:00"/>
    <n v="244"/>
    <d v="2018-04-06T00:00:00"/>
    <d v="2018-11-20T00:00:00"/>
    <n v="228"/>
    <d v="2018-04-18T00:00:00"/>
    <d v="2018-04-19T00:00:00"/>
    <d v="2018-04-30T00:00:00"/>
    <d v="2018-06-14T00:00:00"/>
    <d v="2018-08-08T00:00:00"/>
    <n v="1.8333333333333333"/>
    <d v="2019-07-18T00:00:00"/>
    <d v="2018-08-06T00:00:00"/>
    <d v="2017-06-01T00:00:00"/>
    <d v="2018-08-16T00:00:00"/>
    <s v="20 &amp; 21/08"/>
    <d v="2018-06-29T00:00:00"/>
    <x v="41"/>
    <x v="5"/>
    <n v="2.0666666666666669"/>
    <n v="17443.573511919167"/>
    <n v="36050.05192463295"/>
    <d v="2018-08-09T00:00:00"/>
    <n v="0"/>
    <n v="0"/>
    <n v="316521.23099999997"/>
    <m/>
    <n v="0"/>
    <n v="0"/>
    <s v="JDC / NBL / MFL / ADE"/>
    <s v="Lot Men Ext"/>
    <s v="COLTRAV : pb avancement sous-traitant_x000a_J2S : pb avancement - 20 j pénalités_x000a_SMOI : pénalités_x000a_4 j intempéries"/>
    <s v="problématique foncière non anticipée et propre à la vente en VEFA défisc_x000a_changements de RO_x000a_avancement SMOI"/>
    <m/>
    <m/>
    <m/>
    <m/>
    <m/>
    <m/>
    <d v="2019-08-08T00:00:00"/>
    <m/>
    <m/>
    <d v="2018-11-06T00:00:00"/>
    <m/>
    <m/>
    <m/>
    <m/>
    <m/>
    <m/>
    <m/>
    <m/>
    <m/>
    <m/>
    <m/>
    <m/>
    <m/>
    <n v="5100937.3381183296"/>
    <n v="5227844.2"/>
    <n v="5227844.2"/>
    <n v="126906.86188167054"/>
    <n v="2013.1095536986406"/>
    <n v="174261.47333333333"/>
    <n v="4413122.1526051881"/>
    <n v="4142334"/>
    <n v="0.80899943689982179"/>
    <n v="1541342.2781183291"/>
    <n v="1638956.14"/>
    <m/>
    <n v="54631.871333333329"/>
    <n v="97613.861881670775"/>
    <n v="3296474.06"/>
    <n v="3296474.06"/>
    <n v="618601"/>
    <n v="2677873.06"/>
    <n v="0"/>
    <n v="109882.46866666667"/>
    <n v="0"/>
    <n v="250707"/>
    <n v="280000"/>
    <n v="0"/>
    <n v="5.3559362002410092E-2"/>
    <m/>
    <n v="12414"/>
    <n v="41707"/>
    <n v="9333.3333333333339"/>
    <n v="63965.204666666665"/>
    <n v="1390.2333333333333"/>
    <n v="6.39"/>
    <n v="5.75"/>
    <n v="0"/>
    <n v="0"/>
    <n v="59734.975937277639"/>
    <n v="0"/>
    <n v="63965.204666666665"/>
    <n v="0.37905933929335955"/>
    <n v="165428"/>
    <m/>
    <n v="0"/>
    <n v="5100937.3381183296"/>
    <m/>
    <m/>
    <m/>
    <m/>
    <m/>
    <n v="265886"/>
    <n v="262429"/>
    <m/>
    <n v="24456"/>
    <m/>
    <m/>
    <d v="2014-02-27T00:00:00"/>
    <n v="12815"/>
    <d v="2014-02-06T00:00:00"/>
    <n v="26808"/>
    <d v="2014-06-25T00:00:00"/>
    <n v="27980"/>
    <n v="41942"/>
    <n v="39455"/>
    <m/>
    <m/>
    <s v="avec OS"/>
    <m/>
    <d v="2016-12-22T00:00:00"/>
    <n v="41091"/>
    <d v="2017-07-13T00:00:00"/>
    <n v="12636"/>
    <d v="2017-09-28T00:00:00"/>
    <n v="12634"/>
    <d v="2017-12-11T00:00:00"/>
    <n v="9678"/>
    <s v="14/03/2018_x000a_18/04/18"/>
    <n v="16845"/>
    <s v="19/04/2018_x000a_11/06/18"/>
    <n v="13294"/>
    <d v="2018-08-13T00:00:00"/>
    <n v="7892"/>
    <m/>
    <m/>
    <m/>
    <m/>
  </r>
  <r>
    <s v="Kakis"/>
    <m/>
    <x v="9"/>
    <x v="1"/>
    <x v="6"/>
    <s v="PRLC 0181"/>
    <s v="FBR"/>
    <s v="DBE"/>
    <x v="3"/>
    <m/>
    <s v="AO 433"/>
    <s v="terrain acheté_x000a_projet de bornage transmis à FBR"/>
    <m/>
    <m/>
    <m/>
    <n v="8111"/>
    <n v="405550"/>
    <n v="405550"/>
    <n v="11587.142857142857"/>
    <n v="50"/>
    <n v="50"/>
    <n v="175.71642735205677"/>
    <n v="11587.142857142857"/>
    <n v="231.74285714285713"/>
    <m/>
    <n v="43.151276044877328"/>
    <m/>
    <n v="450"/>
    <m/>
    <x v="0"/>
    <x v="35"/>
    <n v="35"/>
    <m/>
    <n v="35"/>
    <m/>
    <m/>
    <m/>
    <n v="2316.3530000000001"/>
    <m/>
    <n v="2307.98"/>
    <n v="65.942285714285717"/>
    <n v="0.22857142857142856"/>
    <n v="0.22857142857142856"/>
    <n v="0.22857142857142856"/>
    <n v="0.31428571428571428"/>
    <m/>
    <m/>
    <m/>
    <m/>
    <m/>
    <s v="collectif"/>
    <s v="non"/>
    <m/>
    <m/>
    <m/>
    <d v="2016-01-27T00:00:00"/>
    <d v="2016-04-15T00:00:00"/>
    <s v="SO"/>
    <m/>
    <m/>
    <d v="2016-10-17T00:00:00"/>
    <m/>
    <m/>
    <m/>
    <m/>
    <d v="2017-05-31T00:00:00"/>
    <d v="2017-07-13T00:00:00"/>
    <d v="2017-10-05T00:00:00"/>
    <d v="2017-08-10T00:00:00"/>
    <d v="2017-07-13T00:00:00"/>
    <d v="2019-07-13T00:00:00"/>
    <d v="2020-07-10T00:00:00"/>
    <m/>
    <s v="oui"/>
    <n v="10"/>
    <n v="132970"/>
    <n v="0"/>
    <d v="2017-07-04T00:00:00"/>
    <s v="OK "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5-10-19T00:00:00"/>
    <d v="2015-10-30T00:00:00"/>
    <d v="2015-10-19T00:00:00"/>
    <n v="-11"/>
    <d v="2016-02-12T00:00:00"/>
    <d v="2016-02-12T00:00:00"/>
    <n v="0"/>
    <d v="2016-03-29T00:00:00"/>
    <d v="2016-08-11T00:00:00"/>
    <n v="135"/>
    <d v="2016-10-12T00:00:00"/>
    <d v="2016-11-09T00:00:00"/>
    <n v="28"/>
    <d v="2017-02-13T00:00:00"/>
    <d v="2017-06-06T00:00:00"/>
    <n v="113"/>
    <m/>
    <d v="2018-01-23T00:00:00"/>
    <d v="2018-02-09T00:00:00"/>
    <d v="2018-03-01T00:00:00"/>
    <n v="20"/>
    <d v="2018-02-23T00:00:00"/>
    <x v="37"/>
    <x v="7"/>
    <n v="16.8"/>
    <n v="10"/>
    <n v="14"/>
    <n v="14"/>
    <d v="2018-06-12T00:00:00"/>
    <d v="2018-11-20T00:00:00"/>
    <n v="161"/>
    <d v="2018-07-06T00:00:00"/>
    <d v="2018-09-12T00:00:00"/>
    <n v="68"/>
    <d v="2018-10-01T00:00:00"/>
    <d v="2018-11-20T00:00:00"/>
    <n v="50"/>
    <d v="2019-01-21T00:00:00"/>
    <d v="2019-01-21T00:00:00"/>
    <n v="0"/>
    <d v="2018-12-13T00:00:00"/>
    <m/>
    <s v="0"/>
    <d v="2019-02-04T00:00:00"/>
    <d v="2019-02-04T00:00:00"/>
    <n v="0"/>
    <d v="2019-04-08T00:00:00"/>
    <d v="2019-04-08T00:00:00"/>
    <n v="0"/>
    <d v="2019-03-18T00:00:00"/>
    <d v="2019-03-18T00:00:00"/>
    <d v="2019-03-22T00:00:00"/>
    <d v="2019-05-05T00:00:00"/>
    <d v="2019-05-17T00:00:00"/>
    <n v="0.4"/>
    <d v="1901-12-31T00:00:00"/>
    <m/>
    <d v="2018-09-05T00:00:00"/>
    <d v="2019-07-27T00:00:00"/>
    <m/>
    <d v="2019-06-05T00:00:00"/>
    <x v="42"/>
    <x v="6"/>
    <n v="2.4"/>
    <n v="13297"/>
    <n v="31912.799999999999"/>
    <m/>
    <n v="0"/>
    <n v="0"/>
    <n v="124561.99999999999"/>
    <m/>
    <n v="0"/>
    <n v="0"/>
    <m/>
    <m/>
    <s v="réunion démarrage 01/03/18"/>
    <m/>
    <m/>
    <m/>
    <m/>
    <m/>
    <m/>
    <m/>
    <d v="2020-05-17T00:00:00"/>
    <m/>
    <m/>
    <m/>
    <m/>
    <m/>
    <m/>
    <m/>
    <m/>
    <m/>
    <m/>
    <m/>
    <m/>
    <m/>
    <m/>
    <m/>
    <m/>
    <n v="4867349.3792960932"/>
    <n v="5306870"/>
    <n v="5306870"/>
    <n v="439520.62070390675"/>
    <n v="2291.0454494630135"/>
    <n v="151624.85714285713"/>
    <n v="4254582.75"/>
    <n v="4784510"/>
    <n v="0.9205020492305257"/>
    <n v="1361329.3792960932"/>
    <n v="1576411"/>
    <n v="1629529"/>
    <n v="45040.314285714288"/>
    <n v="215081.62070390675"/>
    <n v="2561020"/>
    <n v="2760459"/>
    <n v="738771"/>
    <n v="2021688"/>
    <n v="199439"/>
    <n v="78870.257142857139"/>
    <m/>
    <n v="945000"/>
    <n v="945000"/>
    <m/>
    <n v="0.17807106637245684"/>
    <m/>
    <n v="25000"/>
    <n v="25000"/>
    <n v="27000"/>
    <n v="72040.314285714281"/>
    <n v="714.28571428571433"/>
    <n v="5.57"/>
    <n v="5.54"/>
    <m/>
    <m/>
    <n v="65895.125122745521"/>
    <m/>
    <n v="72040.314285714281"/>
    <n v="0.47383682566662805"/>
    <m/>
    <m/>
    <n v="0"/>
    <n v="4867349.3792960932"/>
    <m/>
    <m/>
    <m/>
    <m/>
    <m/>
    <n v="265262"/>
    <n v="185683"/>
    <d v="2015-11-27T00:00:00"/>
    <n v="26176"/>
    <m/>
    <m/>
    <d v="2016-05-11T00:00:00"/>
    <n v="17712"/>
    <d v="2016-03-01T00:00:00"/>
    <n v="20368"/>
    <d v="2016-10-27T00:00:00"/>
    <n v="25703"/>
    <s v="13/12/2016_x000a_23/02/17"/>
    <n v="38553"/>
    <m/>
    <m/>
    <d v="2017-12-14T00:00:00"/>
    <n v="17382"/>
    <m/>
    <m/>
    <d v="2018-08-21T00:00:00"/>
    <n v="39789"/>
    <m/>
    <m/>
    <d v="2017-03-28T00:00:00"/>
    <m/>
    <m/>
    <m/>
    <m/>
    <m/>
    <n v="20368"/>
    <m/>
    <m/>
    <m/>
    <m/>
    <m/>
  </r>
  <r>
    <s v="Les Platanes "/>
    <m/>
    <x v="0"/>
    <x v="0"/>
    <x v="6"/>
    <s v="PRLC 0179"/>
    <s v="FHO"/>
    <s v="DAM"/>
    <x v="3"/>
    <m/>
    <s v="AH 449 à 451"/>
    <m/>
    <m/>
    <m/>
    <m/>
    <n v="5130"/>
    <n v="425624"/>
    <n v="271768"/>
    <n v="15200.857142857143"/>
    <n v="82.967641325536064"/>
    <n v="52.976218323586743"/>
    <n v="144.10749415389185"/>
    <n v="9706"/>
    <n v="183.21428571428572"/>
    <m/>
    <n v="54.580896686159846"/>
    <s v="NAU"/>
    <n v="675"/>
    <m/>
    <x v="0"/>
    <x v="36"/>
    <n v="28"/>
    <m/>
    <n v="28"/>
    <m/>
    <m/>
    <m/>
    <n v="1812.35"/>
    <m/>
    <n v="1885.87"/>
    <n v="67.352499999999992"/>
    <n v="0.14285714285714285"/>
    <n v="0.25"/>
    <n v="0.35714285714285715"/>
    <n v="0.25"/>
    <m/>
    <m/>
    <m/>
    <m/>
    <n v="2.5"/>
    <s v="collectif"/>
    <s v="non"/>
    <m/>
    <m/>
    <m/>
    <d v="2016-04-28T00:00:00"/>
    <d v="2016-04-15T00:00:00"/>
    <s v="SO"/>
    <m/>
    <m/>
    <d v="2016-08-22T00:00:00"/>
    <d v="2016-10-03T00:00:00"/>
    <m/>
    <m/>
    <m/>
    <d v="2017-05-22T00:00:00"/>
    <d v="2017-07-13T00:00:00"/>
    <d v="2017-10-05T00:00:00"/>
    <d v="2017-07-26T00:00:00"/>
    <d v="2017-07-13T00:00:00"/>
    <d v="2019-07-13T00:00:00"/>
    <d v="2020-07-13T00:00:00"/>
    <m/>
    <s v="oui"/>
    <n v="8"/>
    <n v="86070.070640000005"/>
    <n v="0"/>
    <d v="2017-07-04T00:00:00"/>
    <s v="Mairie 09/10/17_x000a_CG 17/10/17"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5-11-19T00:00:00"/>
    <d v="2015-12-15T00:00:00"/>
    <d v="2015-11-19T00:00:00"/>
    <n v="-26"/>
    <d v="2016-02-12T00:00:00"/>
    <d v="2016-02-12T00:00:00"/>
    <n v="0"/>
    <d v="2016-03-07T00:00:00"/>
    <d v="2016-03-10T00:00:00"/>
    <n v="3"/>
    <d v="2016-04-12T00:00:00"/>
    <d v="2016-09-20T00:00:00"/>
    <n v="161"/>
    <d v="2016-11-18T00:00:00"/>
    <d v="2017-04-20T00:00:00"/>
    <n v="153"/>
    <m/>
    <d v="2017-12-05T00:00:00"/>
    <d v="2018-02-06T00:00:00"/>
    <d v="2018-11-20T00:00:00"/>
    <n v="287"/>
    <d v="2018-02-21T00:00:00"/>
    <x v="38"/>
    <x v="7"/>
    <n v="21.966666666666665"/>
    <n v="111"/>
    <n v="16"/>
    <n v="16"/>
    <m/>
    <d v="2018-11-20T00:00:00"/>
    <s v="0"/>
    <m/>
    <d v="2018-11-20T00:00:00"/>
    <s v="0"/>
    <m/>
    <d v="2018-11-20T00:00:00"/>
    <s v="0"/>
    <d v="2019-01-22T00:00:00"/>
    <d v="2019-01-22T00:00:00"/>
    <n v="0"/>
    <m/>
    <m/>
    <s v="0"/>
    <m/>
    <d v="2018-11-20T00:00:00"/>
    <s v="0"/>
    <d v="2019-04-09T00:00:00"/>
    <d v="2019-04-09T00:00:00"/>
    <n v="0"/>
    <m/>
    <m/>
    <m/>
    <d v="2019-10-12T00:00:00"/>
    <d v="2019-10-12T00:00:00"/>
    <n v="0"/>
    <d v="1901-12-31T00:00:00"/>
    <m/>
    <d v="2018-09-25T00:00:00"/>
    <d v="2019-12-12T00:00:00"/>
    <m/>
    <d v="2019-11-12T00:00:00"/>
    <x v="43"/>
    <x v="6"/>
    <n v="0"/>
    <n v="10758.758830000001"/>
    <n v="0"/>
    <m/>
    <n v="0"/>
    <n v="0"/>
    <n v="134399.71276999998"/>
    <n v="131635.37"/>
    <n v="0"/>
    <n v="0"/>
    <m/>
    <m/>
    <s v="purge délai recours en cours"/>
    <m/>
    <m/>
    <m/>
    <m/>
    <m/>
    <m/>
    <m/>
    <d v="2020-10-12T00:00:00"/>
    <m/>
    <m/>
    <m/>
    <m/>
    <m/>
    <m/>
    <m/>
    <m/>
    <m/>
    <m/>
    <m/>
    <m/>
    <m/>
    <m/>
    <m/>
    <m/>
    <n v="3901188"/>
    <n v="3944664"/>
    <n v="3944664"/>
    <n v="43476"/>
    <n v="2176.546472811543"/>
    <n v="140880.85714285713"/>
    <n v="3532430.6948800003"/>
    <n v="3790547.2600000002"/>
    <n v="0.98110986194514926"/>
    <n v="1168119"/>
    <n v="1183082"/>
    <n v="1263947"/>
    <n v="42252.928571428572"/>
    <n v="14963"/>
    <n v="2077069"/>
    <n v="2105582"/>
    <n v="405627"/>
    <n v="1699955"/>
    <n v="28513"/>
    <n v="75199.357142857145"/>
    <m/>
    <n v="656000"/>
    <n v="656000"/>
    <m/>
    <n v="0.16630060253547577"/>
    <m/>
    <m/>
    <n v="0"/>
    <n v="23428.571428571428"/>
    <n v="65681.5"/>
    <n v="0"/>
    <n v="5.54"/>
    <m/>
    <n v="878080.00034999999"/>
    <n v="560000"/>
    <n v="85147.107142857145"/>
    <n v="84831.933350000065"/>
    <n v="88711.211905357151"/>
    <n v="0.53838599033842116"/>
    <n v="193430"/>
    <m/>
    <m/>
    <n v="4779268.0003500003"/>
    <m/>
    <m/>
    <m/>
    <m/>
    <m/>
    <n v="195171"/>
    <n v="126877"/>
    <d v="2015-11-25T00:00:00"/>
    <n v="23317"/>
    <m/>
    <m/>
    <m/>
    <m/>
    <d v="2016-02-29T00:00:00"/>
    <n v="23306"/>
    <d v="2016-10-14T00:00:00"/>
    <n v="23065"/>
    <s v="23/12/2016_x000a_21/02/17"/>
    <n v="29869"/>
    <m/>
    <m/>
    <d v="2017-12-21T00:00:00"/>
    <n v="7787"/>
    <d v="2018-07-09T00:00:00"/>
    <n v="19533"/>
    <m/>
    <m/>
    <m/>
    <m/>
    <m/>
    <m/>
    <m/>
    <m/>
    <m/>
    <m/>
    <n v="23306"/>
    <m/>
    <m/>
    <m/>
    <m/>
    <m/>
  </r>
  <r>
    <s v="CD 61 Rue Bertaut LLTS"/>
    <m/>
    <x v="2"/>
    <x v="1"/>
    <x v="6"/>
    <s v="PRLC 0173"/>
    <s v="FBR"/>
    <m/>
    <x v="3"/>
    <m/>
    <m/>
    <s v="acheté 25/11/15_x000a_DA ER fait_x000a_convention de prise de possession anticipée reçue, à signer  / attention aux enrobés_x000a_OST à évacuer_x000a_AEP coupée_x000a_"/>
    <s v="Etat"/>
    <s v="MAREL"/>
    <m/>
    <n v="8838"/>
    <n v="652080"/>
    <n v="652080"/>
    <n v="7326.7415730337079"/>
    <n v="73.78139850644942"/>
    <n v="73.78139850644942"/>
    <n v="130.36333321338179"/>
    <n v="9450.434782608696"/>
    <n v="128.08695652173913"/>
    <m/>
    <n v="78.071961982348952"/>
    <s v="UB"/>
    <n v="630"/>
    <n v="0"/>
    <x v="0"/>
    <x v="37"/>
    <n v="69"/>
    <m/>
    <n v="69"/>
    <m/>
    <m/>
    <m/>
    <n v="4692.6549999999988"/>
    <m/>
    <n v="5002.0200000000004"/>
    <n v="72.493043478260873"/>
    <n v="0.17391304347826086"/>
    <n v="0.42028985507246375"/>
    <n v="0.40579710144927539"/>
    <n v="0"/>
    <n v="0"/>
    <m/>
    <s v="SO"/>
    <n v="0"/>
    <n v="4"/>
    <s v="collectif"/>
    <s v="oui"/>
    <m/>
    <m/>
    <m/>
    <d v="2015-01-27T00:00:00"/>
    <d v="2016-04-15T00:00:00"/>
    <s v="SO"/>
    <s v="LS 118"/>
    <m/>
    <d v="2016-04-02T00:00:00"/>
    <m/>
    <m/>
    <m/>
    <m/>
    <d v="2017-06-13T00:00:00"/>
    <d v="2017-07-13T00:00:00"/>
    <d v="2017-10-05T00:00:00"/>
    <d v="2017-07-27T00:00:00"/>
    <d v="2017-07-13T00:00:00"/>
    <d v="2019-07-13T00:00:00"/>
    <d v="2020-07-13T00:00:00"/>
    <n v="235126.41"/>
    <s v="non"/>
    <n v="3"/>
    <n v="76177.880569269342"/>
    <n v="-158948.52943073068"/>
    <d v="2017-07-04T00:00:00"/>
    <s v="Mairie 09/10/17_x000a_CG 17/10/17"/>
    <m/>
    <m/>
    <m/>
    <m/>
    <m/>
    <m/>
    <m/>
    <m/>
    <m/>
    <m/>
    <m/>
    <m/>
    <m/>
    <m/>
    <m/>
    <m/>
    <s v="LE GOFF"/>
    <s v="SO"/>
    <s v="SO"/>
    <s v="SO"/>
    <s v="SO"/>
    <s v="SO"/>
    <m/>
    <s v="SO"/>
    <m/>
    <m/>
    <m/>
    <m/>
    <s v="0"/>
    <m/>
    <m/>
    <s v="0"/>
    <m/>
    <m/>
    <s v="0"/>
    <m/>
    <m/>
    <s v="0"/>
    <m/>
    <m/>
    <s v="0"/>
    <m/>
    <m/>
    <m/>
    <m/>
    <s v="0"/>
    <m/>
    <x v="34"/>
    <x v="7"/>
    <n v="22.233333333333334"/>
    <s v="0"/>
    <n v="21"/>
    <n v="21"/>
    <m/>
    <d v="2018-11-20T00:00:00"/>
    <s v="0"/>
    <m/>
    <m/>
    <s v="0"/>
    <m/>
    <d v="2018-11-20T00:00:00"/>
    <s v="0"/>
    <d v="2019-01-23T00:00:00"/>
    <d v="2019-01-23T00:00:00"/>
    <n v="0"/>
    <m/>
    <m/>
    <s v="0"/>
    <m/>
    <d v="2018-11-20T00:00:00"/>
    <s v="0"/>
    <d v="2019-04-10T00:00:00"/>
    <d v="2019-04-10T00:00:00"/>
    <n v="0"/>
    <m/>
    <m/>
    <m/>
    <d v="2019-10-29T00:00:00"/>
    <d v="2019-10-29T00:00:00"/>
    <n v="0"/>
    <d v="1901-12-31T00:00:00"/>
    <m/>
    <m/>
    <d v="2020-03-02T00:00:00"/>
    <m/>
    <d v="2019-11-29T00:00:00"/>
    <x v="39"/>
    <x v="6"/>
    <n v="4.166666666666667"/>
    <n v="25392.626856423114"/>
    <n v="105802.61190176298"/>
    <m/>
    <n v="0"/>
    <n v="0"/>
    <m/>
    <m/>
    <n v="0"/>
    <n v="0"/>
    <m/>
    <m/>
    <m/>
    <m/>
    <m/>
    <m/>
    <m/>
    <m/>
    <m/>
    <m/>
    <d v="2020-10-29T00:00:00"/>
    <m/>
    <m/>
    <m/>
    <m/>
    <m/>
    <m/>
    <m/>
    <m/>
    <m/>
    <m/>
    <m/>
    <m/>
    <m/>
    <m/>
    <m/>
    <m/>
    <n v="9081364"/>
    <n v="9081364"/>
    <n v="9081364"/>
    <n v="0"/>
    <n v="1935.2294170357723"/>
    <n v="131613.97101449277"/>
    <n v="8791836.2692203913"/>
    <n v="8791836.2692203913"/>
    <n v="0.98844896326961662"/>
    <n v="2943082"/>
    <n v="2943082"/>
    <n v="2943082"/>
    <n v="42653.362318840576"/>
    <n v="0"/>
    <n v="5336445"/>
    <n v="5336445"/>
    <n v="746372"/>
    <n v="4590073"/>
    <n v="0"/>
    <n v="77339.782608695648"/>
    <m/>
    <n v="700000"/>
    <n v="700000"/>
    <m/>
    <n v="7.7080931895252738E-2"/>
    <m/>
    <n v="101837"/>
    <n v="101837"/>
    <n v="10144.927536231884"/>
    <n v="52798.289855072464"/>
    <n v="1475.8985507246377"/>
    <n v="5.51"/>
    <n v="5.48"/>
    <n v="0"/>
    <n v="0"/>
    <n v="52798.289855072464"/>
    <n v="0"/>
    <n v="52798.289855072464"/>
    <n v="0.40116022218688735"/>
    <n v="0"/>
    <m/>
    <n v="0"/>
    <n v="908136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RPA Du Parc"/>
    <m/>
    <x v="7"/>
    <x v="1"/>
    <x v="6"/>
    <s v="PRLC 0176"/>
    <s v="FHO"/>
    <s v="SRI"/>
    <x v="4"/>
    <m/>
    <s v="BO 206-352"/>
    <s v="compromis vente signé prend fin fin mars 2017 / à proroger à juillet 2019"/>
    <m/>
    <m/>
    <m/>
    <n v="2872"/>
    <n v="516960"/>
    <n v="516960"/>
    <n v="12924"/>
    <n v="180"/>
    <n v="180"/>
    <n v="216.90750717486529"/>
    <n v="12924"/>
    <n v="71.8"/>
    <m/>
    <n v="139.27576601671308"/>
    <m/>
    <m/>
    <m/>
    <x v="0"/>
    <x v="11"/>
    <n v="40"/>
    <m/>
    <n v="40"/>
    <m/>
    <m/>
    <m/>
    <n v="2383.79"/>
    <m/>
    <n v="2383.3200000000002"/>
    <n v="59.583000000000006"/>
    <m/>
    <n v="0.92500000000000004"/>
    <n v="0.05"/>
    <n v="2.5000000000000001E-2"/>
    <m/>
    <m/>
    <m/>
    <m/>
    <n v="3"/>
    <s v="collectif"/>
    <s v="non"/>
    <m/>
    <m/>
    <m/>
    <d v="2015-11-06T00:00:00"/>
    <d v="2016-04-15T00:00:00"/>
    <s v="SO"/>
    <m/>
    <m/>
    <d v="2016-09-16T00:00:00"/>
    <d v="2016-10-14T00:00:00"/>
    <s v="SO"/>
    <s v="SO"/>
    <s v="SO"/>
    <d v="2018-05-21T00:00:00"/>
    <d v="2018-09-25T00:00:00"/>
    <d v="2018-12-25T00:00:00"/>
    <m/>
    <d v="2018-09-25T00:00:00"/>
    <d v="2020-09-25T00:00:00"/>
    <d v="2021-09-25T00:00:00"/>
    <n v="76363"/>
    <s v="non"/>
    <n v="8"/>
    <n v="108688"/>
    <n v="0"/>
    <m/>
    <d v="2018-10-23T00:00:00"/>
    <m/>
    <d v="2018-10-05T00:00:00"/>
    <d v="2018-10-17T00:00:00"/>
    <d v="2018-10-23T00:00:00"/>
    <d v="2018-10-16T00:00:00"/>
    <d v="2018-11-30T00:00:00"/>
    <m/>
    <m/>
    <d v="2018-10-16T00:00:00"/>
    <m/>
    <m/>
    <m/>
    <d v="2018-10-16T00:00:00"/>
    <m/>
    <m/>
    <m/>
    <m/>
    <s v="SO"/>
    <s v="SO"/>
    <s v="SO"/>
    <s v="SO"/>
    <s v="SO"/>
    <m/>
    <s v="SO"/>
    <m/>
    <d v="2015-06-09T00:00:00"/>
    <d v="2015-06-24T00:00:00"/>
    <d v="2015-06-15T00:00:00"/>
    <n v="-9"/>
    <d v="2016-02-15T00:00:00"/>
    <d v="2016-02-15T00:00:00"/>
    <n v="0"/>
    <d v="2016-02-05T00:00:00"/>
    <d v="2016-10-26T00:00:00"/>
    <n v="264"/>
    <d v="2016-04-15T00:00:00"/>
    <d v="2017-09-13T00:00:00"/>
    <n v="516"/>
    <d v="2017-08-18T00:00:00"/>
    <d v="2017-12-01T00:00:00"/>
    <n v="105"/>
    <m/>
    <m/>
    <d v="2018-04-24T00:00:00"/>
    <d v="2018-11-20T00:00:00"/>
    <n v="210"/>
    <d v="2018-05-09T00:00:00"/>
    <x v="39"/>
    <x v="8"/>
    <n v="30.9"/>
    <n v="327"/>
    <n v="16"/>
    <n v="17"/>
    <m/>
    <d v="2018-11-20T00:00:00"/>
    <s v="0"/>
    <m/>
    <d v="2018-11-20T00:00:00"/>
    <s v="0"/>
    <m/>
    <d v="2018-11-20T00:00:00"/>
    <s v="0"/>
    <d v="2019-01-24T00:00:00"/>
    <d v="2019-01-24T00:00:00"/>
    <n v="0"/>
    <m/>
    <m/>
    <s v="0"/>
    <m/>
    <d v="2018-11-20T00:00:00"/>
    <s v="0"/>
    <d v="2019-04-11T00:00:00"/>
    <d v="2019-04-11T00:00:00"/>
    <n v="0"/>
    <m/>
    <m/>
    <m/>
    <d v="2020-08-01T00:00:00"/>
    <d v="2020-09-01T00:00:00"/>
    <n v="1.0333333333333334"/>
    <d v="1901-12-31T00:00:00"/>
    <m/>
    <m/>
    <d v="2021-01-03T00:00:00"/>
    <m/>
    <d v="2020-09-01T00:00:00"/>
    <x v="44"/>
    <x v="6"/>
    <n v="4.1333333333333337"/>
    <n v="13586"/>
    <n v="56155.466666666674"/>
    <m/>
    <n v="0"/>
    <n v="0"/>
    <m/>
    <m/>
    <m/>
    <n v="0"/>
    <m/>
    <m/>
    <m/>
    <s v="lancer AO"/>
    <m/>
    <m/>
    <m/>
    <m/>
    <m/>
    <m/>
    <d v="2021-09-01T00:00:00"/>
    <m/>
    <m/>
    <m/>
    <m/>
    <m/>
    <m/>
    <m/>
    <m/>
    <m/>
    <m/>
    <m/>
    <m/>
    <m/>
    <m/>
    <m/>
    <m/>
    <n v="5086671"/>
    <n v="5196925"/>
    <n v="5196925"/>
    <n v="110254"/>
    <n v="2180.1102446104733"/>
    <n v="129923.125"/>
    <n v="4519361.7020000005"/>
    <n v="4649415"/>
    <n v="0.91343490910490333"/>
    <n v="1517885"/>
    <n v="1640996"/>
    <m/>
    <n v="41024.9"/>
    <n v="123111"/>
    <n v="2768786"/>
    <n v="2755929"/>
    <n v="601956"/>
    <n v="2153973"/>
    <n v="-12857"/>
    <n v="68898.225000000006"/>
    <m/>
    <n v="800000"/>
    <n v="800000"/>
    <m/>
    <n v="0.15393718400785081"/>
    <m/>
    <m/>
    <n v="0"/>
    <n v="20000"/>
    <n v="61024.9"/>
    <n v="0"/>
    <n v="5.76"/>
    <n v="5.7"/>
    <m/>
    <m/>
    <n v="57947.125"/>
    <m/>
    <n v="61024.9"/>
    <n v="0.45567818323614795"/>
    <m/>
    <m/>
    <n v="0"/>
    <n v="5086671"/>
    <m/>
    <m/>
    <m/>
    <m/>
    <m/>
    <n v="251153"/>
    <n v="126076"/>
    <d v="2015-06-25T00:00:00"/>
    <n v="21429"/>
    <m/>
    <m/>
    <d v="2016-09-20T00:00:00"/>
    <n v="12215"/>
    <d v="2016-02-29T00:00:00"/>
    <n v="24930"/>
    <s v="22/12/2016_x000a_22/03/17"/>
    <n v="29829"/>
    <n v="43090"/>
    <n v="37673"/>
    <m/>
    <m/>
    <m/>
    <m/>
    <m/>
    <m/>
    <m/>
    <m/>
    <m/>
    <m/>
    <m/>
    <m/>
    <m/>
    <m/>
    <m/>
    <m/>
    <n v="24930"/>
    <m/>
    <m/>
    <m/>
    <m/>
    <m/>
  </r>
  <r>
    <s v="Hortensias "/>
    <m/>
    <x v="2"/>
    <x v="1"/>
    <x v="6"/>
    <s v="PRLC 0178"/>
    <s v="APU"/>
    <s v="DBE"/>
    <x v="5"/>
    <m/>
    <s v="BX 855"/>
    <s v="coordonnées des propriétaires limitrophes transmis à APU_x000a_courriers faits par BJE aux riverains pour une rencontre"/>
    <m/>
    <m/>
    <m/>
    <n v="785"/>
    <n v="550000"/>
    <n v="550000"/>
    <n v="25000"/>
    <n v="700.63694267515928"/>
    <n v="700.63694267515928"/>
    <n v="325.66153700403231"/>
    <n v="25000"/>
    <n v="35.68181818181818"/>
    <m/>
    <n v="280.25477707006371"/>
    <s v="UAa"/>
    <n v="500"/>
    <m/>
    <x v="0"/>
    <x v="16"/>
    <n v="22"/>
    <m/>
    <n v="22"/>
    <m/>
    <m/>
    <m/>
    <m/>
    <m/>
    <n v="1688.87"/>
    <n v="76.766818181818181"/>
    <m/>
    <n v="0.45454545454545453"/>
    <n v="0.27272727272727271"/>
    <n v="0.22727272727272727"/>
    <n v="4.5454545454545456E-2"/>
    <m/>
    <n v="0"/>
    <n v="0"/>
    <n v="7"/>
    <s v="collectif"/>
    <s v="oui"/>
    <m/>
    <m/>
    <m/>
    <d v="2016-01-27T00:00:00"/>
    <d v="2016-04-15T00:00:00"/>
    <s v="SO"/>
    <m/>
    <m/>
    <d v="2016-08-24T00:00:00"/>
    <d v="2016-10-03T00:00:00"/>
    <s v="SO"/>
    <s v="SO"/>
    <s v="SO"/>
    <d v="2018-07-03T00:00:00"/>
    <d v="2018-09-13T00:00:00"/>
    <d v="2018-12-13T00:00:00"/>
    <m/>
    <d v="2018-09-13T00:00:00"/>
    <d v="2020-09-13T00:00:00"/>
    <d v="2021-09-13T00:00:00"/>
    <n v="57242"/>
    <s v="non"/>
    <n v="9"/>
    <n v="81720"/>
    <n v="0"/>
    <m/>
    <m/>
    <d v="2018-10-16T00:00:00"/>
    <m/>
    <m/>
    <m/>
    <d v="2018-10-16T00:00:00"/>
    <d v="2018-11-30T00:00:00"/>
    <m/>
    <m/>
    <d v="2018-10-18T00:00:00"/>
    <m/>
    <m/>
    <m/>
    <d v="2018-10-16T00:00:00"/>
    <m/>
    <m/>
    <m/>
    <m/>
    <s v="SO"/>
    <s v="SO"/>
    <s v="SO"/>
    <s v="SO"/>
    <s v="SO"/>
    <m/>
    <s v="SO"/>
    <m/>
    <d v="2015-11-23T00:00:00"/>
    <d v="2015-12-15T00:00:00"/>
    <d v="2015-11-18T00:00:00"/>
    <n v="-27"/>
    <d v="2016-02-15T00:00:00"/>
    <d v="2016-02-15T00:00:00"/>
    <n v="0"/>
    <d v="2016-03-15T00:00:00"/>
    <d v="2016-08-16T00:00:00"/>
    <n v="154"/>
    <d v="2017-01-13T00:00:00"/>
    <d v="2017-02-06T00:00:00"/>
    <n v="24"/>
    <d v="2017-03-14T00:00:00"/>
    <d v="2018-02-05T00:00:00"/>
    <n v="328"/>
    <m/>
    <m/>
    <d v="2018-03-30T00:00:00"/>
    <d v="2018-11-20T00:00:00"/>
    <n v="235"/>
    <d v="2018-04-13T00:00:00"/>
    <x v="40"/>
    <x v="8"/>
    <n v="29.9"/>
    <n v="300"/>
    <n v="16"/>
    <n v="17"/>
    <m/>
    <d v="2018-11-20T00:00:00"/>
    <s v="0"/>
    <m/>
    <d v="2018-11-20T00:00:00"/>
    <s v="0"/>
    <m/>
    <d v="2018-11-20T00:00:00"/>
    <s v="0"/>
    <d v="2019-01-25T00:00:00"/>
    <d v="2019-01-25T00:00:00"/>
    <n v="0"/>
    <m/>
    <m/>
    <s v="0"/>
    <m/>
    <d v="2018-11-20T00:00:00"/>
    <s v="0"/>
    <d v="2019-04-12T00:00:00"/>
    <d v="2019-04-12T00:00:00"/>
    <n v="0"/>
    <m/>
    <m/>
    <m/>
    <d v="2020-06-07T00:00:00"/>
    <d v="2020-07-07T00:00:00"/>
    <n v="1"/>
    <d v="1901-12-31T00:00:00"/>
    <m/>
    <m/>
    <d v="2020-11-09T00:00:00"/>
    <m/>
    <d v="2020-07-07T00:00:00"/>
    <x v="45"/>
    <x v="6"/>
    <n v="5.166666666666667"/>
    <n v="9080"/>
    <n v="46913.333333333336"/>
    <m/>
    <n v="46700"/>
    <n v="0"/>
    <m/>
    <m/>
    <m/>
    <n v="0"/>
    <m/>
    <m/>
    <m/>
    <s v="retard études : gestion mitoyens / signature convention_x000a_retard rendu DCE (changement chargé d'affaire INTEGRALE)"/>
    <m/>
    <m/>
    <m/>
    <m/>
    <m/>
    <m/>
    <d v="2021-07-07T00:00:00"/>
    <m/>
    <m/>
    <m/>
    <m/>
    <m/>
    <m/>
    <m/>
    <m/>
    <m/>
    <m/>
    <m/>
    <m/>
    <m/>
    <m/>
    <m/>
    <m/>
    <n v="3709176.2725294223"/>
    <n v="3661369"/>
    <n v="3661369"/>
    <n v="-47807.272529422306"/>
    <e v="#DIV/0!"/>
    <n v="166425.86363636365"/>
    <n v="3142057.6116279075"/>
    <n v="3087171"/>
    <n v="0.86088061350822587"/>
    <n v="1117146.8818248713"/>
    <n v="1211134"/>
    <m/>
    <n v="55051.545454545456"/>
    <n v="93987.118175128708"/>
    <n v="2192029.3907045508"/>
    <n v="2050235"/>
    <n v="370884"/>
    <n v="1679351"/>
    <n v="-141794.39070455078"/>
    <n v="93192.5"/>
    <m/>
    <n v="400000"/>
    <n v="400000"/>
    <m/>
    <n v="0.10924875367656196"/>
    <m/>
    <m/>
    <n v="0"/>
    <n v="18181.81818181818"/>
    <n v="73233.363636363632"/>
    <n v="0"/>
    <n v="5.32"/>
    <n v="5.29"/>
    <m/>
    <m/>
    <n v="68961.221901130513"/>
    <m/>
    <n v="73233.363636363632"/>
    <n v="0.40902528495640184"/>
    <m/>
    <m/>
    <n v="0"/>
    <n v="3709176.2725294223"/>
    <m/>
    <m/>
    <m/>
    <m/>
    <m/>
    <n v="184075"/>
    <n v="92037"/>
    <d v="2016-02-29T00:00:00"/>
    <m/>
    <m/>
    <m/>
    <d v="2016-08-23T00:00:00"/>
    <n v="8765"/>
    <d v="2016-02-29T00:00:00"/>
    <n v="36701"/>
    <s v="12/12/2016_x000a_28/02/17"/>
    <n v="18328"/>
    <n v="42926"/>
    <n v="28243"/>
    <m/>
    <m/>
    <m/>
    <m/>
    <m/>
    <m/>
    <m/>
    <m/>
    <m/>
    <m/>
    <m/>
    <m/>
    <m/>
    <m/>
    <m/>
    <m/>
    <n v="36701"/>
    <m/>
    <m/>
    <m/>
    <m/>
    <m/>
  </r>
  <r>
    <s v="Palissandre"/>
    <m/>
    <x v="2"/>
    <x v="1"/>
    <x v="6"/>
    <s v="PRLC 0110"/>
    <s v="YFR"/>
    <s v="VAF"/>
    <x v="5"/>
    <m/>
    <m/>
    <s v="pas de réseau EU"/>
    <s v="Commune"/>
    <s v="LE GOFF"/>
    <m/>
    <n v="2433"/>
    <n v="487212"/>
    <n v="487212"/>
    <n v="16240.4"/>
    <n v="200.25154130702836"/>
    <n v="200.25154130702836"/>
    <n v="190.87340453038934"/>
    <n v="16240.4"/>
    <n v="81.099999999999994"/>
    <n v="782"/>
    <n v="123.30456226880395"/>
    <s v="UA"/>
    <n v="528"/>
    <n v="0.05"/>
    <x v="1"/>
    <x v="1"/>
    <n v="30"/>
    <n v="30"/>
    <m/>
    <m/>
    <m/>
    <m/>
    <n v="2526.1"/>
    <m/>
    <n v="2552.54"/>
    <n v="85.084666666666664"/>
    <n v="0.13333333333333333"/>
    <n v="0.23333333333333334"/>
    <n v="0.3"/>
    <n v="0.26666666666666666"/>
    <n v="6.6666666666666666E-2"/>
    <m/>
    <n v="0"/>
    <n v="0"/>
    <n v="4.5"/>
    <s v="collectif"/>
    <s v="oui"/>
    <m/>
    <m/>
    <m/>
    <s v="07/06/2012_x000a_06/11/15"/>
    <d v="2011-09-30T00:00:00"/>
    <s v="SO"/>
    <s v="LS 73"/>
    <m/>
    <d v="2016-09-05T00:00:00"/>
    <d v="2016-10-03T00:00:00"/>
    <d v="2014-06-17T00:00:00"/>
    <d v="2014-07-11T00:00:00"/>
    <m/>
    <d v="2018-07-25T00:00:00"/>
    <d v="2018-08-25T00:00:00"/>
    <d v="2018-11-25T00:00:00"/>
    <m/>
    <d v="2018-08-25T00:00:00"/>
    <d v="2020-08-25T00:00:00"/>
    <d v="2021-08-25T00:00:00"/>
    <n v="95303"/>
    <s v="non"/>
    <n v="8"/>
    <n v="132120"/>
    <n v="0"/>
    <m/>
    <m/>
    <m/>
    <m/>
    <m/>
    <m/>
    <m/>
    <m/>
    <m/>
    <m/>
    <m/>
    <m/>
    <m/>
    <m/>
    <m/>
    <m/>
    <m/>
    <m/>
    <s v="LE GOFF"/>
    <s v="SO"/>
    <s v="SO"/>
    <s v="SO"/>
    <s v="SO"/>
    <s v="SO"/>
    <m/>
    <s v="SO"/>
    <m/>
    <d v="2011-07-10T00:00:00"/>
    <d v="2011-07-30T00:00:00"/>
    <d v="2011-07-11T00:00:00"/>
    <n v="-19"/>
    <d v="2011-12-08T00:00:00"/>
    <d v="2016-02-04T00:00:00"/>
    <n v="1519"/>
    <d v="2011-11-18T00:00:00"/>
    <d v="2012-01-03T00:00:00"/>
    <n v="46"/>
    <d v="2012-02-10T00:00:00"/>
    <d v="2013-05-22T00:00:00"/>
    <n v="467"/>
    <m/>
    <m/>
    <s v="0"/>
    <m/>
    <m/>
    <d v="2018-06-25T00:00:00"/>
    <d v="2018-11-20T00:00:00"/>
    <n v="148"/>
    <d v="2018-07-10T00:00:00"/>
    <x v="41"/>
    <x v="8"/>
    <n v="29.766666666666666"/>
    <n v="220"/>
    <n v="16"/>
    <n v="17"/>
    <m/>
    <d v="2018-11-20T00:00:00"/>
    <s v="0"/>
    <m/>
    <d v="2018-11-20T00:00:00"/>
    <s v="0"/>
    <m/>
    <d v="2018-11-20T00:00:00"/>
    <s v="0"/>
    <d v="2019-01-26T00:00:00"/>
    <d v="2019-01-26T00:00:00"/>
    <n v="0"/>
    <m/>
    <m/>
    <s v="0"/>
    <m/>
    <d v="2018-11-20T00:00:00"/>
    <s v="0"/>
    <d v="2019-04-13T00:00:00"/>
    <d v="2019-04-13T00:00:00"/>
    <n v="0"/>
    <m/>
    <m/>
    <m/>
    <d v="2020-06-15T00:00:00"/>
    <d v="2020-07-15T00:00:00"/>
    <n v="1"/>
    <d v="1901-12-31T00:00:00"/>
    <m/>
    <m/>
    <d v="2020-11-17T00:00:00"/>
    <m/>
    <d v="2020-07-15T00:00:00"/>
    <x v="46"/>
    <x v="6"/>
    <n v="5.166666666666667"/>
    <n v="16515"/>
    <n v="85327.5"/>
    <m/>
    <n v="0"/>
    <n v="0"/>
    <m/>
    <m/>
    <m/>
    <n v="0"/>
    <m/>
    <m/>
    <s v="attente schéma directeur EP pour lever réserve BCT sur évacuation EP = réunion Boyer 24/02_x000a_attente DCE indice 2_x000a_analyser offres désamiantage"/>
    <s v="lancer désamiantage / étude hydraulique à réaliser pour confirmation hyp SEGC_x000a_perte de temps sur la phase DCE pour consolider étude hydraulique"/>
    <m/>
    <m/>
    <m/>
    <m/>
    <m/>
    <m/>
    <d v="2021-07-15T00:00:00"/>
    <m/>
    <m/>
    <m/>
    <m/>
    <m/>
    <m/>
    <m/>
    <m/>
    <m/>
    <m/>
    <m/>
    <m/>
    <m/>
    <m/>
    <s v="oui"/>
    <m/>
    <n v="4943384.7071162229"/>
    <n v="5371395"/>
    <n v="5371395"/>
    <n v="428010.29288377706"/>
    <n v="2126.3588139820276"/>
    <n v="179046.5"/>
    <n v="4257022.3269400001"/>
    <n v="4316430"/>
    <n v="0.82047122395578787"/>
    <n v="1487646.5617181344"/>
    <n v="1695164"/>
    <m/>
    <n v="56505.466666666667"/>
    <n v="207517.43828186556"/>
    <n v="3185738.1453980887"/>
    <n v="3406231"/>
    <n v="749753"/>
    <n v="2656478"/>
    <n v="220492.85460191127"/>
    <n v="113541.03333333334"/>
    <n v="0"/>
    <n v="270000"/>
    <n v="270000"/>
    <m/>
    <n v="5.026627161100608E-2"/>
    <m/>
    <n v="0"/>
    <n v="0"/>
    <n v="9000"/>
    <n v="65505.466666666667"/>
    <n v="0"/>
    <n v="6.47"/>
    <n v="5.76"/>
    <n v="0"/>
    <n v="0"/>
    <n v="58588.218723937818"/>
    <n v="0"/>
    <n v="65505.466666666667"/>
    <n v="0.3555552856705495"/>
    <m/>
    <m/>
    <n v="0"/>
    <n v="4943384.7071162229"/>
    <m/>
    <m/>
    <m/>
    <m/>
    <m/>
    <n v="236430"/>
    <n v="184131.89400921657"/>
    <d v="2011-08-24T00:00:00"/>
    <n v="3705"/>
    <m/>
    <m/>
    <d v="2011-12-15T00:00:00"/>
    <n v="11608"/>
    <d v="2011-12-15T00:00:00"/>
    <n v="42727"/>
    <d v="2012-10-11T00:00:00"/>
    <n v="25155"/>
    <n v="42615"/>
    <n v="35020"/>
    <m/>
    <m/>
    <d v="2016-12-15T00:00:00"/>
    <n v="65916.894009216587"/>
    <m/>
    <m/>
    <m/>
    <m/>
    <m/>
    <m/>
    <m/>
    <m/>
    <m/>
    <m/>
    <m/>
    <m/>
    <n v="42727"/>
    <m/>
    <m/>
    <m/>
    <m/>
    <m/>
  </r>
  <r>
    <s v="Bras de la Plaine"/>
    <s v="ok - reste Excel"/>
    <x v="9"/>
    <x v="1"/>
    <x v="6"/>
    <s v="PRLC 0180"/>
    <s v="FBR"/>
    <s v="VAF"/>
    <x v="5"/>
    <m/>
    <s v="AS 603"/>
    <s v="bornage signé mais remis en cause / servitude de tréfonds SAPHIR_x000a_prorogation EPFR jusqu'au 11/09/2019 : avenant à recevoir"/>
    <m/>
    <m/>
    <m/>
    <n v="2307"/>
    <n v="184560"/>
    <n v="184560"/>
    <n v="10253.333333333334"/>
    <n v="80"/>
    <n v="80"/>
    <n v="136.34953235124632"/>
    <n v="10253.333333333334"/>
    <n v="128.16666666666666"/>
    <m/>
    <n v="78.023407022106639"/>
    <m/>
    <n v="380"/>
    <m/>
    <x v="0"/>
    <x v="25"/>
    <n v="18"/>
    <m/>
    <n v="18"/>
    <m/>
    <m/>
    <m/>
    <n v="1427.7"/>
    <m/>
    <n v="1353.58"/>
    <n v="75.198888888888888"/>
    <n v="0.1111111111111111"/>
    <n v="0.33333333333333331"/>
    <n v="0.3888888888888889"/>
    <n v="0.16666666666666666"/>
    <m/>
    <m/>
    <m/>
    <m/>
    <m/>
    <s v="collectif"/>
    <s v="oui"/>
    <m/>
    <m/>
    <m/>
    <d v="2016-01-27T00:00:00"/>
    <d v="2016-04-15T00:00:00"/>
    <s v="SO"/>
    <m/>
    <m/>
    <d v="2016-09-07T00:00:00"/>
    <d v="2016-10-03T00:00:00"/>
    <m/>
    <m/>
    <m/>
    <d v="2018-11-30T00:00:00"/>
    <d v="2018-12-30T00:00:00"/>
    <d v="2019-03-30T00:00:00"/>
    <m/>
    <d v="2018-12-30T00:00:00"/>
    <d v="2020-12-30T00:00:00"/>
    <d v="2021-12-30T00:00:00"/>
    <n v="44850"/>
    <s v="non"/>
    <n v="5"/>
    <n v="36435"/>
    <n v="-8415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5-10-15T00:00:00"/>
    <d v="2015-10-30T00:00:00"/>
    <d v="2015-10-15T00:00:00"/>
    <n v="-15"/>
    <d v="2016-02-12T00:00:00"/>
    <d v="2016-02-12T00:00:00"/>
    <n v="0"/>
    <d v="2016-03-25T00:00:00"/>
    <d v="2016-08-11T00:00:00"/>
    <n v="139"/>
    <d v="2016-04-12T00:00:00"/>
    <d v="2016-11-16T00:00:00"/>
    <n v="218"/>
    <d v="2016-12-23T00:00:00"/>
    <d v="2017-06-19T00:00:00"/>
    <n v="178"/>
    <m/>
    <m/>
    <d v="2018-02-05T00:00:00"/>
    <d v="2018-11-20T00:00:00"/>
    <n v="288"/>
    <d v="2018-02-20T00:00:00"/>
    <x v="42"/>
    <x v="8"/>
    <n v="34.700000000000003"/>
    <n v="510"/>
    <n v="16"/>
    <n v="19"/>
    <m/>
    <d v="2018-11-20T00:00:00"/>
    <s v="0"/>
    <m/>
    <d v="2018-11-20T00:00:00"/>
    <s v="0"/>
    <m/>
    <d v="2018-11-20T00:00:00"/>
    <s v="0"/>
    <d v="2019-01-27T00:00:00"/>
    <d v="2019-01-27T00:00:00"/>
    <n v="0"/>
    <m/>
    <m/>
    <s v="0"/>
    <m/>
    <d v="2018-11-20T00:00:00"/>
    <s v="0"/>
    <d v="2019-04-14T00:00:00"/>
    <d v="2019-04-14T00:00:00"/>
    <n v="0"/>
    <m/>
    <m/>
    <m/>
    <d v="2020-11-15T00:00:00"/>
    <d v="2021-02-15T00:00:00"/>
    <n v="3.0666666666666669"/>
    <d v="1901-12-31T00:00:00"/>
    <m/>
    <m/>
    <d v="2021-06-17T00:00:00"/>
    <m/>
    <d v="2020-12-15T00:00:00"/>
    <x v="47"/>
    <x v="6"/>
    <n v="7.1333333333333337"/>
    <n v="7287"/>
    <n v="51980.600000000006"/>
    <m/>
    <n v="0"/>
    <n v="0"/>
    <m/>
    <m/>
    <m/>
    <n v="0"/>
    <m/>
    <m/>
    <s v=" "/>
    <m/>
    <m/>
    <m/>
    <m/>
    <m/>
    <m/>
    <m/>
    <d v="2022-02-15T00:00:00"/>
    <m/>
    <m/>
    <m/>
    <m/>
    <m/>
    <m/>
    <m/>
    <m/>
    <m/>
    <m/>
    <m/>
    <m/>
    <m/>
    <m/>
    <m/>
    <m/>
    <n v="2835176.7292601359"/>
    <n v="2990819"/>
    <n v="2990819"/>
    <n v="155642.27073986409"/>
    <n v="2094.8511592071163"/>
    <n v="166156.61111111112"/>
    <n v="2485795.7500000005"/>
    <n v="2579834.0699999998"/>
    <n v="0.88069876026265714"/>
    <n v="896735"/>
    <n v="1097604"/>
    <m/>
    <n v="60978"/>
    <n v="200869"/>
    <n v="1668441.7292601359"/>
    <n v="1611685"/>
    <n v="319456"/>
    <n v="1292229"/>
    <n v="-56756.729260135908"/>
    <n v="89538.055555555562"/>
    <m/>
    <n v="270000"/>
    <n v="270000"/>
    <m/>
    <n v="9.0276275495106861E-2"/>
    <m/>
    <n v="11530"/>
    <n v="11530"/>
    <n v="15000"/>
    <n v="75978"/>
    <n v="640.55555555555554"/>
    <n v="5.36"/>
    <n v="5.36"/>
    <m/>
    <m/>
    <n v="64818.611111111109"/>
    <m/>
    <n v="75978"/>
    <n v="0.41152108366255874"/>
    <m/>
    <m/>
    <n v="0"/>
    <n v="2835176.7292601359"/>
    <m/>
    <m/>
    <m/>
    <m/>
    <m/>
    <n v="140149"/>
    <n v="70074"/>
    <d v="2016-03-01T00:00:00"/>
    <m/>
    <m/>
    <m/>
    <d v="2016-05-11T00:00:00"/>
    <n v="7875"/>
    <d v="2016-03-01T00:00:00"/>
    <n v="27162"/>
    <d v="2016-10-26T00:00:00"/>
    <n v="14015"/>
    <s v="13/12/2016_x000a_24/02/17"/>
    <n v="21022"/>
    <m/>
    <m/>
    <m/>
    <m/>
    <m/>
    <m/>
    <m/>
    <m/>
    <m/>
    <m/>
    <m/>
    <m/>
    <m/>
    <m/>
    <m/>
    <m/>
    <n v="27162"/>
    <m/>
    <m/>
    <m/>
    <m/>
    <m/>
  </r>
  <r>
    <s v="VEFA EQUILIBRE"/>
    <m/>
    <x v="7"/>
    <x v="1"/>
    <x v="7"/>
    <m/>
    <s v="YFR"/>
    <s v="DBA"/>
    <x v="5"/>
    <m/>
    <s v="CI 192"/>
    <m/>
    <m/>
    <m/>
    <m/>
    <n v="10895"/>
    <n v="949780"/>
    <n v="949780"/>
    <n v="25669.72972972973"/>
    <n v="87.175768701239107"/>
    <n v="87.175768701239107"/>
    <n v="296.99372729035201"/>
    <n v="25669.72972972973"/>
    <n v="294.45945945945948"/>
    <m/>
    <n v="33.960532354290962"/>
    <m/>
    <n v="650"/>
    <m/>
    <x v="0"/>
    <x v="22"/>
    <n v="37"/>
    <m/>
    <n v="37"/>
    <m/>
    <m/>
    <n v="3032.98"/>
    <n v="3196.53"/>
    <n v="3197.98"/>
    <n v="3197.98"/>
    <n v="86.431891891891894"/>
    <m/>
    <m/>
    <m/>
    <m/>
    <m/>
    <m/>
    <m/>
    <m/>
    <m/>
    <s v="MDV"/>
    <s v="oui"/>
    <n v="6377000"/>
    <n v="1994.0712574812851"/>
    <m/>
    <d v="2017-01-26T00:00:00"/>
    <d v="2017-01-26T00:00:00"/>
    <s v="SO"/>
    <m/>
    <m/>
    <d v="2017-09-20T00:00:00"/>
    <m/>
    <m/>
    <m/>
    <m/>
    <d v="2018-07-11T00:00:00"/>
    <d v="2018-08-11T00:00:00"/>
    <d v="2018-11-11T00:00:00"/>
    <m/>
    <d v="2018-08-11T00:00:00"/>
    <d v="2020-08-11T00:00:00"/>
    <d v="2021-08-11T00:00:00"/>
    <m/>
    <s v="non"/>
    <n v="1438"/>
    <n v="0"/>
    <n v="0"/>
    <m/>
    <m/>
    <m/>
    <m/>
    <m/>
    <m/>
    <m/>
    <m/>
    <m/>
    <m/>
    <m/>
    <m/>
    <m/>
    <m/>
    <m/>
    <m/>
    <m/>
    <m/>
    <m/>
    <s v="SO"/>
    <m/>
    <n v="6377000.5999999996"/>
    <s v="SO"/>
    <s v="SO"/>
    <m/>
    <m/>
    <m/>
    <m/>
    <m/>
    <m/>
    <s v="0"/>
    <m/>
    <m/>
    <s v="0"/>
    <m/>
    <m/>
    <s v="0"/>
    <m/>
    <m/>
    <s v="0"/>
    <m/>
    <d v="2018-11-20T00:00:00"/>
    <s v="0"/>
    <m/>
    <m/>
    <m/>
    <d v="2018-11-20T00:00:00"/>
    <s v="0"/>
    <m/>
    <x v="43"/>
    <x v="8"/>
    <e v="#NUM!"/>
    <s v="0"/>
    <n v="16"/>
    <n v="16"/>
    <m/>
    <d v="2018-11-20T00:00:00"/>
    <s v="0"/>
    <m/>
    <d v="2018-11-20T00:00:00"/>
    <s v="0"/>
    <m/>
    <d v="2018-11-20T00:00:00"/>
    <s v="0"/>
    <d v="2019-01-28T00:00:00"/>
    <d v="2019-01-28T00:00:00"/>
    <n v="0"/>
    <m/>
    <m/>
    <s v="0"/>
    <m/>
    <d v="2018-11-20T00:00:00"/>
    <s v="0"/>
    <d v="2019-04-15T00:00:00"/>
    <d v="2019-04-15T00:00:00"/>
    <n v="0"/>
    <m/>
    <m/>
    <m/>
    <d v="1901-04-30T00:00:00"/>
    <d v="1901-05-30T00:00:00"/>
    <n v="1"/>
    <d v="1901-12-31T00:00:00"/>
    <m/>
    <m/>
    <d v="1901-10-02T00:00:00"/>
    <m/>
    <d v="1901-05-30T00:00:00"/>
    <x v="48"/>
    <x v="6"/>
    <n v="4.166666666666667"/>
    <m/>
    <n v="0"/>
    <m/>
    <n v="0"/>
    <n v="0"/>
    <m/>
    <m/>
    <m/>
    <n v="0"/>
    <m/>
    <m/>
    <s v="courrier de MAP financière / technique faite au promoteur"/>
    <m/>
    <m/>
    <m/>
    <m/>
    <m/>
    <m/>
    <m/>
    <d v="1902-05-30T00:00:00"/>
    <m/>
    <m/>
    <m/>
    <m/>
    <m/>
    <m/>
    <m/>
    <m/>
    <m/>
    <m/>
    <m/>
    <m/>
    <m/>
    <m/>
    <m/>
    <m/>
    <n v="6545033"/>
    <n v="6863538.2000000002"/>
    <n v="6863538.2000000002"/>
    <n v="318505.20000000019"/>
    <n v="2147.1840401935847"/>
    <n v="185501.03243243243"/>
    <m/>
    <n v="6233418.6500000004"/>
    <n v="0.92726524661143417"/>
    <n v="1969908"/>
    <n v="2271739"/>
    <m/>
    <n v="61398.351351351354"/>
    <n v="301831"/>
    <n v="3915125"/>
    <n v="3931799.2"/>
    <n v="1087640.28"/>
    <n v="2844158.92"/>
    <n v="16674.200000000186"/>
    <n v="106264.84324324325"/>
    <m/>
    <n v="660000"/>
    <n v="660000"/>
    <m/>
    <n v="9.6160315680912212E-2"/>
    <m/>
    <m/>
    <n v="0"/>
    <n v="17837.837837837837"/>
    <n v="79236.189189189186"/>
    <n v="0"/>
    <n v="5.15"/>
    <n v="5.0999999999999996"/>
    <m/>
    <m/>
    <n v="71078.5945945946"/>
    <m/>
    <n v="79236.189189189186"/>
    <n v="0.4018173781553126"/>
    <m/>
    <m/>
    <n v="0"/>
    <n v="65450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Raisins Marines (Hopital)"/>
    <m/>
    <x v="1"/>
    <x v="0"/>
    <x v="7"/>
    <s v="PRLC 0195"/>
    <s v="YFR"/>
    <s v="VAF"/>
    <x v="3"/>
    <m/>
    <s v="ET 909 / 1256"/>
    <m/>
    <m/>
    <m/>
    <m/>
    <n v="4801"/>
    <n v="473822"/>
    <n v="473822"/>
    <n v="15794.066666666668"/>
    <n v="98.692355759216824"/>
    <n v="98.692355759216824"/>
    <n v="277.36300788498573"/>
    <n v="15794.066666666668"/>
    <n v="160.03333333333333"/>
    <m/>
    <n v="62.486981878775254"/>
    <m/>
    <m/>
    <m/>
    <x v="0"/>
    <x v="1"/>
    <n v="30"/>
    <m/>
    <n v="30"/>
    <m/>
    <m/>
    <n v="1699.31"/>
    <n v="1708.31"/>
    <n v="1708.31"/>
    <n v="1708.31"/>
    <n v="56.943666666666665"/>
    <m/>
    <m/>
    <m/>
    <m/>
    <m/>
    <m/>
    <m/>
    <m/>
    <m/>
    <s v="collectif"/>
    <s v="non"/>
    <n v="3564776"/>
    <n v="2086.7266479737286"/>
    <m/>
    <m/>
    <m/>
    <s v="SO"/>
    <m/>
    <s v="SO"/>
    <d v="2017-06-23T00:00:00"/>
    <m/>
    <m/>
    <m/>
    <m/>
    <d v="2017-08-20T00:00:00"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n v="3443980.72"/>
    <s v="SO"/>
    <s v="SO"/>
    <d v="2018-02-14T00:00:00"/>
    <d v="2019-10-30T00:00:00"/>
    <n v="-4.5333333333333332"/>
    <m/>
    <m/>
    <m/>
    <s v="0"/>
    <d v="2017-02-06T00:00:00"/>
    <d v="2016-12-27T00:00:00"/>
    <n v="-41"/>
    <m/>
    <m/>
    <s v="0"/>
    <m/>
    <m/>
    <s v="0"/>
    <m/>
    <m/>
    <s v="0"/>
    <m/>
    <m/>
    <d v="2017-11-30T00:00:00"/>
    <d v="2017-12-04T00:00:00"/>
    <n v="4"/>
    <d v="2017-12-11T00:00:00"/>
    <x v="44"/>
    <x v="6"/>
    <n v="5.3666666666666663"/>
    <n v="-10"/>
    <n v="15"/>
    <n v="15"/>
    <m/>
    <d v="2018-11-20T00:00:00"/>
    <s v="0"/>
    <m/>
    <d v="2018-02-14T00:00:00"/>
    <s v="0"/>
    <m/>
    <d v="2018-11-20T00:00:00"/>
    <s v="0"/>
    <d v="2019-01-29T00:00:00"/>
    <d v="2019-01-29T00:00:00"/>
    <n v="0"/>
    <m/>
    <m/>
    <s v="0"/>
    <m/>
    <d v="2018-11-20T00:00:00"/>
    <s v="0"/>
    <d v="2019-04-16T00:00:00"/>
    <d v="2019-04-16T00:00:00"/>
    <n v="0"/>
    <m/>
    <m/>
    <m/>
    <d v="2019-03-01T00:00:00"/>
    <d v="2019-03-01T00:00:00"/>
    <n v="0"/>
    <d v="2020-02-14T00:00:00"/>
    <m/>
    <d v="2018-10-19T00:00:00"/>
    <d v="2019-07-03T00:00:00"/>
    <m/>
    <d v="2019-04-01T00:00:00"/>
    <x v="49"/>
    <x v="6"/>
    <n v="2.5333333333333332"/>
    <n v="6939.2816730000004"/>
    <n v="17579.5135716"/>
    <m/>
    <n v="0"/>
    <n v="0"/>
    <n v="0"/>
    <m/>
    <n v="0"/>
    <n v="0"/>
    <m/>
    <m/>
    <m/>
    <m/>
    <m/>
    <m/>
    <m/>
    <m/>
    <m/>
    <m/>
    <d v="2020-03-01T00:00:00"/>
    <m/>
    <m/>
    <m/>
    <m/>
    <m/>
    <m/>
    <m/>
    <m/>
    <m/>
    <m/>
    <m/>
    <m/>
    <m/>
    <m/>
    <m/>
    <m/>
    <n v="3803779.2429890437"/>
    <n v="3855387"/>
    <n v="3855387"/>
    <n v="51607.757010956295"/>
    <n v="2256.8427276079869"/>
    <n v="128512.9"/>
    <m/>
    <m/>
    <n v="0"/>
    <n v="1081657"/>
    <n v="1181624"/>
    <n v="1181624"/>
    <n v="39387.466666666667"/>
    <n v="99967"/>
    <n v="2022122.2429890437"/>
    <n v="1973763"/>
    <n v="459254"/>
    <n v="1514509"/>
    <n v="-48359.242989043705"/>
    <n v="65792.100000000006"/>
    <m/>
    <n v="700000"/>
    <n v="700000"/>
    <m/>
    <n v="0.18156413350981368"/>
    <m/>
    <m/>
    <n v="0"/>
    <n v="23333.333333333332"/>
    <n v="62720.800000000003"/>
    <n v="0"/>
    <m/>
    <m/>
    <m/>
    <m/>
    <n v="59388.566666666666"/>
    <m/>
    <n v="62720.800000000003"/>
    <n v="0.46839127251768636"/>
    <m/>
    <m/>
    <n v="0"/>
    <n v="3803779.2429890437"/>
    <m/>
    <m/>
    <m/>
    <m/>
    <m/>
    <n v="178239"/>
    <n v="131898"/>
    <m/>
    <m/>
    <m/>
    <m/>
    <m/>
    <m/>
    <d v="2017-04-04T00:00:00"/>
    <n v="43954"/>
    <m/>
    <m/>
    <m/>
    <m/>
    <m/>
    <m/>
    <d v="2017-12-05T00:00:00"/>
    <n v="54078"/>
    <d v="2017-12-23T00:00:00"/>
    <n v="17824"/>
    <d v="2018-02-22T00:00:00"/>
    <n v="8912"/>
    <d v="2018-11-13T00:00:00"/>
    <n v="7130"/>
    <m/>
    <m/>
    <m/>
    <m/>
    <m/>
    <m/>
    <n v="43954"/>
    <m/>
    <m/>
    <m/>
    <m/>
    <m/>
  </r>
  <r>
    <s v="VEFA CROUS St Pierre"/>
    <m/>
    <x v="1"/>
    <x v="0"/>
    <x v="7"/>
    <s v="PRLC 0193"/>
    <s v="FVA"/>
    <s v="GGO"/>
    <x v="3"/>
    <m/>
    <s v="EN 1337 p"/>
    <m/>
    <m/>
    <m/>
    <m/>
    <n v="3474"/>
    <n v="1"/>
    <m/>
    <n v="5.0000000000000001E-3"/>
    <n v="2.878526194588371E-4"/>
    <n v="0"/>
    <n v="0"/>
    <n v="0"/>
    <n v="17.37"/>
    <m/>
    <n v="575.70523891767414"/>
    <m/>
    <n v="70"/>
    <m/>
    <x v="2"/>
    <x v="38"/>
    <n v="200"/>
    <m/>
    <m/>
    <n v="200"/>
    <m/>
    <n v="3391.22"/>
    <n v="4327.3599999999997"/>
    <n v="4050.95"/>
    <n v="4050.95"/>
    <n v="20.254749999999998"/>
    <m/>
    <m/>
    <m/>
    <m/>
    <m/>
    <m/>
    <m/>
    <m/>
    <m/>
    <s v="collectif"/>
    <s v="oui"/>
    <n v="10739152"/>
    <n v="2651.0206247917158"/>
    <m/>
    <m/>
    <m/>
    <m/>
    <m/>
    <m/>
    <d v="2017-10-16T00:00:00"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d v="2018-03-23T00:00:00"/>
    <m/>
    <m/>
    <s v="SO"/>
    <s v="SO"/>
    <m/>
    <d v="2019-08-16T00:00:00"/>
    <n v="0"/>
    <m/>
    <m/>
    <m/>
    <s v="0"/>
    <d v="2017-02-06T00:00:00"/>
    <d v="2017-05-16T00:00:00"/>
    <n v="99"/>
    <m/>
    <m/>
    <s v="0"/>
    <m/>
    <m/>
    <s v="0"/>
    <m/>
    <m/>
    <s v="0"/>
    <m/>
    <m/>
    <d v="2017-06-01T00:00:00"/>
    <d v="2017-12-27T00:00:00"/>
    <n v="209"/>
    <d v="2017-06-15T00:00:00"/>
    <x v="45"/>
    <x v="6"/>
    <n v="2.2333333333333334"/>
    <n v="190"/>
    <n v="18"/>
    <n v="18"/>
    <m/>
    <d v="2018-03-08T00:00:00"/>
    <s v="0"/>
    <m/>
    <d v="2008-05-31T00:00:00"/>
    <s v="0"/>
    <m/>
    <d v="2018-11-20T00:00:00"/>
    <s v="0"/>
    <d v="2019-01-30T00:00:00"/>
    <d v="2019-01-30T00:00:00"/>
    <n v="0"/>
    <m/>
    <m/>
    <s v="0"/>
    <m/>
    <d v="2018-11-20T00:00:00"/>
    <s v="0"/>
    <d v="2019-04-17T00:00:00"/>
    <d v="2019-04-17T00:00:00"/>
    <n v="0"/>
    <m/>
    <m/>
    <m/>
    <d v="2019-06-22T00:00:00"/>
    <d v="2019-06-22T00:00:00"/>
    <n v="0"/>
    <d v="1901-12-31T00:00:00"/>
    <m/>
    <m/>
    <d v="2019-10-24T00:00:00"/>
    <m/>
    <d v="2019-07-22T00:00:00"/>
    <x v="42"/>
    <x v="6"/>
    <n v="0.83333333333333337"/>
    <m/>
    <n v="0"/>
    <m/>
    <n v="0"/>
    <n v="0"/>
    <m/>
    <m/>
    <m/>
    <n v="0"/>
    <m/>
    <m/>
    <m/>
    <m/>
    <m/>
    <m/>
    <m/>
    <m/>
    <m/>
    <m/>
    <d v="2020-06-22T00:00:00"/>
    <m/>
    <m/>
    <m/>
    <m/>
    <m/>
    <m/>
    <m/>
    <m/>
    <m/>
    <m/>
    <m/>
    <m/>
    <m/>
    <m/>
    <m/>
    <m/>
    <n v="15377280.710000001"/>
    <n v="11616559.710000001"/>
    <n v="11616559.710000001"/>
    <n v="-3760721"/>
    <n v="2684.4449525807886"/>
    <n v="58082.798550000007"/>
    <m/>
    <m/>
    <n v="0"/>
    <n v="0"/>
    <n v="3306813"/>
    <n v="3306813"/>
    <n v="16534.064999999999"/>
    <n v="3306813"/>
    <n v="10921593"/>
    <n v="5854059"/>
    <m/>
    <m/>
    <n v="-5067534"/>
    <n v="29270.294999999998"/>
    <m/>
    <n v="2000000"/>
    <m/>
    <m/>
    <n v="0"/>
    <m/>
    <n v="2455687.71"/>
    <n v="455687.70999999996"/>
    <n v="0"/>
    <n v="16534.064999999999"/>
    <n v="2278.4385499999999"/>
    <m/>
    <m/>
    <m/>
    <m/>
    <n v="10000"/>
    <m/>
    <n v="16534.064999999999"/>
    <n v="0.13006200756284431"/>
    <m/>
    <m/>
    <n v="0"/>
    <n v="15377280.710000001"/>
    <m/>
    <m/>
    <m/>
    <m/>
    <m/>
    <n v="364819"/>
    <n v="302800"/>
    <m/>
    <m/>
    <m/>
    <m/>
    <d v="2016-12-23T00:00:00"/>
    <n v="51495"/>
    <d v="2017-06-09T00:00:00"/>
    <n v="34330"/>
    <d v="2017-12-05T00:00:00"/>
    <n v="41862"/>
    <m/>
    <m/>
    <m/>
    <m/>
    <m/>
    <m/>
    <d v="2017-12-23T00:00:00"/>
    <n v="54723"/>
    <s v="08/03/2018_x000a_06/06/2018"/>
    <n v="80260"/>
    <s v="10/07/2018_x000a_29/08/18"/>
    <n v="40130"/>
    <m/>
    <m/>
    <m/>
    <m/>
    <m/>
    <m/>
    <n v="34330"/>
    <m/>
    <m/>
    <m/>
    <m/>
    <m/>
  </r>
  <r>
    <s v="Hubert Delisle"/>
    <m/>
    <x v="2"/>
    <x v="1"/>
    <x v="7"/>
    <m/>
    <s v="JER"/>
    <s v="NLE"/>
    <x v="4"/>
    <m/>
    <s v="BR 1091"/>
    <s v="pas de justificatif_x000a_récupérer fiche immeuble"/>
    <m/>
    <m/>
    <m/>
    <m/>
    <m/>
    <m/>
    <m/>
    <m/>
    <m/>
    <m/>
    <m/>
    <m/>
    <m/>
    <e v="#DIV/0!"/>
    <m/>
    <m/>
    <m/>
    <x v="3"/>
    <x v="39"/>
    <n v="0"/>
    <m/>
    <m/>
    <m/>
    <n v="74"/>
    <m/>
    <m/>
    <m/>
    <m/>
    <n v="0"/>
    <m/>
    <m/>
    <m/>
    <m/>
    <m/>
    <m/>
    <m/>
    <m/>
    <m/>
    <m/>
    <m/>
    <m/>
    <m/>
    <m/>
    <m/>
    <m/>
    <m/>
    <m/>
    <m/>
    <d v="2017-10-31T00:00:00"/>
    <m/>
    <m/>
    <m/>
    <m/>
    <d v="2017-12-12T00:00:00"/>
    <d v="2018-05-15T00:00:00"/>
    <d v="2018-08-15T00:00:00"/>
    <m/>
    <d v="2018-05-15T00:00:00"/>
    <d v="2020-05-15T00:00:00"/>
    <d v="2021-05-15T00:00:00"/>
    <m/>
    <s v="non"/>
    <n v="16"/>
    <n v="0"/>
    <n v="0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d v="2016-09-19T00:00:00"/>
    <m/>
    <m/>
    <s v="0"/>
    <d v="2017-05-15T00:00:00"/>
    <d v="2017-05-24T00:00:00"/>
    <n v="9"/>
    <d v="2017-03-20T00:00:00"/>
    <d v="2017-04-26T00:00:00"/>
    <n v="37"/>
    <d v="2017-05-19T00:00:00"/>
    <d v="2017-07-19T00:00:00"/>
    <n v="61"/>
    <d v="2017-07-20T00:00:00"/>
    <d v="2017-07-19T00:00:00"/>
    <n v="-1"/>
    <m/>
    <d v="2018-05-29T00:00:00"/>
    <d v="2017-12-05T00:00:00"/>
    <d v="2018-11-20T00:00:00"/>
    <n v="350"/>
    <d v="2017-12-12T00:00:00"/>
    <x v="46"/>
    <x v="7"/>
    <n v="10.533333333333333"/>
    <n v="274"/>
    <n v="12"/>
    <n v="12"/>
    <m/>
    <d v="2018-11-20T00:00:00"/>
    <s v="0"/>
    <m/>
    <d v="2018-11-20T00:00:00"/>
    <s v="0"/>
    <m/>
    <d v="2018-11-20T00:00:00"/>
    <s v="0"/>
    <d v="2019-01-31T00:00:00"/>
    <d v="2019-01-31T00:00:00"/>
    <n v="0"/>
    <m/>
    <m/>
    <s v="0"/>
    <m/>
    <d v="2018-11-20T00:00:00"/>
    <s v="0"/>
    <d v="2019-04-18T00:00:00"/>
    <d v="2019-04-18T00:00:00"/>
    <n v="0"/>
    <m/>
    <m/>
    <m/>
    <d v="2019-09-12T00:00:00"/>
    <d v="2019-09-12T00:00:00"/>
    <n v="0"/>
    <m/>
    <m/>
    <m/>
    <d v="2020-01-14T00:00:00"/>
    <m/>
    <d v="2019-10-12T00:00:00"/>
    <x v="50"/>
    <x v="6"/>
    <n v="3.1333333333333333"/>
    <m/>
    <n v="0"/>
    <m/>
    <n v="0"/>
    <n v="0"/>
    <n v="111598"/>
    <m/>
    <m/>
    <e v="#DIV/0!"/>
    <m/>
    <m/>
    <s v="négo en cours"/>
    <m/>
    <m/>
    <m/>
    <m/>
    <m/>
    <m/>
    <m/>
    <d v="2020-09-12T00:00:00"/>
    <m/>
    <m/>
    <m/>
    <m/>
    <m/>
    <m/>
    <m/>
    <m/>
    <m/>
    <m/>
    <m/>
    <m/>
    <m/>
    <m/>
    <m/>
    <m/>
    <n v="0"/>
    <n v="0"/>
    <m/>
    <n v="0"/>
    <e v="#DIV/0!"/>
    <n v="0"/>
    <m/>
    <m/>
    <m/>
    <m/>
    <m/>
    <m/>
    <n v="0"/>
    <n v="0"/>
    <m/>
    <m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n v="0"/>
    <n v="0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itronnelles"/>
    <m/>
    <x v="2"/>
    <x v="1"/>
    <x v="7"/>
    <m/>
    <s v="JER"/>
    <s v="NLE"/>
    <x v="4"/>
    <m/>
    <s v="BK 1082"/>
    <s v="RAS"/>
    <s v="SODEGIS"/>
    <s v="HOAREAU"/>
    <d v="1993-02-08T00:00:00"/>
    <m/>
    <m/>
    <m/>
    <m/>
    <m/>
    <m/>
    <m/>
    <m/>
    <m/>
    <m/>
    <e v="#DIV/0!"/>
    <m/>
    <m/>
    <m/>
    <x v="3"/>
    <x v="40"/>
    <n v="0"/>
    <m/>
    <m/>
    <m/>
    <n v="45"/>
    <m/>
    <m/>
    <m/>
    <m/>
    <n v="0"/>
    <m/>
    <m/>
    <m/>
    <m/>
    <m/>
    <m/>
    <m/>
    <m/>
    <m/>
    <m/>
    <m/>
    <m/>
    <m/>
    <m/>
    <m/>
    <m/>
    <m/>
    <m/>
    <m/>
    <d v="2017-10-24T00:00:00"/>
    <m/>
    <m/>
    <m/>
    <m/>
    <d v="2017-12-12T00:00:00"/>
    <d v="2018-05-15T00:00:00"/>
    <d v="2018-08-15T00:00:00"/>
    <m/>
    <d v="2018-05-15T00:00:00"/>
    <d v="2020-05-15T00:00:00"/>
    <d v="2021-05-15T00:00:00"/>
    <m/>
    <s v="non"/>
    <n v="15"/>
    <n v="0"/>
    <n v="0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d v="2016-10-06T00:00:00"/>
    <m/>
    <m/>
    <s v="0"/>
    <d v="2017-05-17T00:00:00"/>
    <d v="2017-05-25T00:00:00"/>
    <n v="8"/>
    <d v="2017-03-20T00:00:00"/>
    <d v="2017-04-28T00:00:00"/>
    <n v="39"/>
    <d v="2017-05-22T00:00:00"/>
    <d v="2018-11-20T00:00:00"/>
    <n v="547"/>
    <d v="2017-08-15T00:00:00"/>
    <d v="2018-11-20T00:00:00"/>
    <n v="462"/>
    <m/>
    <d v="2018-06-19T00:00:00"/>
    <d v="2017-12-05T00:00:00"/>
    <d v="2018-11-20T00:00:00"/>
    <n v="350"/>
    <d v="2017-12-12T00:00:00"/>
    <x v="47"/>
    <x v="7"/>
    <n v="11"/>
    <n v="281"/>
    <n v="12"/>
    <n v="12"/>
    <m/>
    <d v="2018-11-20T00:00:00"/>
    <s v="0"/>
    <m/>
    <d v="2018-11-20T00:00:00"/>
    <s v="0"/>
    <m/>
    <d v="2018-11-20T00:00:00"/>
    <s v="0"/>
    <d v="2019-02-01T00:00:00"/>
    <d v="2019-02-01T00:00:00"/>
    <n v="0"/>
    <m/>
    <m/>
    <s v="0"/>
    <m/>
    <d v="2018-11-20T00:00:00"/>
    <s v="0"/>
    <d v="2019-04-19T00:00:00"/>
    <d v="2019-04-19T00:00:00"/>
    <n v="0"/>
    <m/>
    <m/>
    <m/>
    <d v="2019-09-19T00:00:00"/>
    <d v="2019-09-19T00:00:00"/>
    <n v="0"/>
    <m/>
    <m/>
    <m/>
    <d v="2020-01-21T00:00:00"/>
    <m/>
    <d v="2019-10-19T00:00:00"/>
    <x v="51"/>
    <x v="6"/>
    <n v="3.1333333333333333"/>
    <m/>
    <n v="0"/>
    <m/>
    <n v="0"/>
    <n v="0"/>
    <m/>
    <m/>
    <m/>
    <e v="#DIV/0!"/>
    <m/>
    <m/>
    <s v="AO lancé 13/02 - réception offres 13/03"/>
    <m/>
    <m/>
    <m/>
    <m/>
    <m/>
    <m/>
    <m/>
    <d v="2020-09-19T00:00:00"/>
    <m/>
    <m/>
    <m/>
    <m/>
    <m/>
    <m/>
    <m/>
    <m/>
    <m/>
    <m/>
    <m/>
    <m/>
    <m/>
    <m/>
    <m/>
    <m/>
    <n v="0"/>
    <n v="0"/>
    <m/>
    <n v="0"/>
    <e v="#DIV/0!"/>
    <n v="0"/>
    <m/>
    <m/>
    <m/>
    <m/>
    <m/>
    <m/>
    <n v="0"/>
    <n v="0"/>
    <m/>
    <m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n v="0"/>
    <n v="0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Bras des Etangs"/>
    <m/>
    <x v="12"/>
    <x v="0"/>
    <x v="7"/>
    <m/>
    <s v="JER"/>
    <s v="NLE"/>
    <x v="3"/>
    <m/>
    <s v="AI 1718"/>
    <s v="AE 44 / 45 /  46 / 48 n'existent plus au cadastre_x000a_récupérer fiche immeuble"/>
    <s v="SODEGIS"/>
    <s v="HOARAU"/>
    <d v="1997-05-19T00:00:00"/>
    <m/>
    <m/>
    <m/>
    <m/>
    <m/>
    <m/>
    <m/>
    <m/>
    <m/>
    <m/>
    <e v="#DIV/0!"/>
    <m/>
    <m/>
    <m/>
    <x v="3"/>
    <x v="41"/>
    <n v="0"/>
    <m/>
    <m/>
    <m/>
    <n v="31"/>
    <m/>
    <m/>
    <m/>
    <m/>
    <n v="0"/>
    <m/>
    <m/>
    <m/>
    <m/>
    <m/>
    <m/>
    <m/>
    <m/>
    <m/>
    <m/>
    <m/>
    <m/>
    <m/>
    <m/>
    <m/>
    <m/>
    <m/>
    <m/>
    <m/>
    <d v="2017-10-31T00:00:00"/>
    <m/>
    <m/>
    <m/>
    <m/>
    <d v="2017-12-12T00:00:00"/>
    <d v="2018-05-14T00:00:00"/>
    <d v="2018-08-14T00:00:00"/>
    <m/>
    <d v="2018-05-14T00:00:00"/>
    <d v="2020-05-14T00:00:00"/>
    <d v="2021-05-14T00:00:00"/>
    <m/>
    <s v="non"/>
    <n v="12"/>
    <n v="0"/>
    <n v="0"/>
    <m/>
    <m/>
    <m/>
    <m/>
    <m/>
    <m/>
    <m/>
    <m/>
    <m/>
    <m/>
    <m/>
    <m/>
    <d v="2018-10-22T00:00:00"/>
    <m/>
    <m/>
    <m/>
    <m/>
    <m/>
    <m/>
    <s v="SO"/>
    <s v="SO"/>
    <s v="SO"/>
    <s v="SO"/>
    <s v="SO"/>
    <m/>
    <m/>
    <m/>
    <d v="2016-09-19T00:00:00"/>
    <m/>
    <m/>
    <s v="0"/>
    <d v="2017-06-28T00:00:00"/>
    <d v="2017-05-29T00:00:00"/>
    <n v="-30"/>
    <d v="2017-03-15T00:00:00"/>
    <d v="2017-06-07T00:00:00"/>
    <n v="84"/>
    <d v="2017-08-25T00:00:00"/>
    <d v="2017-08-29T00:00:00"/>
    <n v="4"/>
    <d v="2017-08-30T00:00:00"/>
    <d v="2017-08-29T00:00:00"/>
    <n v="-1"/>
    <m/>
    <d v="2018-05-29T00:00:00"/>
    <d v="2017-12-08T00:00:00"/>
    <d v="2018-11-20T00:00:00"/>
    <n v="347"/>
    <d v="2017-12-21T00:00:00"/>
    <x v="48"/>
    <x v="8"/>
    <n v="10.166666666666666"/>
    <n v="254"/>
    <n v="16"/>
    <n v="16"/>
    <m/>
    <d v="2018-11-20T00:00:00"/>
    <s v="0"/>
    <m/>
    <d v="2018-11-20T00:00:00"/>
    <s v="0"/>
    <m/>
    <d v="2018-11-20T00:00:00"/>
    <s v="0"/>
    <d v="2019-02-02T00:00:00"/>
    <d v="2019-02-02T00:00:00"/>
    <n v="0"/>
    <m/>
    <m/>
    <s v="0"/>
    <m/>
    <d v="2018-11-20T00:00:00"/>
    <s v="0"/>
    <d v="2019-04-20T00:00:00"/>
    <d v="2019-04-20T00:00:00"/>
    <n v="0"/>
    <m/>
    <m/>
    <m/>
    <d v="2020-01-01T00:00:00"/>
    <d v="2020-01-01T00:00:00"/>
    <n v="0"/>
    <m/>
    <m/>
    <m/>
    <d v="2020-05-03T00:00:00"/>
    <m/>
    <d v="2020-02-01T00:00:00"/>
    <x v="52"/>
    <x v="6"/>
    <n v="3.0666666666666669"/>
    <m/>
    <n v="0"/>
    <m/>
    <n v="0"/>
    <n v="0"/>
    <m/>
    <m/>
    <m/>
    <e v="#DIV/0!"/>
    <m/>
    <m/>
    <s v="négo en cours"/>
    <m/>
    <m/>
    <m/>
    <m/>
    <m/>
    <m/>
    <m/>
    <d v="2021-01-01T00:00:00"/>
    <m/>
    <m/>
    <m/>
    <m/>
    <m/>
    <m/>
    <m/>
    <m/>
    <m/>
    <m/>
    <m/>
    <m/>
    <m/>
    <m/>
    <m/>
    <m/>
    <n v="0"/>
    <n v="0"/>
    <m/>
    <n v="0"/>
    <e v="#DIV/0!"/>
    <n v="0"/>
    <m/>
    <m/>
    <e v="#DIV/0!"/>
    <m/>
    <m/>
    <m/>
    <n v="0"/>
    <n v="0"/>
    <m/>
    <m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n v="0"/>
    <n v="0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100 marches"/>
    <m/>
    <x v="7"/>
    <x v="1"/>
    <x v="7"/>
    <m/>
    <s v="JER"/>
    <s v="DBA"/>
    <x v="3"/>
    <m/>
    <s v="BR 617"/>
    <s v="manque beaucoup de justificatifs_x000a_acte sur BR 570 / 571 qui n'existent plus_x000a_récupérer fiche immeuble"/>
    <s v="SODEGIS"/>
    <s v="Esparon"/>
    <d v="1995-06-01T00:00:00"/>
    <m/>
    <m/>
    <m/>
    <m/>
    <m/>
    <m/>
    <m/>
    <m/>
    <m/>
    <m/>
    <e v="#DIV/0!"/>
    <m/>
    <m/>
    <m/>
    <x v="3"/>
    <x v="14"/>
    <n v="0"/>
    <m/>
    <m/>
    <m/>
    <n v="10"/>
    <m/>
    <m/>
    <m/>
    <m/>
    <n v="0"/>
    <m/>
    <m/>
    <m/>
    <m/>
    <m/>
    <m/>
    <m/>
    <m/>
    <m/>
    <m/>
    <m/>
    <m/>
    <m/>
    <m/>
    <m/>
    <m/>
    <m/>
    <m/>
    <m/>
    <d v="2017-09-27T00:00:00"/>
    <m/>
    <m/>
    <m/>
    <m/>
    <d v="2017-12-12T00:00:00"/>
    <d v="2018-05-15T00:00:00"/>
    <d v="2018-08-15T00:00:00"/>
    <m/>
    <d v="2018-05-15T00:00:00"/>
    <d v="2020-05-15T00:00:00"/>
    <d v="2021-05-15T00:00:00"/>
    <m/>
    <s v="oui"/>
    <n v="11"/>
    <n v="0"/>
    <n v="0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d v="2017-02-07T00:00:00"/>
    <m/>
    <m/>
    <s v="0"/>
    <d v="2017-05-19T00:00:00"/>
    <d v="2017-05-24T00:00:00"/>
    <n v="5"/>
    <d v="2017-05-22T00:00:00"/>
    <d v="2017-04-28T00:00:00"/>
    <n v="-24"/>
    <d v="2017-05-24T00:00:00"/>
    <d v="2018-11-20T00:00:00"/>
    <n v="545"/>
    <d v="2017-08-15T00:00:00"/>
    <d v="2018-11-20T00:00:00"/>
    <n v="462"/>
    <m/>
    <d v="2018-05-29T00:00:00"/>
    <d v="2017-11-06T00:00:00"/>
    <d v="2018-11-20T00:00:00"/>
    <n v="379"/>
    <d v="2017-11-10T00:00:00"/>
    <x v="47"/>
    <x v="7"/>
    <n v="11.9"/>
    <n v="313"/>
    <n v="16"/>
    <n v="16"/>
    <m/>
    <d v="2018-11-20T00:00:00"/>
    <s v="0"/>
    <m/>
    <d v="2018-11-20T00:00:00"/>
    <s v="0"/>
    <m/>
    <d v="2018-11-20T00:00:00"/>
    <s v="0"/>
    <d v="2019-02-03T00:00:00"/>
    <d v="2019-02-03T00:00:00"/>
    <n v="0"/>
    <m/>
    <m/>
    <s v="0"/>
    <m/>
    <d v="2018-11-20T00:00:00"/>
    <s v="0"/>
    <d v="2019-04-21T00:00:00"/>
    <d v="2019-04-21T00:00:00"/>
    <n v="0"/>
    <m/>
    <m/>
    <m/>
    <d v="2020-01-19T00:00:00"/>
    <d v="2020-01-19T00:00:00"/>
    <n v="0"/>
    <m/>
    <m/>
    <m/>
    <d v="2020-05-21T00:00:00"/>
    <m/>
    <d v="2020-02-19T00:00:00"/>
    <x v="53"/>
    <x v="6"/>
    <n v="3.0666666666666669"/>
    <m/>
    <n v="0"/>
    <m/>
    <n v="0"/>
    <n v="0"/>
    <m/>
    <m/>
    <m/>
    <e v="#DIV/0!"/>
    <m/>
    <m/>
    <s v="négo en cours"/>
    <s v="offres à analyser mais entreprises n'ont pas fait de visite"/>
    <m/>
    <m/>
    <m/>
    <m/>
    <m/>
    <m/>
    <d v="2021-01-19T00:00:00"/>
    <m/>
    <m/>
    <m/>
    <m/>
    <m/>
    <m/>
    <m/>
    <m/>
    <m/>
    <m/>
    <m/>
    <m/>
    <m/>
    <m/>
    <m/>
    <m/>
    <n v="0"/>
    <n v="0"/>
    <m/>
    <n v="0"/>
    <e v="#DIV/0!"/>
    <n v="0"/>
    <m/>
    <m/>
    <m/>
    <m/>
    <m/>
    <m/>
    <n v="0"/>
    <n v="0"/>
    <m/>
    <m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n v="0"/>
    <n v="0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aramboles"/>
    <m/>
    <x v="9"/>
    <x v="1"/>
    <x v="7"/>
    <m/>
    <s v="JER"/>
    <s v="VAF"/>
    <x v="3"/>
    <m/>
    <s v="AP 1375"/>
    <s v="AP 513 / AS 63 - 64 - n'existent plus au cadastre / manque des justificatifs_x000a_récupérer fiche immeuble"/>
    <s v="SODEGIS"/>
    <s v="HOARAU"/>
    <d v="1995-12-16T00:00:00"/>
    <m/>
    <m/>
    <m/>
    <m/>
    <m/>
    <m/>
    <m/>
    <m/>
    <m/>
    <m/>
    <e v="#DIV/0!"/>
    <m/>
    <m/>
    <m/>
    <x v="3"/>
    <x v="5"/>
    <n v="0"/>
    <m/>
    <m/>
    <m/>
    <n v="6"/>
    <m/>
    <m/>
    <m/>
    <m/>
    <n v="0"/>
    <m/>
    <m/>
    <m/>
    <m/>
    <m/>
    <m/>
    <m/>
    <m/>
    <m/>
    <m/>
    <m/>
    <m/>
    <m/>
    <m/>
    <m/>
    <m/>
    <m/>
    <m/>
    <m/>
    <d v="2017-09-27T00:00:00"/>
    <m/>
    <m/>
    <m/>
    <m/>
    <d v="2017-12-12T00:00:00"/>
    <d v="2018-05-14T00:00:00"/>
    <d v="2018-08-14T00:00:00"/>
    <m/>
    <d v="2018-05-14T00:00:00"/>
    <d v="2020-05-14T00:00:00"/>
    <d v="2021-05-14T00:00:00"/>
    <m/>
    <s v="non"/>
    <n v="12"/>
    <n v="0"/>
    <n v="0"/>
    <m/>
    <s v="Commune 14/09/18"/>
    <m/>
    <d v="2018-08-28T00:00:00"/>
    <d v="2018-09-14T00:00:00"/>
    <m/>
    <m/>
    <m/>
    <m/>
    <m/>
    <m/>
    <m/>
    <m/>
    <m/>
    <m/>
    <m/>
    <m/>
    <m/>
    <m/>
    <s v="SO"/>
    <s v="SO"/>
    <s v="SO"/>
    <s v="SO"/>
    <s v="SO"/>
    <m/>
    <m/>
    <m/>
    <d v="2016-10-06T00:00:00"/>
    <m/>
    <m/>
    <s v="0"/>
    <d v="2017-06-15T00:00:00"/>
    <d v="2017-05-29T00:00:00"/>
    <n v="-17"/>
    <d v="2017-03-20T00:00:00"/>
    <d v="2017-05-26T00:00:00"/>
    <n v="67"/>
    <d v="2017-08-25T00:00:00"/>
    <d v="2018-11-20T00:00:00"/>
    <n v="452"/>
    <d v="2017-08-25T00:00:00"/>
    <d v="2018-11-20T00:00:00"/>
    <n v="452"/>
    <m/>
    <d v="2018-07-15T00:00:00"/>
    <d v="2017-12-05T00:00:00"/>
    <d v="2018-11-20T00:00:00"/>
    <n v="350"/>
    <d v="2017-12-12T00:00:00"/>
    <x v="48"/>
    <x v="8"/>
    <n v="11.3"/>
    <n v="263"/>
    <n v="16"/>
    <n v="16"/>
    <m/>
    <d v="2018-11-20T00:00:00"/>
    <s v="0"/>
    <m/>
    <d v="2018-11-20T00:00:00"/>
    <s v="0"/>
    <m/>
    <d v="2018-11-20T00:00:00"/>
    <s v="0"/>
    <d v="2019-02-04T00:00:00"/>
    <d v="2019-02-04T00:00:00"/>
    <n v="0"/>
    <m/>
    <m/>
    <s v="0"/>
    <m/>
    <d v="2018-11-20T00:00:00"/>
    <s v="0"/>
    <d v="2019-04-22T00:00:00"/>
    <d v="2019-04-22T00:00:00"/>
    <n v="0"/>
    <m/>
    <m/>
    <m/>
    <d v="2020-01-01T00:00:00"/>
    <d v="2020-01-01T00:00:00"/>
    <n v="0"/>
    <m/>
    <m/>
    <m/>
    <d v="2020-05-03T00:00:00"/>
    <m/>
    <d v="2020-02-01T00:00:00"/>
    <x v="52"/>
    <x v="6"/>
    <n v="3.0666666666666669"/>
    <m/>
    <n v="0"/>
    <m/>
    <n v="0"/>
    <n v="31250"/>
    <m/>
    <m/>
    <m/>
    <e v="#DIV/0!"/>
    <m/>
    <m/>
    <s v="lancement AO sem 26/02 - voir avec TGI pour enlever toiture du DCE"/>
    <s v="AO à lancer sem 22/01 / voir pour modifier pièces concernant visite obligatoire"/>
    <m/>
    <m/>
    <m/>
    <m/>
    <m/>
    <m/>
    <d v="2021-01-01T00:00:00"/>
    <m/>
    <m/>
    <m/>
    <m/>
    <m/>
    <m/>
    <m/>
    <m/>
    <m/>
    <m/>
    <m/>
    <m/>
    <m/>
    <m/>
    <m/>
    <m/>
    <n v="31250"/>
    <n v="0"/>
    <m/>
    <n v="-31250"/>
    <e v="#DIV/0!"/>
    <n v="0"/>
    <m/>
    <m/>
    <m/>
    <m/>
    <m/>
    <m/>
    <n v="0"/>
    <n v="0"/>
    <m/>
    <m/>
    <m/>
    <m/>
    <n v="0"/>
    <n v="0"/>
    <m/>
    <m/>
    <m/>
    <m/>
    <e v="#DIV/0!"/>
    <m/>
    <m/>
    <n v="0"/>
    <n v="0"/>
    <n v="0"/>
    <n v="0"/>
    <m/>
    <m/>
    <m/>
    <m/>
    <n v="0"/>
    <m/>
    <n v="0"/>
    <n v="0"/>
    <m/>
    <m/>
    <n v="31250"/>
    <n v="31250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Bougainvillées"/>
    <m/>
    <x v="7"/>
    <x v="1"/>
    <x v="7"/>
    <m/>
    <s v="JER"/>
    <s v="DAM"/>
    <x v="3"/>
    <m/>
    <s v="BT 607"/>
    <s v="BT 130 / 319 / 111 : seule la BT 111 existe encore à ce jour_x000a_manque justificatifs des autres parcelles_x000a_récupérer fiche immeuble"/>
    <s v="SODEGIS"/>
    <s v="HOAREAU"/>
    <d v="1995-08-03T00:00:00"/>
    <m/>
    <m/>
    <m/>
    <m/>
    <m/>
    <m/>
    <m/>
    <m/>
    <m/>
    <m/>
    <e v="#DIV/0!"/>
    <m/>
    <m/>
    <m/>
    <x v="3"/>
    <x v="42"/>
    <n v="0"/>
    <m/>
    <m/>
    <m/>
    <n v="26"/>
    <m/>
    <m/>
    <m/>
    <m/>
    <n v="0"/>
    <m/>
    <m/>
    <m/>
    <m/>
    <m/>
    <m/>
    <m/>
    <m/>
    <m/>
    <m/>
    <m/>
    <m/>
    <m/>
    <m/>
    <m/>
    <m/>
    <m/>
    <m/>
    <m/>
    <d v="2017-09-27T00:00:00"/>
    <m/>
    <m/>
    <m/>
    <m/>
    <d v="2017-12-12T00:00:00"/>
    <d v="2018-05-15T00:00:00"/>
    <d v="2018-08-15T00:00:00"/>
    <m/>
    <d v="2018-05-15T00:00:00"/>
    <d v="2020-05-15T00:00:00"/>
    <d v="2021-05-15T00:00:00"/>
    <m/>
    <s v="oui"/>
    <n v="11"/>
    <n v="0"/>
    <n v="0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d v="2016-10-06T00:00:00"/>
    <m/>
    <m/>
    <s v="0"/>
    <d v="2017-04-14T00:00:00"/>
    <d v="2017-05-24T00:00:00"/>
    <n v="40"/>
    <d v="2017-03-20T00:00:00"/>
    <d v="2017-02-27T00:00:00"/>
    <n v="-21"/>
    <d v="2017-04-19T00:00:00"/>
    <d v="2018-11-20T00:00:00"/>
    <n v="580"/>
    <d v="2017-08-18T00:00:00"/>
    <d v="2018-11-20T00:00:00"/>
    <n v="459"/>
    <m/>
    <d v="2018-05-29T00:00:00"/>
    <d v="2017-12-14T00:00:00"/>
    <d v="2018-11-20T00:00:00"/>
    <n v="341"/>
    <d v="2017-12-21T00:00:00"/>
    <x v="49"/>
    <x v="7"/>
    <n v="11.933333333333334"/>
    <n v="273"/>
    <n v="12"/>
    <n v="16"/>
    <m/>
    <d v="2018-11-20T00:00:00"/>
    <s v="0"/>
    <m/>
    <d v="2018-11-20T00:00:00"/>
    <s v="0"/>
    <m/>
    <d v="2018-11-20T00:00:00"/>
    <s v="0"/>
    <d v="2019-02-05T00:00:00"/>
    <d v="2019-02-05T00:00:00"/>
    <n v="0"/>
    <m/>
    <m/>
    <s v="0"/>
    <m/>
    <d v="2018-11-20T00:00:00"/>
    <s v="0"/>
    <d v="2019-04-23T00:00:00"/>
    <d v="2019-04-23T00:00:00"/>
    <n v="0"/>
    <m/>
    <m/>
    <m/>
    <d v="2019-09-20T00:00:00"/>
    <d v="2020-01-20T00:00:00"/>
    <n v="4.0666666666666664"/>
    <m/>
    <m/>
    <m/>
    <d v="2020-05-22T00:00:00"/>
    <m/>
    <d v="2019-10-20T00:00:00"/>
    <x v="54"/>
    <x v="6"/>
    <n v="7.166666666666667"/>
    <m/>
    <n v="0"/>
    <m/>
    <n v="0"/>
    <n v="0"/>
    <m/>
    <m/>
    <m/>
    <n v="0"/>
    <m/>
    <m/>
    <m/>
    <m/>
    <m/>
    <m/>
    <m/>
    <m/>
    <m/>
    <m/>
    <d v="2021-01-20T00:00:00"/>
    <m/>
    <m/>
    <m/>
    <m/>
    <m/>
    <m/>
    <m/>
    <m/>
    <m/>
    <m/>
    <m/>
    <m/>
    <m/>
    <m/>
    <m/>
    <m/>
    <n v="0"/>
    <n v="187500"/>
    <m/>
    <n v="187500"/>
    <e v="#DIV/0!"/>
    <n v="7211.5384615384619"/>
    <m/>
    <m/>
    <n v="0"/>
    <m/>
    <m/>
    <m/>
    <n v="0"/>
    <n v="0"/>
    <m/>
    <m/>
    <m/>
    <m/>
    <n v="0"/>
    <n v="0"/>
    <m/>
    <m/>
    <n v="187500"/>
    <m/>
    <n v="1"/>
    <m/>
    <m/>
    <n v="187500"/>
    <n v="7211.5384615384619"/>
    <n v="7211.5384615384619"/>
    <n v="7211.5384615384619"/>
    <m/>
    <m/>
    <m/>
    <m/>
    <n v="0"/>
    <m/>
    <n v="7211.5384615384619"/>
    <e v="#DIV/0!"/>
    <m/>
    <m/>
    <n v="0"/>
    <n v="0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Fourragères "/>
    <s v="ok - reste Excel"/>
    <x v="11"/>
    <x v="0"/>
    <x v="7"/>
    <s v="PRLC 0184"/>
    <s v="FVA"/>
    <s v="GGO"/>
    <x v="4"/>
    <m/>
    <s v="AD 133 / 132"/>
    <s v="avenant 1 EPFR  signé - acquisition à mai 2018"/>
    <m/>
    <m/>
    <m/>
    <n v="5443"/>
    <n v="381010"/>
    <n v="381010"/>
    <n v="18143.333333333332"/>
    <n v="70"/>
    <n v="70"/>
    <n v="238.72208716573519"/>
    <n v="18143.333333333332"/>
    <n v="259.1904761904762"/>
    <m/>
    <n v="38.58166452324086"/>
    <s v="UD"/>
    <n v="900"/>
    <m/>
    <x v="0"/>
    <x v="30"/>
    <n v="21"/>
    <m/>
    <n v="21"/>
    <m/>
    <m/>
    <m/>
    <n v="1580.35"/>
    <m/>
    <n v="1596.04"/>
    <n v="76.001904761904754"/>
    <m/>
    <m/>
    <m/>
    <m/>
    <m/>
    <m/>
    <m/>
    <m/>
    <m/>
    <s v="MDV"/>
    <s v="non"/>
    <m/>
    <m/>
    <m/>
    <d v="2017-01-26T00:00:00"/>
    <m/>
    <s v="SO"/>
    <m/>
    <m/>
    <d v="2017-10-09T00:00:00"/>
    <d v="2017-11-06T00:00:00"/>
    <m/>
    <m/>
    <m/>
    <d v="2018-03-09T00:00:00"/>
    <d v="2018-05-29T00:00:00"/>
    <d v="2018-08-29T00:00:00"/>
    <d v="2018-06-12T00:00:00"/>
    <d v="2018-05-29T00:00:00"/>
    <d v="2020-05-29T00:00:00"/>
    <d v="2021-05-29T00:00:00"/>
    <n v="86976"/>
    <s v="non"/>
    <n v="6"/>
    <n v="51138"/>
    <n v="-35838"/>
    <m/>
    <m/>
    <m/>
    <m/>
    <m/>
    <m/>
    <m/>
    <d v="2018-10-29T00:00:00"/>
    <m/>
    <m/>
    <m/>
    <m/>
    <m/>
    <m/>
    <m/>
    <m/>
    <m/>
    <m/>
    <m/>
    <s v="SO"/>
    <s v="SO"/>
    <s v="SO"/>
    <s v="SO"/>
    <s v="SO"/>
    <m/>
    <s v="SO"/>
    <m/>
    <d v="2016-08-03T00:00:00"/>
    <d v="2016-08-18T00:00:00"/>
    <d v="2016-08-03T00:00:00"/>
    <n v="-15"/>
    <d v="2017-01-05T00:00:00"/>
    <d v="2017-01-16T00:00:00"/>
    <n v="11"/>
    <d v="2017-01-16T00:00:00"/>
    <d v="2017-01-09T00:00:00"/>
    <n v="-7"/>
    <d v="2017-03-09T00:00:00"/>
    <d v="2017-04-12T00:00:00"/>
    <n v="34"/>
    <d v="2017-06-09T00:00:00"/>
    <d v="2017-07-31T00:00:00"/>
    <n v="52"/>
    <m/>
    <d v="2018-08-14T00:00:00"/>
    <d v="2018-02-13T00:00:00"/>
    <d v="2018-11-20T00:00:00"/>
    <n v="280"/>
    <d v="2018-02-28T00:00:00"/>
    <x v="50"/>
    <x v="8"/>
    <n v="16"/>
    <n v="338"/>
    <n v="16"/>
    <n v="17"/>
    <m/>
    <d v="2018-11-20T00:00:00"/>
    <s v="0"/>
    <m/>
    <d v="2018-11-20T00:00:00"/>
    <s v="0"/>
    <m/>
    <d v="2018-11-20T00:00:00"/>
    <s v="0"/>
    <d v="2019-02-06T00:00:00"/>
    <d v="2019-02-06T00:00:00"/>
    <n v="0"/>
    <m/>
    <m/>
    <s v="0"/>
    <m/>
    <d v="2018-11-20T00:00:00"/>
    <s v="0"/>
    <d v="2019-04-24T00:00:00"/>
    <d v="2019-04-24T00:00:00"/>
    <n v="0"/>
    <m/>
    <m/>
    <m/>
    <d v="2020-06-01T00:00:00"/>
    <d v="2020-07-01T00:00:00"/>
    <n v="1"/>
    <d v="1901-12-31T00:00:00"/>
    <m/>
    <m/>
    <d v="2020-11-03T00:00:00"/>
    <m/>
    <d v="2020-07-01T00:00:00"/>
    <x v="55"/>
    <x v="6"/>
    <n v="4.166666666666667"/>
    <n v="8523"/>
    <n v="35512.5"/>
    <m/>
    <n v="200000"/>
    <n v="0"/>
    <m/>
    <m/>
    <m/>
    <n v="0"/>
    <m/>
    <m/>
    <m/>
    <s v="retard lancement AO : pb ramassage ordures ménagères_x000a_faire la demande de prêt"/>
    <m/>
    <m/>
    <m/>
    <m/>
    <m/>
    <m/>
    <d v="2021-07-01T00:00:00"/>
    <m/>
    <m/>
    <m/>
    <m/>
    <m/>
    <m/>
    <m/>
    <m/>
    <m/>
    <m/>
    <m/>
    <m/>
    <m/>
    <m/>
    <m/>
    <m/>
    <n v="3723712.87"/>
    <n v="3855417"/>
    <n v="3855417"/>
    <n v="131704.12999999989"/>
    <n v="2439.5969247318635"/>
    <n v="183591.28571428571"/>
    <m/>
    <n v="3634508"/>
    <n v="0.96249839329960929"/>
    <n v="1246192.3500000001"/>
    <n v="1158434"/>
    <n v="1158434"/>
    <n v="55163.523809523809"/>
    <n v="-87758.350000000093"/>
    <n v="1810436.52"/>
    <n v="2029899"/>
    <n v="598878"/>
    <n v="1431021"/>
    <n v="219462.47999999998"/>
    <n v="96661.857142857145"/>
    <m/>
    <n v="504000"/>
    <n v="504000"/>
    <m/>
    <n v="0.13072515891277131"/>
    <m/>
    <n v="163084"/>
    <n v="163084"/>
    <n v="24000"/>
    <n v="79163.523809523816"/>
    <n v="7765.9047619047615"/>
    <n v="5.35"/>
    <n v="5.34"/>
    <m/>
    <m/>
    <n v="83342.492857142861"/>
    <m/>
    <n v="79163.523809523816"/>
    <n v="0.47001270267113804"/>
    <m/>
    <m/>
    <n v="0"/>
    <n v="3723712.87"/>
    <m/>
    <m/>
    <m/>
    <m/>
    <m/>
    <n v="191612"/>
    <n v="105386"/>
    <d v="2016-07-28T00:00:00"/>
    <n v="17147"/>
    <m/>
    <m/>
    <d v="2016-12-12T00:00:00"/>
    <n v="0"/>
    <d v="2016-12-12T00:00:00"/>
    <n v="28305"/>
    <d v="2017-03-24T00:00:00"/>
    <n v="21612"/>
    <n v="42915"/>
    <n v="28742"/>
    <m/>
    <m/>
    <d v="2017-09-11T00:00:00"/>
    <n v="9580"/>
    <m/>
    <m/>
    <m/>
    <m/>
    <m/>
    <m/>
    <m/>
    <m/>
    <m/>
    <m/>
    <m/>
    <m/>
    <n v="28305"/>
    <m/>
    <m/>
    <m/>
    <m/>
    <m/>
  </r>
  <r>
    <s v="Californie"/>
    <s v="OK idem EXCEL"/>
    <x v="2"/>
    <x v="1"/>
    <x v="7"/>
    <s v="PRLC 0186"/>
    <s v="ADE"/>
    <s v="DBA"/>
    <x v="4"/>
    <m/>
    <s v="EK 286"/>
    <s v="Avenant EPFR signé_x000a_Convention avec riverain signée"/>
    <m/>
    <m/>
    <m/>
    <n v="1976"/>
    <n v="300000"/>
    <m/>
    <n v="12500"/>
    <n v="151.82186234817814"/>
    <n v="0"/>
    <n v="0"/>
    <n v="0"/>
    <n v="82.333333333333329"/>
    <m/>
    <n v="121.4574898785425"/>
    <s v="UB"/>
    <n v="590"/>
    <m/>
    <x v="0"/>
    <x v="17"/>
    <n v="24"/>
    <m/>
    <n v="24"/>
    <m/>
    <m/>
    <m/>
    <n v="1779.08"/>
    <m/>
    <n v="1795.44"/>
    <n v="74.81"/>
    <n v="0.125"/>
    <n v="0.375"/>
    <n v="0.25"/>
    <n v="0.125"/>
    <n v="0.125"/>
    <m/>
    <s v="SO"/>
    <m/>
    <n v="4"/>
    <s v="collectif"/>
    <s v="oui"/>
    <m/>
    <m/>
    <m/>
    <d v="2017-01-26T00:00:00"/>
    <m/>
    <s v="SO"/>
    <m/>
    <m/>
    <d v="2017-06-30T00:00:00"/>
    <d v="2017-10-02T00:00:00"/>
    <m/>
    <m/>
    <m/>
    <d v="2018-06-28T00:00:00"/>
    <d v="2018-09-13T00:00:00"/>
    <d v="2018-12-13T00:00:00"/>
    <d v="2018-10-12T00:00:00"/>
    <d v="2018-09-13T00:00:00"/>
    <d v="2020-09-13T00:00:00"/>
    <d v="2021-09-13T00:00:00"/>
    <n v="60415"/>
    <s v="non"/>
    <n v="8"/>
    <n v="77664"/>
    <n v="0"/>
    <m/>
    <m/>
    <m/>
    <m/>
    <m/>
    <m/>
    <d v="2018-10-01T00:00:00"/>
    <m/>
    <m/>
    <m/>
    <m/>
    <m/>
    <m/>
    <m/>
    <m/>
    <m/>
    <m/>
    <m/>
    <m/>
    <s v="SO"/>
    <s v="SO"/>
    <s v="SO"/>
    <s v="SO"/>
    <s v="SO"/>
    <m/>
    <s v="SO"/>
    <m/>
    <d v="2016-08-01T00:00:00"/>
    <d v="2016-08-16T00:00:00"/>
    <d v="2016-08-01T00:00:00"/>
    <n v="-15"/>
    <d v="2016-11-18T00:00:00"/>
    <d v="2016-11-21T00:00:00"/>
    <n v="3"/>
    <d v="2017-01-18T00:00:00"/>
    <d v="2017-01-16T00:00:00"/>
    <n v="-2"/>
    <d v="2017-04-04T00:00:00"/>
    <d v="2017-12-14T00:00:00"/>
    <n v="254"/>
    <d v="2017-06-19T00:00:00"/>
    <d v="2018-03-30T00:00:00"/>
    <n v="284"/>
    <m/>
    <d v="2018-09-01T00:00:00"/>
    <d v="2018-02-23T00:00:00"/>
    <d v="2018-11-20T00:00:00"/>
    <n v="270"/>
    <d v="2018-03-08T00:00:00"/>
    <x v="41"/>
    <x v="8"/>
    <n v="19.833333333333332"/>
    <n v="344"/>
    <n v="16"/>
    <n v="17"/>
    <m/>
    <d v="2018-11-20T00:00:00"/>
    <s v="0"/>
    <m/>
    <d v="2018-11-20T00:00:00"/>
    <s v="0"/>
    <m/>
    <d v="2018-11-20T00:00:00"/>
    <s v="0"/>
    <d v="2019-02-07T00:00:00"/>
    <d v="2019-02-07T00:00:00"/>
    <n v="0"/>
    <m/>
    <m/>
    <s v="0"/>
    <m/>
    <d v="2018-11-20T00:00:00"/>
    <s v="0"/>
    <d v="2019-04-25T00:00:00"/>
    <d v="2019-04-25T00:00:00"/>
    <n v="0"/>
    <m/>
    <m/>
    <m/>
    <d v="2020-06-15T00:00:00"/>
    <d v="2020-07-15T00:00:00"/>
    <n v="1"/>
    <d v="1901-12-31T00:00:00"/>
    <m/>
    <m/>
    <d v="2020-11-17T00:00:00"/>
    <m/>
    <d v="2020-07-15T00:00:00"/>
    <x v="46"/>
    <x v="6"/>
    <n v="5.166666666666667"/>
    <n v="9708"/>
    <n v="50158"/>
    <m/>
    <n v="0"/>
    <n v="0"/>
    <n v="35735"/>
    <m/>
    <m/>
    <n v="0"/>
    <m/>
    <m/>
    <s v="caler réunion validation PRO semaine 26/02"/>
    <m/>
    <m/>
    <m/>
    <m/>
    <m/>
    <m/>
    <m/>
    <d v="2021-07-15T00:00:00"/>
    <m/>
    <m/>
    <m/>
    <m/>
    <m/>
    <m/>
    <m/>
    <m/>
    <m/>
    <m/>
    <m/>
    <m/>
    <m/>
    <m/>
    <m/>
    <m/>
    <n v="3909760.6767742028"/>
    <n v="3959173"/>
    <n v="3959173"/>
    <n v="49412.323225797154"/>
    <n v="2225.4047035546464"/>
    <n v="164965.54166666666"/>
    <n v="3537549.5398594467"/>
    <n v="3653732"/>
    <n v="0.94223222172913368"/>
    <n v="1224437.8025662941"/>
    <n v="1198439"/>
    <n v="1306948"/>
    <n v="49934.958333333336"/>
    <m/>
    <n v="2131692.8742079088"/>
    <n v="2207104"/>
    <n v="444360"/>
    <n v="1762744"/>
    <n v="75411.125792091247"/>
    <n v="91962.666666666672"/>
    <m/>
    <n v="480000"/>
    <n v="480000"/>
    <m/>
    <n v="0.12123744024320231"/>
    <m/>
    <n v="73630"/>
    <n v="73630"/>
    <n v="20000"/>
    <n v="69934.958333333328"/>
    <n v="3067.9166666666665"/>
    <n v="5.38"/>
    <n v="5.38"/>
    <m/>
    <m/>
    <n v="71018.241773595582"/>
    <m/>
    <n v="69934.958333333328"/>
    <n v="0.43594427983570644"/>
    <m/>
    <m/>
    <n v="0"/>
    <n v="3909760.6767742028"/>
    <m/>
    <m/>
    <m/>
    <m/>
    <m/>
    <n v="195504"/>
    <n v="107527"/>
    <d v="2016-07-11T00:00:00"/>
    <n v="19202"/>
    <m/>
    <m/>
    <s v="14/12/2016_x000a_21/02/17"/>
    <n v="9745"/>
    <d v="2016-11-22T00:00:00"/>
    <n v="18750"/>
    <d v="2017-04-12T00:00:00"/>
    <n v="29816"/>
    <d v="2018-03-22T00:00:00"/>
    <n v="20397"/>
    <d v="2018-11-05T00:00:00"/>
    <n v="9617"/>
    <m/>
    <m/>
    <m/>
    <m/>
    <m/>
    <m/>
    <m/>
    <m/>
    <m/>
    <m/>
    <m/>
    <m/>
    <m/>
    <m/>
    <n v="18750"/>
    <m/>
    <m/>
    <m/>
    <m/>
    <m/>
  </r>
  <r>
    <s v="Dakota "/>
    <s v="OK + excel"/>
    <x v="2"/>
    <x v="1"/>
    <x v="7"/>
    <s v="PRLC 0187"/>
    <s v="ADE"/>
    <s v="DAM"/>
    <x v="4"/>
    <m/>
    <s v="EK 250"/>
    <s v="manque terrain communal à acheter en mai 2018 : veiller à ce que les abonnements soient résiliés / prorogation à demander à Mairie"/>
    <m/>
    <m/>
    <m/>
    <n v="1953"/>
    <n v="452000"/>
    <m/>
    <n v="17384.615384615383"/>
    <n v="231.43881208397337"/>
    <n v="0"/>
    <n v="0"/>
    <n v="0"/>
    <n v="75.115384615384613"/>
    <m/>
    <n v="133.12852022529441"/>
    <s v="UB"/>
    <n v="590"/>
    <m/>
    <x v="0"/>
    <x v="42"/>
    <n v="26"/>
    <m/>
    <n v="26"/>
    <m/>
    <m/>
    <m/>
    <n v="1730.4"/>
    <m/>
    <n v="1713.92"/>
    <n v="65.92"/>
    <m/>
    <n v="1"/>
    <m/>
    <m/>
    <m/>
    <m/>
    <s v="SO"/>
    <m/>
    <n v="4"/>
    <s v="collectif"/>
    <s v="oui"/>
    <m/>
    <m/>
    <m/>
    <d v="2016-11-17T00:00:00"/>
    <m/>
    <s v="SO"/>
    <m/>
    <m/>
    <d v="2017-08-23T00:00:00"/>
    <d v="2017-09-21T00:00:00"/>
    <m/>
    <m/>
    <m/>
    <d v="2018-07-20T00:00:00"/>
    <d v="2018-08-20T00:00:00"/>
    <d v="2018-11-20T00:00:00"/>
    <m/>
    <d v="2018-08-20T00:00:00"/>
    <d v="2020-08-20T00:00:00"/>
    <d v="2021-08-20T00:00:00"/>
    <n v="58181"/>
    <s v="non"/>
    <n v="3"/>
    <n v="28961.94"/>
    <n v="-29219.06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6-08-04T00:00:00"/>
    <d v="2016-08-19T00:00:00"/>
    <d v="2016-08-04T00:00:00"/>
    <n v="-15"/>
    <d v="2016-12-02T00:00:00"/>
    <d v="2016-11-30T00:00:00"/>
    <n v="-2"/>
    <d v="2017-01-23T00:00:00"/>
    <d v="2017-01-23T00:00:00"/>
    <n v="0"/>
    <d v="2017-03-24T00:00:00"/>
    <d v="2017-06-12T00:00:00"/>
    <n v="80"/>
    <d v="2017-06-09T00:00:00"/>
    <d v="2018-05-31T00:00:00"/>
    <n v="356"/>
    <m/>
    <d v="2018-09-15T00:00:00"/>
    <d v="2018-02-13T00:00:00"/>
    <d v="2018-11-20T00:00:00"/>
    <n v="280"/>
    <d v="2018-02-28T00:00:00"/>
    <x v="51"/>
    <x v="8"/>
    <n v="22.566666666666666"/>
    <n v="488"/>
    <n v="16"/>
    <n v="17"/>
    <m/>
    <d v="2018-11-20T00:00:00"/>
    <s v="0"/>
    <m/>
    <d v="2018-11-20T00:00:00"/>
    <s v="0"/>
    <m/>
    <d v="2018-11-20T00:00:00"/>
    <s v="0"/>
    <d v="2019-02-08T00:00:00"/>
    <d v="2019-02-08T00:00:00"/>
    <n v="0"/>
    <m/>
    <m/>
    <s v="0"/>
    <m/>
    <d v="2018-11-20T00:00:00"/>
    <s v="0"/>
    <d v="2019-04-26T00:00:00"/>
    <d v="2019-04-26T00:00:00"/>
    <n v="0"/>
    <m/>
    <m/>
    <m/>
    <d v="2020-11-01T00:00:00"/>
    <d v="2020-12-01T00:00:00"/>
    <n v="1"/>
    <d v="1901-12-31T00:00:00"/>
    <m/>
    <m/>
    <d v="2021-04-03T00:00:00"/>
    <m/>
    <d v="2020-12-01T00:00:00"/>
    <x v="56"/>
    <x v="6"/>
    <n v="5.0999999999999996"/>
    <n v="9653.98"/>
    <n v="49235.297999999995"/>
    <m/>
    <n v="0"/>
    <n v="0"/>
    <m/>
    <m/>
    <m/>
    <n v="0"/>
    <m/>
    <m/>
    <m/>
    <m/>
    <m/>
    <m/>
    <m/>
    <m/>
    <m/>
    <m/>
    <d v="2021-12-01T00:00:00"/>
    <m/>
    <m/>
    <m/>
    <m/>
    <m/>
    <m/>
    <m/>
    <m/>
    <m/>
    <m/>
    <m/>
    <m/>
    <m/>
    <m/>
    <m/>
    <m/>
    <n v="3882412.99"/>
    <n v="3863382"/>
    <n v="3863382"/>
    <n v="-19030.990000000224"/>
    <n v="2232.6525658807209"/>
    <n v="148591.61538461538"/>
    <n v="3207102"/>
    <n v="3765886"/>
    <n v="0.99523412543724632"/>
    <n v="1296385.9099999999"/>
    <n v="1301816"/>
    <m/>
    <n v="50069.846153846156"/>
    <n v="5430.0900000000838"/>
    <n v="2030427.08"/>
    <n v="2005966"/>
    <n v="482453"/>
    <n v="1523513"/>
    <n v="-24461.080000000075"/>
    <n v="77152.538461538468"/>
    <m/>
    <n v="520000"/>
    <n v="520000"/>
    <m/>
    <n v="0.13459709653355531"/>
    <m/>
    <n v="35600"/>
    <n v="35600"/>
    <n v="20000"/>
    <n v="70069.846153846156"/>
    <n v="1369.2307692307693"/>
    <n v="5.56"/>
    <n v="5.55"/>
    <m/>
    <m/>
    <n v="69860.996538461535"/>
    <m/>
    <n v="70069.846153846156"/>
    <n v="0.46784974052953593"/>
    <m/>
    <m/>
    <n v="0"/>
    <n v="3882412.99"/>
    <m/>
    <m/>
    <m/>
    <m/>
    <m/>
    <n v="221723"/>
    <n v="110862"/>
    <d v="2016-07-11T00:00:00"/>
    <n v="23880"/>
    <m/>
    <m/>
    <s v="14/12/2016_x000a_21/02/17"/>
    <n v="15414"/>
    <d v="2016-11-23T00:00:00"/>
    <n v="17422"/>
    <d v="2017-05-22T00:00:00"/>
    <n v="20757"/>
    <n v="43075"/>
    <n v="33389"/>
    <m/>
    <m/>
    <m/>
    <m/>
    <m/>
    <m/>
    <m/>
    <m/>
    <m/>
    <m/>
    <m/>
    <m/>
    <m/>
    <m/>
    <m/>
    <m/>
    <n v="17422"/>
    <m/>
    <m/>
    <m/>
    <m/>
    <m/>
  </r>
  <r>
    <s v="INDIGO Tranche 1"/>
    <m/>
    <x v="3"/>
    <x v="2"/>
    <x v="7"/>
    <s v="PRLC 0185"/>
    <s v="APU"/>
    <s v="DBE"/>
    <x v="5"/>
    <m/>
    <s v="DD783 / 1298"/>
    <s v="_x000a_attente protocole DD 1298 pour prendre possession des lieux_x000a_lancer procédure expulsion bungalow"/>
    <m/>
    <m/>
    <m/>
    <n v="11037"/>
    <n v="705655.44208162103"/>
    <m/>
    <n v="8400.6600247812021"/>
    <n v="63.935439166587031"/>
    <n v="0"/>
    <n v="0"/>
    <n v="0"/>
    <n v="131.39285714285714"/>
    <m/>
    <n v="76.107637945093771"/>
    <m/>
    <m/>
    <m/>
    <x v="0"/>
    <x v="10"/>
    <n v="84"/>
    <m/>
    <n v="84"/>
    <m/>
    <m/>
    <m/>
    <n v="6502.48"/>
    <m/>
    <n v="6502.48"/>
    <n v="77.410476190476189"/>
    <m/>
    <m/>
    <m/>
    <m/>
    <m/>
    <m/>
    <m/>
    <m/>
    <m/>
    <s v="collectif"/>
    <s v="oui"/>
    <m/>
    <m/>
    <m/>
    <s v="30/08/2016_x000a_01/02/17"/>
    <m/>
    <s v="SO"/>
    <m/>
    <m/>
    <d v="2017-07-13T00:00:00"/>
    <d v="2017-10-02T00:00:00"/>
    <s v="SO"/>
    <s v="SO"/>
    <s v="SO"/>
    <d v="2018-08-14T00:00:00"/>
    <d v="2018-09-14T00:00:00"/>
    <d v="2018-12-14T00:00:00"/>
    <m/>
    <d v="2018-09-14T00:00:00"/>
    <d v="2020-09-14T00:00:00"/>
    <d v="2021-09-14T00:00:00"/>
    <n v="206701"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6-09-06T00:00:00"/>
    <d v="2016-09-06T00:00:00"/>
    <d v="2016-09-06T00:00:00"/>
    <n v="0"/>
    <d v="2017-02-27T00:00:00"/>
    <d v="2017-02-09T00:00:00"/>
    <n v="-18"/>
    <d v="2017-02-06T00:00:00"/>
    <d v="2017-02-28T00:00:00"/>
    <n v="22"/>
    <d v="2017-04-10T00:00:00"/>
    <d v="2017-08-01T00:00:00"/>
    <n v="113"/>
    <d v="2018-02-12T00:00:00"/>
    <d v="2018-10-25T00:00:00"/>
    <n v="255"/>
    <m/>
    <m/>
    <d v="2018-07-27T00:00:00"/>
    <d v="2018-11-20T00:00:00"/>
    <n v="116"/>
    <d v="2018-08-10T00:00:00"/>
    <x v="52"/>
    <x v="8"/>
    <n v="22.666666666666668"/>
    <n v="287"/>
    <n v="24"/>
    <n v="25"/>
    <m/>
    <d v="2018-11-20T00:00:00"/>
    <s v="0"/>
    <m/>
    <d v="2018-11-20T00:00:00"/>
    <s v="0"/>
    <m/>
    <d v="2018-11-20T00:00:00"/>
    <s v="0"/>
    <d v="2019-02-09T00:00:00"/>
    <d v="2019-02-09T00:00:00"/>
    <n v="0"/>
    <m/>
    <m/>
    <s v="0"/>
    <m/>
    <d v="2018-11-20T00:00:00"/>
    <s v="0"/>
    <d v="2019-04-27T00:00:00"/>
    <d v="2019-04-27T00:00:00"/>
    <n v="0"/>
    <m/>
    <m/>
    <m/>
    <d v="2021-05-24T00:00:00"/>
    <d v="2021-06-24T00:00:00"/>
    <n v="1.0333333333333334"/>
    <d v="1901-12-31T00:00:00"/>
    <m/>
    <m/>
    <d v="2021-10-26T00:00:00"/>
    <m/>
    <d v="2021-06-24T00:00:00"/>
    <x v="57"/>
    <x v="6"/>
    <n v="5.166666666666667"/>
    <n v="34578"/>
    <n v="178653"/>
    <m/>
    <n v="0"/>
    <n v="0"/>
    <m/>
    <m/>
    <m/>
    <n v="0"/>
    <m/>
    <m/>
    <s v="PRO à recevoir en 02/18 - PC modif à déposer"/>
    <m/>
    <m/>
    <m/>
    <m/>
    <m/>
    <m/>
    <m/>
    <d v="2022-06-24T00:00:00"/>
    <m/>
    <m/>
    <m/>
    <m/>
    <m/>
    <m/>
    <m/>
    <m/>
    <m/>
    <m/>
    <m/>
    <m/>
    <m/>
    <m/>
    <m/>
    <m/>
    <n v="12734880"/>
    <n v="12677323"/>
    <n v="12677323"/>
    <n v="-57557"/>
    <n v="1949.6135320677649"/>
    <n v="150920.51190476189"/>
    <n v="14981542.360255377"/>
    <n v="10898468"/>
    <n v="0.87773545156181632"/>
    <n v="3890729"/>
    <n v="3808325"/>
    <m/>
    <n v="45337.202380952382"/>
    <n v="-82404"/>
    <n v="7274595"/>
    <n v="7299442"/>
    <n v="1108476"/>
    <n v="6190966"/>
    <n v="24847"/>
    <n v="86898.119047619053"/>
    <m/>
    <n v="1512000"/>
    <n v="1512000"/>
    <m/>
    <n v="0.11926808207063905"/>
    <m/>
    <n v="57556"/>
    <n v="57556"/>
    <n v="18000"/>
    <n v="63337.202380952382"/>
    <n v="685.19047619047615"/>
    <n v="5.31"/>
    <n v="5.05"/>
    <m/>
    <m/>
    <n v="64318.202380952382"/>
    <m/>
    <n v="63337.202380952382"/>
    <n v="0.4242465574862111"/>
    <m/>
    <m/>
    <n v="0"/>
    <n v="12734880"/>
    <m/>
    <m/>
    <m/>
    <m/>
    <m/>
    <n v="638743"/>
    <n v="319371"/>
    <d v="2016-08-23T00:00:00"/>
    <n v="110767"/>
    <m/>
    <m/>
    <d v="2016-12-12T00:00:00"/>
    <n v="22977"/>
    <d v="2017-02-28T00:00:00"/>
    <n v="22994"/>
    <d v="2017-07-10T00:00:00"/>
    <n v="62867"/>
    <d v="2018-07-09T00:00:00"/>
    <n v="99766"/>
    <m/>
    <m/>
    <m/>
    <m/>
    <m/>
    <m/>
    <m/>
    <m/>
    <m/>
    <m/>
    <m/>
    <m/>
    <m/>
    <m/>
    <m/>
    <m/>
    <n v="22994"/>
    <m/>
    <m/>
    <m/>
    <m/>
    <m/>
  </r>
  <r>
    <s v="VEFA CROUS Tampon"/>
    <m/>
    <x v="2"/>
    <x v="1"/>
    <x v="8"/>
    <s v="PRLC 0194"/>
    <s v="FVA"/>
    <s v="GGO"/>
    <x v="3"/>
    <m/>
    <s v="BW 683 p"/>
    <m/>
    <m/>
    <m/>
    <m/>
    <n v="1952"/>
    <n v="1"/>
    <m/>
    <n v="0.01"/>
    <n v="5.1229508196721314E-4"/>
    <n v="0"/>
    <n v="0"/>
    <n v="0"/>
    <n v="19.52"/>
    <m/>
    <n v="512.29508196721315"/>
    <m/>
    <n v="500"/>
    <m/>
    <x v="2"/>
    <x v="43"/>
    <n v="100"/>
    <m/>
    <m/>
    <n v="100"/>
    <m/>
    <n v="1701.83"/>
    <n v="1868.31"/>
    <n v="1923.47"/>
    <n v="1923.47"/>
    <n v="19.2347"/>
    <m/>
    <m/>
    <m/>
    <m/>
    <m/>
    <m/>
    <m/>
    <m/>
    <m/>
    <s v="collectif"/>
    <s v="oui"/>
    <n v="5763615"/>
    <n v="2996.467322079367"/>
    <m/>
    <m/>
    <m/>
    <m/>
    <m/>
    <m/>
    <d v="2018-01-02T00:00:00"/>
    <d v="2018-01-16T00:00:00"/>
    <m/>
    <m/>
    <m/>
    <d v="2018-01-12T00:00:00"/>
    <d v="2018-02-13T00:00:00"/>
    <m/>
    <d v="2018-03-01T00:00:00"/>
    <d v="2018-02-13T00:00:00"/>
    <d v="2020-02-13T00:00:00"/>
    <d v="2021-02-13T00:00:00"/>
    <m/>
    <s v="non"/>
    <n v="17"/>
    <n v="0"/>
    <n v="0"/>
    <s v="ok"/>
    <d v="2018-03-04T00:00:00"/>
    <m/>
    <m/>
    <m/>
    <d v="2018-03-19T00:00:00"/>
    <m/>
    <m/>
    <m/>
    <m/>
    <m/>
    <m/>
    <m/>
    <m/>
    <m/>
    <m/>
    <m/>
    <m/>
    <m/>
    <s v="SO"/>
    <m/>
    <m/>
    <s v="SO"/>
    <s v="SO"/>
    <m/>
    <m/>
    <n v="1456.4333333333334"/>
    <m/>
    <m/>
    <m/>
    <s v="0"/>
    <d v="2017-02-09T00:00:00"/>
    <d v="2017-05-16T00:00:00"/>
    <n v="96"/>
    <m/>
    <m/>
    <s v="0"/>
    <m/>
    <d v="2018-11-20T00:00:00"/>
    <s v="0"/>
    <m/>
    <d v="2018-11-20T00:00:00"/>
    <s v="0"/>
    <m/>
    <m/>
    <m/>
    <m/>
    <s v="0"/>
    <m/>
    <x v="53"/>
    <x v="7"/>
    <n v="2.2000000000000002"/>
    <s v="0"/>
    <n v="17"/>
    <n v="17"/>
    <m/>
    <d v="2018-11-20T00:00:00"/>
    <s v="0"/>
    <m/>
    <d v="2018-11-20T00:00:00"/>
    <s v="0"/>
    <m/>
    <d v="2018-11-20T00:00:00"/>
    <s v="0"/>
    <d v="2019-02-10T00:00:00"/>
    <d v="2019-02-10T00:00:00"/>
    <n v="0"/>
    <m/>
    <m/>
    <s v="0"/>
    <m/>
    <d v="2018-11-20T00:00:00"/>
    <s v="0"/>
    <d v="2019-04-28T00:00:00"/>
    <d v="2019-04-28T00:00:00"/>
    <n v="0"/>
    <m/>
    <m/>
    <m/>
    <d v="2019-08-09T00:00:00"/>
    <d v="2019-08-09T00:00:00"/>
    <n v="0"/>
    <d v="1901-12-31T00:00:00"/>
    <m/>
    <m/>
    <d v="2019-12-11T00:00:00"/>
    <m/>
    <d v="2019-09-09T00:00:00"/>
    <x v="42"/>
    <x v="6"/>
    <e v="#NUM!"/>
    <m/>
    <e v="#NUM!"/>
    <m/>
    <n v="0"/>
    <n v="0"/>
    <m/>
    <m/>
    <m/>
    <n v="0"/>
    <m/>
    <m/>
    <m/>
    <s v="contrat de prêt à recevoir en février 2018 / délib garantie CM 24/02 / VEFA à signer fin fév 18 au + tard"/>
    <m/>
    <m/>
    <m/>
    <m/>
    <m/>
    <m/>
    <d v="2020-08-09T00:00:00"/>
    <m/>
    <m/>
    <m/>
    <m/>
    <m/>
    <m/>
    <m/>
    <m/>
    <m/>
    <m/>
    <m/>
    <m/>
    <m/>
    <m/>
    <m/>
    <m/>
    <n v="6236911"/>
    <n v="6236911"/>
    <n v="6236911"/>
    <n v="0"/>
    <n v="3338.263457349155"/>
    <n v="62369.11"/>
    <m/>
    <m/>
    <n v="0"/>
    <n v="1736993"/>
    <n v="1736993"/>
    <n v="1736993"/>
    <n v="17369.93"/>
    <m/>
    <n v="3189669"/>
    <n v="3189669"/>
    <m/>
    <m/>
    <n v="0"/>
    <n v="31896.69"/>
    <m/>
    <m/>
    <m/>
    <m/>
    <n v="0"/>
    <m/>
    <n v="1310249"/>
    <n v="1310249"/>
    <n v="0"/>
    <n v="17369.93"/>
    <n v="13102.49"/>
    <n v="6.31"/>
    <m/>
    <m/>
    <m/>
    <n v="17369.93"/>
    <m/>
    <n v="17369.93"/>
    <n v="0.27850213030136234"/>
    <m/>
    <m/>
    <n v="0"/>
    <n v="6236911"/>
    <m/>
    <m/>
    <m/>
    <m/>
    <m/>
    <n v="196296"/>
    <n v="151148"/>
    <m/>
    <m/>
    <m/>
    <m/>
    <m/>
    <m/>
    <d v="2016-12-31T00:00:00"/>
    <n v="46179"/>
    <d v="2017-12-05T00:00:00"/>
    <n v="22525"/>
    <m/>
    <m/>
    <m/>
    <m/>
    <m/>
    <m/>
    <d v="2018-03-08T00:00:00"/>
    <n v="29444"/>
    <s v="26/07/2018 - 14/09/18"/>
    <n v="43186"/>
    <d v="2018-11-08T00:00:00"/>
    <n v="9814"/>
    <m/>
    <m/>
    <m/>
    <m/>
    <m/>
    <m/>
    <m/>
    <m/>
    <m/>
    <m/>
    <m/>
    <m/>
  </r>
  <r>
    <s v="Bellevue A-B-C"/>
    <m/>
    <x v="2"/>
    <x v="1"/>
    <x v="8"/>
    <m/>
    <s v="JER"/>
    <s v="NLE"/>
    <x v="6"/>
    <m/>
    <s v="BW 2862"/>
    <s v="Acte sur BW 1750 / 1752 / 1789_x000a_manque les justificatifs sur les autres parcelles"/>
    <s v="SODEGIS"/>
    <s v="Poudroux"/>
    <d v="1995-08-01T00:00:00"/>
    <m/>
    <m/>
    <m/>
    <m/>
    <m/>
    <m/>
    <m/>
    <m/>
    <m/>
    <m/>
    <e v="#DIV/0!"/>
    <m/>
    <m/>
    <m/>
    <x v="3"/>
    <x v="44"/>
    <n v="0"/>
    <m/>
    <m/>
    <m/>
    <n v="128"/>
    <m/>
    <m/>
    <m/>
    <m/>
    <n v="0"/>
    <m/>
    <m/>
    <m/>
    <m/>
    <m/>
    <m/>
    <m/>
    <m/>
    <m/>
    <m/>
    <m/>
    <m/>
    <m/>
    <m/>
    <m/>
    <d v="2018-07-27T00:00:00"/>
    <m/>
    <m/>
    <m/>
    <m/>
    <m/>
    <m/>
    <m/>
    <m/>
    <d v="2018-07-30T00:00:00"/>
    <d v="2018-08-30T00:00:00"/>
    <d v="2018-11-30T00:00:00"/>
    <m/>
    <d v="2018-08-30T00:00:00"/>
    <d v="2020-08-30T00:00:00"/>
    <d v="2021-08-30T00:00:00"/>
    <m/>
    <s v="oui"/>
    <n v="10"/>
    <n v="0"/>
    <n v="0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d v="2017-07-19T00:00:00"/>
    <m/>
    <m/>
    <s v="0"/>
    <d v="2017-10-30T00:00:00"/>
    <d v="2018-11-20T00:00:00"/>
    <n v="386"/>
    <d v="2017-10-09T00:00:00"/>
    <d v="2018-11-20T00:00:00"/>
    <n v="407"/>
    <d v="2017-12-29T00:00:00"/>
    <d v="2018-11-20T00:00:00"/>
    <n v="326"/>
    <d v="2018-02-27T00:00:00"/>
    <d v="2018-11-20T00:00:00"/>
    <n v="266"/>
    <m/>
    <d v="2018-10-30T00:00:00"/>
    <d v="2019-05-17T00:00:00"/>
    <d v="2019-05-17T00:00:00"/>
    <n v="0"/>
    <d v="2019-05-31T00:00:00"/>
    <x v="54"/>
    <x v="8"/>
    <n v="1448.3"/>
    <n v="-167"/>
    <n v="16"/>
    <n v="17"/>
    <m/>
    <d v="2018-11-20T00:00:00"/>
    <s v="0"/>
    <m/>
    <d v="2018-11-20T00:00:00"/>
    <s v="0"/>
    <m/>
    <d v="2018-11-20T00:00:00"/>
    <s v="0"/>
    <d v="2019-02-11T00:00:00"/>
    <d v="2019-02-11T00:00:00"/>
    <n v="0"/>
    <m/>
    <m/>
    <s v="0"/>
    <m/>
    <d v="2018-11-20T00:00:00"/>
    <s v="0"/>
    <d v="2019-04-29T00:00:00"/>
    <d v="2019-04-29T00:00:00"/>
    <n v="0"/>
    <m/>
    <m/>
    <m/>
    <d v="2020-04-15T00:00:00"/>
    <d v="2020-05-15T00:00:00"/>
    <n v="1"/>
    <m/>
    <m/>
    <m/>
    <d v="2020-09-17T00:00:00"/>
    <m/>
    <d v="2020-05-15T00:00:00"/>
    <x v="58"/>
    <x v="6"/>
    <n v="5.166666666666667"/>
    <m/>
    <n v="0"/>
    <m/>
    <n v="0"/>
    <n v="0"/>
    <m/>
    <m/>
    <m/>
    <n v="0"/>
    <m/>
    <m/>
    <s v="DIAG reçu / valider pgr travaux / revue de projet 20/02"/>
    <m/>
    <m/>
    <m/>
    <m/>
    <m/>
    <m/>
    <m/>
    <d v="2021-05-15T00:00:00"/>
    <m/>
    <m/>
    <m/>
    <m/>
    <m/>
    <m/>
    <m/>
    <m/>
    <m/>
    <m/>
    <m/>
    <m/>
    <m/>
    <m/>
    <m/>
    <m/>
    <n v="3625157"/>
    <n v="3625157"/>
    <m/>
    <n v="0"/>
    <e v="#DIV/0!"/>
    <n v="28321.5390625"/>
    <m/>
    <m/>
    <n v="0"/>
    <m/>
    <m/>
    <m/>
    <n v="0"/>
    <m/>
    <n v="2145157"/>
    <n v="2145157"/>
    <m/>
    <m/>
    <n v="0"/>
    <n v="16759.0390625"/>
    <m/>
    <n v="800000"/>
    <n v="800000"/>
    <m/>
    <n v="0.22068009744129702"/>
    <n v="680000"/>
    <m/>
    <n v="0"/>
    <n v="6250"/>
    <n v="6250"/>
    <n v="0"/>
    <n v="6.31"/>
    <m/>
    <m/>
    <m/>
    <n v="6250"/>
    <m/>
    <n v="6250"/>
    <n v="0.22068009744129702"/>
    <m/>
    <m/>
    <n v="0"/>
    <n v="3625157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anal Lilis"/>
    <m/>
    <x v="7"/>
    <x v="1"/>
    <x v="8"/>
    <m/>
    <s v="JER"/>
    <s v="DBE"/>
    <x v="6"/>
    <m/>
    <s v="BN 1004"/>
    <s v="BN 787 / 789 n'existent plus au cadastre"/>
    <s v="SODEGIS"/>
    <s v="Esparon"/>
    <s v="29/04/1994_x000a_27/07/93"/>
    <m/>
    <m/>
    <m/>
    <m/>
    <m/>
    <m/>
    <m/>
    <m/>
    <m/>
    <m/>
    <e v="#DIV/0!"/>
    <m/>
    <m/>
    <m/>
    <x v="3"/>
    <x v="2"/>
    <n v="0"/>
    <m/>
    <m/>
    <m/>
    <n v="23"/>
    <m/>
    <m/>
    <m/>
    <m/>
    <n v="0"/>
    <m/>
    <m/>
    <m/>
    <m/>
    <m/>
    <m/>
    <m/>
    <m/>
    <m/>
    <m/>
    <m/>
    <m/>
    <m/>
    <m/>
    <m/>
    <d v="2018-07-27T00:00:00"/>
    <m/>
    <m/>
    <m/>
    <d v="2018-08-23T00:00:00"/>
    <m/>
    <m/>
    <m/>
    <m/>
    <d v="2018-10-23T00:00:00"/>
    <d v="2018-11-23T00:00:00"/>
    <d v="2019-02-23T00:00:00"/>
    <m/>
    <d v="2018-11-23T00:00:00"/>
    <d v="2020-11-23T00:00:00"/>
    <d v="2021-11-23T00:00:00"/>
    <m/>
    <s v="non"/>
    <n v="13"/>
    <n v="0"/>
    <n v="0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d v="2017-09-29T00:00:00"/>
    <d v="2018-11-20T00:00:00"/>
    <n v="417"/>
    <d v="2017-09-08T00:00:00"/>
    <d v="2018-11-20T00:00:00"/>
    <n v="438"/>
    <d v="2017-11-28T00:00:00"/>
    <d v="2018-11-20T00:00:00"/>
    <n v="357"/>
    <d v="2018-01-26T00:00:00"/>
    <d v="2018-11-20T00:00:00"/>
    <n v="298"/>
    <m/>
    <d v="2018-10-30T00:00:00"/>
    <d v="2019-04-17T00:00:00"/>
    <d v="2019-04-17T00:00:00"/>
    <n v="0"/>
    <d v="2019-05-02T00:00:00"/>
    <x v="54"/>
    <x v="8"/>
    <n v="3.8"/>
    <n v="-138"/>
    <n v="16"/>
    <n v="17"/>
    <m/>
    <d v="2018-11-20T00:00:00"/>
    <s v="0"/>
    <m/>
    <d v="2018-11-20T00:00:00"/>
    <s v="0"/>
    <m/>
    <d v="2018-11-20T00:00:00"/>
    <s v="0"/>
    <d v="2019-02-12T00:00:00"/>
    <d v="2019-02-12T00:00:00"/>
    <n v="0"/>
    <m/>
    <m/>
    <s v="0"/>
    <m/>
    <d v="2018-11-20T00:00:00"/>
    <s v="0"/>
    <d v="2019-04-30T00:00:00"/>
    <d v="2019-04-30T00:00:00"/>
    <n v="0"/>
    <m/>
    <m/>
    <m/>
    <d v="2020-04-15T00:00:00"/>
    <d v="2020-05-15T00:00:00"/>
    <n v="1"/>
    <m/>
    <m/>
    <m/>
    <d v="2020-09-17T00:00:00"/>
    <m/>
    <d v="2020-05-15T00:00:00"/>
    <x v="58"/>
    <x v="6"/>
    <n v="5.166666666666667"/>
    <m/>
    <n v="0"/>
    <m/>
    <n v="0"/>
    <n v="0"/>
    <m/>
    <m/>
    <m/>
    <n v="0"/>
    <m/>
    <m/>
    <s v="DIAG reçu / valider pgr travaux / revue de projet 20/02"/>
    <m/>
    <m/>
    <m/>
    <m/>
    <m/>
    <m/>
    <m/>
    <d v="2021-05-15T00:00:00"/>
    <m/>
    <m/>
    <m/>
    <m/>
    <m/>
    <m/>
    <m/>
    <m/>
    <m/>
    <m/>
    <m/>
    <m/>
    <m/>
    <m/>
    <m/>
    <m/>
    <n v="994796"/>
    <n v="1081472.94"/>
    <m/>
    <n v="86676.939999999944"/>
    <e v="#DIV/0!"/>
    <n v="47020.562608695647"/>
    <m/>
    <m/>
    <n v="0"/>
    <m/>
    <m/>
    <m/>
    <n v="0"/>
    <m/>
    <n v="515036"/>
    <n v="784792.94"/>
    <m/>
    <m/>
    <n v="269756.93999999994"/>
    <n v="34121.432173913039"/>
    <m/>
    <n v="298080"/>
    <n v="115000"/>
    <m/>
    <n v="0.1063364562778612"/>
    <n v="180000"/>
    <n v="1680"/>
    <n v="-183080"/>
    <n v="5000"/>
    <n v="5000"/>
    <n v="-7960"/>
    <n v="6.31"/>
    <m/>
    <m/>
    <m/>
    <n v="12960"/>
    <m/>
    <n v="5000"/>
    <n v="0.29963932303708501"/>
    <m/>
    <m/>
    <n v="0"/>
    <n v="994796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La Cure"/>
    <m/>
    <x v="7"/>
    <x v="1"/>
    <x v="8"/>
    <m/>
    <s v="JER"/>
    <s v="NLE"/>
    <x v="6"/>
    <m/>
    <s v="BN 781"/>
    <s v="manque les autres parcelles"/>
    <s v="SODEGIS"/>
    <s v="LAGOURGUE"/>
    <d v="1993-01-25T00:00:00"/>
    <m/>
    <m/>
    <m/>
    <m/>
    <m/>
    <m/>
    <m/>
    <m/>
    <m/>
    <m/>
    <e v="#DIV/0!"/>
    <m/>
    <m/>
    <m/>
    <x v="3"/>
    <x v="1"/>
    <n v="0"/>
    <m/>
    <m/>
    <m/>
    <n v="30"/>
    <m/>
    <m/>
    <m/>
    <m/>
    <n v="0"/>
    <m/>
    <m/>
    <m/>
    <m/>
    <m/>
    <m/>
    <m/>
    <m/>
    <m/>
    <m/>
    <m/>
    <m/>
    <m/>
    <m/>
    <m/>
    <d v="2018-07-27T00:00:00"/>
    <m/>
    <m/>
    <m/>
    <d v="2018-08-23T00:00:00"/>
    <m/>
    <m/>
    <m/>
    <m/>
    <d v="2018-10-23T00:00:00"/>
    <d v="2018-11-23T00:00:00"/>
    <d v="2019-02-23T00:00:00"/>
    <m/>
    <d v="2018-11-23T00:00:00"/>
    <d v="2020-11-23T00:00:00"/>
    <d v="2021-11-23T00:00:00"/>
    <m/>
    <s v="non"/>
    <n v="13"/>
    <n v="0"/>
    <n v="0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d v="2017-08-22T00:00:00"/>
    <d v="2018-11-20T00:00:00"/>
    <n v="455"/>
    <d v="2017-08-01T00:00:00"/>
    <d v="2018-11-20T00:00:00"/>
    <n v="476"/>
    <d v="2017-10-20T00:00:00"/>
    <d v="2018-11-20T00:00:00"/>
    <n v="396"/>
    <d v="2017-12-20T00:00:00"/>
    <d v="2018-11-20T00:00:00"/>
    <n v="335"/>
    <m/>
    <d v="2018-10-30T00:00:00"/>
    <d v="2019-03-08T00:00:00"/>
    <d v="2019-03-08T00:00:00"/>
    <n v="0"/>
    <d v="2019-03-25T00:00:00"/>
    <x v="54"/>
    <x v="8"/>
    <n v="3.8"/>
    <n v="-100"/>
    <n v="16"/>
    <n v="17"/>
    <m/>
    <d v="2018-11-20T00:00:00"/>
    <s v="0"/>
    <m/>
    <d v="2018-11-20T00:00:00"/>
    <s v="0"/>
    <m/>
    <d v="2018-11-20T00:00:00"/>
    <s v="0"/>
    <d v="2019-02-13T00:00:00"/>
    <d v="2019-02-13T00:00:00"/>
    <n v="0"/>
    <m/>
    <m/>
    <s v="0"/>
    <m/>
    <d v="2018-11-20T00:00:00"/>
    <s v="0"/>
    <d v="2019-05-01T00:00:00"/>
    <d v="2019-05-01T00:00:00"/>
    <n v="0"/>
    <m/>
    <m/>
    <m/>
    <d v="2020-04-15T00:00:00"/>
    <d v="2020-05-15T00:00:00"/>
    <n v="1"/>
    <m/>
    <m/>
    <m/>
    <d v="2020-09-17T00:00:00"/>
    <m/>
    <d v="2020-05-15T00:00:00"/>
    <x v="58"/>
    <x v="6"/>
    <n v="5.166666666666667"/>
    <m/>
    <n v="0"/>
    <m/>
    <n v="0"/>
    <n v="0"/>
    <m/>
    <m/>
    <m/>
    <n v="0"/>
    <m/>
    <m/>
    <s v="DIAG reçu / valider pgr travaux / revue de projet 20/02"/>
    <m/>
    <m/>
    <m/>
    <m/>
    <m/>
    <m/>
    <m/>
    <d v="2021-05-15T00:00:00"/>
    <m/>
    <m/>
    <m/>
    <m/>
    <m/>
    <m/>
    <m/>
    <m/>
    <m/>
    <m/>
    <m/>
    <m/>
    <m/>
    <m/>
    <m/>
    <m/>
    <n v="985169.38"/>
    <n v="1019489.68"/>
    <m/>
    <n v="34320.300000000047"/>
    <e v="#DIV/0!"/>
    <n v="33982.989333333338"/>
    <m/>
    <m/>
    <n v="0"/>
    <m/>
    <m/>
    <m/>
    <n v="0"/>
    <m/>
    <n v="545749.38"/>
    <n v="617569.68000000005"/>
    <m/>
    <m/>
    <n v="71820.300000000047"/>
    <n v="20585.656000000003"/>
    <m/>
    <n v="187500"/>
    <n v="150000"/>
    <m/>
    <n v="0.14713243590656061"/>
    <n v="250000"/>
    <n v="1920"/>
    <n v="-37500"/>
    <n v="5000"/>
    <n v="5000"/>
    <n v="-1250"/>
    <n v="6.31"/>
    <m/>
    <m/>
    <m/>
    <n v="6250"/>
    <m/>
    <n v="5000"/>
    <n v="0.19032260219049846"/>
    <m/>
    <m/>
    <n v="0"/>
    <n v="985169.38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Poinsétias"/>
    <m/>
    <x v="9"/>
    <x v="1"/>
    <x v="8"/>
    <m/>
    <s v="JER"/>
    <s v="NLE"/>
    <x v="6"/>
    <m/>
    <s v="AS 1450"/>
    <s v="AS 62, 63, 64, 513 v n'existent plus au cadastre"/>
    <s v="SODEGIS"/>
    <s v="HOARAU"/>
    <d v="1993-12-16T00:00:00"/>
    <m/>
    <m/>
    <m/>
    <m/>
    <m/>
    <m/>
    <m/>
    <m/>
    <m/>
    <m/>
    <e v="#DIV/0!"/>
    <m/>
    <m/>
    <m/>
    <x v="3"/>
    <x v="26"/>
    <n v="0"/>
    <m/>
    <m/>
    <m/>
    <n v="34"/>
    <m/>
    <m/>
    <m/>
    <m/>
    <n v="0"/>
    <m/>
    <m/>
    <m/>
    <m/>
    <m/>
    <m/>
    <m/>
    <m/>
    <m/>
    <m/>
    <m/>
    <m/>
    <m/>
    <m/>
    <m/>
    <d v="2018-07-27T00:00:00"/>
    <m/>
    <m/>
    <m/>
    <d v="2018-08-23T00:00:00"/>
    <m/>
    <m/>
    <m/>
    <m/>
    <d v="2018-10-23T00:00:00"/>
    <d v="2018-11-23T00:00:00"/>
    <d v="2019-02-23T00:00:00"/>
    <m/>
    <d v="2018-11-23T00:00:00"/>
    <d v="2020-11-23T00:00:00"/>
    <d v="2021-11-23T00:00:00"/>
    <m/>
    <s v="non"/>
    <n v="13"/>
    <n v="0"/>
    <n v="0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d v="2017-07-11T00:00:00"/>
    <m/>
    <m/>
    <s v="0"/>
    <d v="2017-11-28T00:00:00"/>
    <d v="2018-11-20T00:00:00"/>
    <n v="357"/>
    <d v="2017-11-07T00:00:00"/>
    <d v="2018-11-20T00:00:00"/>
    <n v="378"/>
    <d v="2018-01-26T00:00:00"/>
    <d v="2018-11-20T00:00:00"/>
    <n v="298"/>
    <d v="2018-03-28T00:00:00"/>
    <d v="2018-11-20T00:00:00"/>
    <n v="237"/>
    <m/>
    <d v="2018-10-30T00:00:00"/>
    <d v="2019-06-14T00:00:00"/>
    <d v="2019-06-14T00:00:00"/>
    <n v="0"/>
    <d v="2019-07-01T00:00:00"/>
    <x v="54"/>
    <x v="8"/>
    <n v="3.8"/>
    <n v="-198"/>
    <n v="16"/>
    <n v="17"/>
    <m/>
    <d v="2018-11-20T00:00:00"/>
    <s v="0"/>
    <m/>
    <d v="2018-11-20T00:00:00"/>
    <s v="0"/>
    <m/>
    <d v="2018-11-20T00:00:00"/>
    <s v="0"/>
    <d v="2019-02-14T00:00:00"/>
    <d v="2019-02-14T00:00:00"/>
    <n v="0"/>
    <m/>
    <m/>
    <s v="0"/>
    <m/>
    <d v="2018-11-20T00:00:00"/>
    <s v="0"/>
    <d v="2019-05-02T00:00:00"/>
    <d v="2019-05-02T00:00:00"/>
    <n v="0"/>
    <m/>
    <m/>
    <m/>
    <d v="2020-04-15T00:00:00"/>
    <d v="2020-05-15T00:00:00"/>
    <n v="1"/>
    <m/>
    <m/>
    <m/>
    <d v="2020-09-17T00:00:00"/>
    <m/>
    <d v="2020-05-15T00:00:00"/>
    <x v="58"/>
    <x v="6"/>
    <n v="5.166666666666667"/>
    <m/>
    <n v="0"/>
    <m/>
    <n v="0"/>
    <n v="0"/>
    <m/>
    <m/>
    <m/>
    <n v="0"/>
    <m/>
    <m/>
    <s v="DIAG reçu / valider pgr travaux / revue de projet 20/02"/>
    <m/>
    <m/>
    <m/>
    <m/>
    <m/>
    <m/>
    <m/>
    <d v="2021-05-15T00:00:00"/>
    <m/>
    <m/>
    <m/>
    <m/>
    <m/>
    <m/>
    <m/>
    <m/>
    <m/>
    <m/>
    <m/>
    <m/>
    <m/>
    <m/>
    <m/>
    <m/>
    <n v="843844"/>
    <n v="1032790.2"/>
    <m/>
    <n v="188946.19999999995"/>
    <e v="#DIV/0!"/>
    <n v="24818.941176470587"/>
    <m/>
    <m/>
    <n v="0"/>
    <m/>
    <m/>
    <m/>
    <n v="0"/>
    <m/>
    <n v="289664"/>
    <n v="555110.19999999995"/>
    <m/>
    <m/>
    <n v="265446.19999999995"/>
    <n v="16326.770588235293"/>
    <m/>
    <n v="212500"/>
    <n v="136000"/>
    <m/>
    <n v="0.13168211704564975"/>
    <n v="340000"/>
    <n v="1680"/>
    <n v="-76500"/>
    <n v="4000"/>
    <n v="4000"/>
    <n v="-2250"/>
    <n v="6.31"/>
    <m/>
    <m/>
    <m/>
    <n v="6250"/>
    <m/>
    <n v="4000"/>
    <n v="0.25182379681552514"/>
    <m/>
    <m/>
    <n v="0"/>
    <n v="843844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OCO TURPIN"/>
    <m/>
    <x v="10"/>
    <x v="0"/>
    <x v="8"/>
    <s v="PRLC 0198"/>
    <s v="ADE"/>
    <s v="MMA"/>
    <x v="7"/>
    <m/>
    <s v="EM 628 p"/>
    <s v="EM 628 p_x000a_CPV avec TURPIN signé + clause substit EPFR_x000a_bornage à compléter - manque procurations / DA en cours de finalisation pour EM 629_x000a_EPFR délibère en mars/avril_x000a_minoration foncière CIVIS"/>
    <s v="TURPIN"/>
    <m/>
    <m/>
    <n v="7382"/>
    <n v="1016540"/>
    <m/>
    <n v="26065.128205128207"/>
    <n v="137.7052289352479"/>
    <n v="0"/>
    <n v="0"/>
    <n v="0"/>
    <n v="189.28205128205127"/>
    <m/>
    <n v="52.831211053914927"/>
    <m/>
    <m/>
    <m/>
    <x v="1"/>
    <x v="45"/>
    <n v="39"/>
    <n v="39"/>
    <m/>
    <m/>
    <m/>
    <m/>
    <n v="3148.1"/>
    <m/>
    <n v="2938.4"/>
    <n v="75.343589743589746"/>
    <n v="0.17948717948717949"/>
    <n v="0.20512820512820512"/>
    <n v="0.46153846153846156"/>
    <n v="0.30769230769230771"/>
    <n v="2.564102564102564E-2"/>
    <m/>
    <m/>
    <m/>
    <m/>
    <s v="collectif"/>
    <s v="non"/>
    <m/>
    <m/>
    <m/>
    <m/>
    <d v="2018-07-27T00:00:00"/>
    <s v="SO"/>
    <m/>
    <m/>
    <d v="2018-09-28T00:00:00"/>
    <m/>
    <s v="SO"/>
    <s v="SO"/>
    <s v="SO"/>
    <d v="2018-10-26T00:00:00"/>
    <d v="2018-11-26T00:00:00"/>
    <d v="2019-02-26T00:00:00"/>
    <m/>
    <d v="2018-11-26T00:00:00"/>
    <d v="2020-11-26T00:00:00"/>
    <d v="2021-11-26T00:00:00"/>
    <n v="109917"/>
    <s v="non"/>
    <n v="5"/>
    <n v="97135"/>
    <n v="-12782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7-10-11T00:00:00"/>
    <d v="2017-10-26T00:00:00"/>
    <d v="2017-10-12T00:00:00"/>
    <n v="-14"/>
    <d v="2018-02-09T00:00:00"/>
    <d v="2018-02-08T00:00:00"/>
    <n v="-1"/>
    <d v="2017-12-22T00:00:00"/>
    <d v="2018-03-30T00:00:00"/>
    <n v="98"/>
    <d v="2018-05-01T00:00:00"/>
    <d v="2018-07-06T00:00:00"/>
    <n v="66"/>
    <d v="2018-06-29T00:00:00"/>
    <d v="2018-11-08T00:00:00"/>
    <n v="132"/>
    <m/>
    <m/>
    <d v="2019-03-19T00:00:00"/>
    <d v="2019-03-19T00:00:00"/>
    <n v="0"/>
    <d v="2019-03-20T00:00:00"/>
    <x v="55"/>
    <x v="8"/>
    <n v="7.3"/>
    <n v="46"/>
    <n v="18"/>
    <n v="20"/>
    <m/>
    <d v="2018-11-20T00:00:00"/>
    <s v="0"/>
    <m/>
    <d v="2018-11-20T00:00:00"/>
    <s v="0"/>
    <m/>
    <d v="2018-11-20T00:00:00"/>
    <s v="0"/>
    <d v="2019-02-15T00:00:00"/>
    <d v="2019-02-15T00:00:00"/>
    <n v="0"/>
    <m/>
    <m/>
    <s v="0"/>
    <m/>
    <d v="2018-11-20T00:00:00"/>
    <s v="0"/>
    <d v="2019-05-03T00:00:00"/>
    <d v="2019-05-03T00:00:00"/>
    <n v="0"/>
    <m/>
    <m/>
    <m/>
    <d v="2020-11-05T00:00:00"/>
    <d v="2021-01-05T00:00:00"/>
    <n v="2.0333333333333332"/>
    <d v="1901-12-31T00:00:00"/>
    <m/>
    <m/>
    <d v="2021-05-07T00:00:00"/>
    <m/>
    <d v="2020-12-05T00:00:00"/>
    <x v="59"/>
    <x v="6"/>
    <n v="6.1333333333333337"/>
    <n v="19427"/>
    <n v="119152.26666666668"/>
    <m/>
    <n v="0"/>
    <n v="0"/>
    <m/>
    <m/>
    <m/>
    <n v="0"/>
    <m/>
    <m/>
    <s v="raccordement EU à 400 mL"/>
    <m/>
    <m/>
    <m/>
    <m/>
    <m/>
    <m/>
    <m/>
    <d v="2022-01-05T00:00:00"/>
    <m/>
    <m/>
    <m/>
    <m/>
    <m/>
    <m/>
    <m/>
    <m/>
    <m/>
    <m/>
    <m/>
    <m/>
    <m/>
    <m/>
    <m/>
    <m/>
    <n v="6812399.6500000004"/>
    <n v="7158473.7200000007"/>
    <n v="7158473.7200000007"/>
    <n v="346074.0700000003"/>
    <n v="2273.9029001620029"/>
    <n v="183550.60820512823"/>
    <m/>
    <m/>
    <n v="0"/>
    <n v="1941014.63"/>
    <n v="2287088.7000000002"/>
    <m/>
    <n v="58643.3"/>
    <m/>
    <n v="4130385.0200000005"/>
    <n v="4130385.0200000005"/>
    <n v="1134693.1100000001"/>
    <n v="2995691.91"/>
    <n v="0"/>
    <n v="105907.30820512821"/>
    <m/>
    <n v="741000"/>
    <n v="741000"/>
    <m/>
    <n v="0.10351368587548575"/>
    <m/>
    <m/>
    <n v="0"/>
    <n v="19000"/>
    <n v="77643.3"/>
    <n v="0"/>
    <n v="6.74"/>
    <n v="6.3"/>
    <m/>
    <m/>
    <n v="68769.605897435889"/>
    <m/>
    <n v="77643.3"/>
    <n v="0.39369602016816496"/>
    <m/>
    <m/>
    <n v="0"/>
    <n v="6812399.6500000004"/>
    <m/>
    <m/>
    <m/>
    <m/>
    <m/>
    <n v="361938"/>
    <n v="180970"/>
    <d v="2017-10-18T00:00:00"/>
    <n v="25896"/>
    <d v="2017-12-11T00:00:00"/>
    <n v="20695"/>
    <d v="2018-03-19T00:00:00"/>
    <n v="24757"/>
    <d v="2018-02-08T00:00:00"/>
    <n v="31062"/>
    <d v="2018-06-21T00:00:00"/>
    <n v="36318"/>
    <d v="2018-10-02T00:00:00"/>
    <n v="42242"/>
    <m/>
    <m/>
    <m/>
    <m/>
    <m/>
    <m/>
    <m/>
    <m/>
    <m/>
    <m/>
    <m/>
    <m/>
    <m/>
    <m/>
    <m/>
    <m/>
    <n v="31062"/>
    <m/>
    <m/>
    <m/>
    <m/>
    <m/>
  </r>
  <r>
    <s v="Opale (ILOT 9)"/>
    <s v="ok - reste Excel"/>
    <x v="4"/>
    <x v="0"/>
    <x v="8"/>
    <s v="PRLC 0197"/>
    <s v="FVA"/>
    <s v="DBE"/>
    <x v="5"/>
    <m/>
    <m/>
    <m/>
    <m/>
    <m/>
    <m/>
    <n v="1627"/>
    <n v="154050"/>
    <n v="154050"/>
    <e v="#DIV/0!"/>
    <n v="94.683466502765825"/>
    <n v="94.683466502765825"/>
    <n v="98.772160420607179"/>
    <n v="9061.7647058823532"/>
    <n v="95.705882352941174"/>
    <m/>
    <n v="104.48678549477566"/>
    <m/>
    <m/>
    <m/>
    <x v="1"/>
    <x v="18"/>
    <n v="17"/>
    <n v="17"/>
    <m/>
    <m/>
    <m/>
    <m/>
    <n v="1598.71"/>
    <m/>
    <n v="1559.65"/>
    <n v="91.744117647058829"/>
    <m/>
    <n v="0.23529411764705882"/>
    <n v="0.35294117647058826"/>
    <n v="0.29411764705882354"/>
    <n v="0.11764705882352941"/>
    <m/>
    <m/>
    <m/>
    <m/>
    <s v="collectif"/>
    <s v="oui"/>
    <m/>
    <m/>
    <m/>
    <d v="2017-08-31T00:00:00"/>
    <d v="2018-07-27T00:00:00"/>
    <s v="SO"/>
    <m/>
    <m/>
    <d v="2018-08-22T00:00:00"/>
    <m/>
    <m/>
    <m/>
    <m/>
    <d v="2018-09-04T00:00:00"/>
    <d v="2018-10-04T00:00:00"/>
    <d v="2019-01-04T00:00:00"/>
    <m/>
    <d v="2018-10-04T00:00:00"/>
    <d v="2020-10-04T00:00:00"/>
    <d v="2021-10-04T00:00:00"/>
    <n v="50739"/>
    <s v="non"/>
    <n v="4"/>
    <n v="39864"/>
    <n v="-10875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7-07-11T00:00:00"/>
    <d v="2017-07-26T00:00:00"/>
    <d v="2017-07-11T00:00:00"/>
    <n v="-15"/>
    <d v="2018-02-09T00:00:00"/>
    <d v="2018-02-07T00:00:00"/>
    <n v="-2"/>
    <d v="2017-11-30T00:00:00"/>
    <d v="2017-12-04T00:00:00"/>
    <n v="4"/>
    <d v="2018-01-25T00:00:00"/>
    <d v="2018-11-20T00:00:00"/>
    <n v="299"/>
    <d v="2018-05-25T00:00:00"/>
    <d v="2018-11-20T00:00:00"/>
    <n v="179"/>
    <m/>
    <d v="2018-11-12T00:00:00"/>
    <d v="2019-03-28T00:00:00"/>
    <d v="2019-03-28T00:00:00"/>
    <n v="0"/>
    <d v="2019-04-12T00:00:00"/>
    <x v="56"/>
    <x v="8"/>
    <n v="8.1666666666666661"/>
    <n v="12"/>
    <n v="16"/>
    <n v="19"/>
    <m/>
    <d v="2018-11-20T00:00:00"/>
    <s v="0"/>
    <m/>
    <d v="2018-11-20T00:00:00"/>
    <s v="0"/>
    <m/>
    <d v="2018-11-20T00:00:00"/>
    <s v="0"/>
    <d v="2019-02-16T00:00:00"/>
    <d v="2019-02-16T00:00:00"/>
    <n v="0"/>
    <m/>
    <m/>
    <s v="0"/>
    <m/>
    <d v="2018-11-20T00:00:00"/>
    <s v="0"/>
    <d v="2019-05-04T00:00:00"/>
    <d v="2019-05-04T00:00:00"/>
    <n v="0"/>
    <m/>
    <m/>
    <m/>
    <d v="2020-08-24T00:00:00"/>
    <d v="2020-11-24T00:00:00"/>
    <n v="3.0666666666666669"/>
    <d v="1901-12-31T00:00:00"/>
    <m/>
    <m/>
    <d v="2021-03-26T00:00:00"/>
    <m/>
    <d v="2020-09-24T00:00:00"/>
    <x v="60"/>
    <x v="6"/>
    <n v="8.1333333333333329"/>
    <n v="9966"/>
    <n v="81056.799999999988"/>
    <m/>
    <n v="0"/>
    <n v="0"/>
    <m/>
    <m/>
    <m/>
    <n v="0"/>
    <m/>
    <m/>
    <s v="PC à déposer 10/02/18 au plus tard"/>
    <m/>
    <m/>
    <m/>
    <m/>
    <m/>
    <m/>
    <m/>
    <d v="2021-11-24T00:00:00"/>
    <m/>
    <m/>
    <m/>
    <m/>
    <m/>
    <m/>
    <m/>
    <m/>
    <m/>
    <m/>
    <m/>
    <m/>
    <m/>
    <m/>
    <m/>
    <m/>
    <n v="3121942"/>
    <n v="3091517"/>
    <n v="3091517"/>
    <n v="-30425"/>
    <n v="1933.7572167560095"/>
    <n v="181853.9411764706"/>
    <m/>
    <m/>
    <n v="0"/>
    <n v="904384"/>
    <n v="958221"/>
    <m/>
    <n v="56365.941176470587"/>
    <m/>
    <n v="1890358"/>
    <n v="1806096"/>
    <n v="267301"/>
    <n v="1538795"/>
    <n v="-84262"/>
    <n v="106240.94117647059"/>
    <m/>
    <n v="323000"/>
    <n v="323000"/>
    <m/>
    <n v="0.10447945135025943"/>
    <m/>
    <n v="4200"/>
    <n v="4200"/>
    <n v="19000"/>
    <n v="75365.941176470587"/>
    <n v="247.05882352941177"/>
    <n v="6.39"/>
    <n v="5.35"/>
    <m/>
    <m/>
    <n v="72199.058823529413"/>
    <m/>
    <n v="75365.941176470587"/>
    <n v="0.39314759851400188"/>
    <m/>
    <m/>
    <n v="0"/>
    <n v="3121942"/>
    <m/>
    <m/>
    <m/>
    <m/>
    <m/>
    <n v="156188"/>
    <n v="76649"/>
    <d v="2017-05-22T00:00:00"/>
    <n v="15110"/>
    <d v="2017-12-21T00:00:00"/>
    <n v="7809"/>
    <d v="2017-12-04T00:00:00"/>
    <n v="8318"/>
    <d v="2018-02-14T00:00:00"/>
    <n v="15619"/>
    <d v="2018-04-03T00:00:00"/>
    <n v="14463"/>
    <d v="2018-06-21T00:00:00"/>
    <n v="15330"/>
    <m/>
    <m/>
    <m/>
    <m/>
    <m/>
    <m/>
    <m/>
    <m/>
    <m/>
    <m/>
    <m/>
    <m/>
    <m/>
    <m/>
    <m/>
    <m/>
    <n v="15619"/>
    <m/>
    <m/>
    <m/>
    <m/>
    <m/>
  </r>
  <r>
    <s v="INDIGO LLS"/>
    <m/>
    <x v="3"/>
    <x v="2"/>
    <x v="8"/>
    <s v="PRLC 0192"/>
    <s v="APU"/>
    <s v="DBE"/>
    <x v="5"/>
    <m/>
    <s v="DD783 / 1298"/>
    <s v="_x000a_attente protocole DD 1298 pour prendre possession des lieux_x000a_lancer procédure expulsion bungalow"/>
    <m/>
    <m/>
    <m/>
    <n v="4783.68"/>
    <n v="230090"/>
    <m/>
    <n v="10458.636363636364"/>
    <n v="48.098953107231253"/>
    <n v="0"/>
    <n v="0"/>
    <n v="0"/>
    <n v="217.44000000000003"/>
    <m/>
    <n v="45.989698307579097"/>
    <m/>
    <m/>
    <m/>
    <x v="1"/>
    <x v="16"/>
    <n v="22"/>
    <n v="22"/>
    <m/>
    <m/>
    <m/>
    <m/>
    <n v="2090.21"/>
    <m/>
    <n v="2090.21"/>
    <n v="95.00954545454546"/>
    <m/>
    <m/>
    <m/>
    <n v="0.54545454545454541"/>
    <n v="0.45454545454545453"/>
    <m/>
    <m/>
    <m/>
    <m/>
    <s v="collectif"/>
    <s v="oui"/>
    <m/>
    <m/>
    <m/>
    <s v="30/08/2016_x000a_01/02/17_x000a_06/04/17"/>
    <m/>
    <s v="SO"/>
    <s v="SO"/>
    <m/>
    <d v="2018-08-22T00:00:00"/>
    <m/>
    <m/>
    <m/>
    <m/>
    <d v="2018-09-14T00:00:00"/>
    <d v="2018-10-14T00:00:00"/>
    <d v="2019-01-14T00:00:00"/>
    <m/>
    <d v="2018-10-14T00:00:00"/>
    <d v="2020-10-14T00:00:00"/>
    <d v="2021-10-14T00:00:00"/>
    <n v="65736"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6-09-06T00:00:00"/>
    <d v="2016-09-06T00:00:00"/>
    <d v="2016-09-06T00:00:00"/>
    <n v="0"/>
    <d v="2018-01-19T00:00:00"/>
    <d v="2018-11-20T00:00:00"/>
    <n v="305"/>
    <d v="2017-02-06T00:00:00"/>
    <d v="2017-04-24T00:00:00"/>
    <n v="77"/>
    <d v="2017-11-14T00:00:00"/>
    <d v="2018-11-20T00:00:00"/>
    <n v="371"/>
    <d v="2018-02-20T00:00:00"/>
    <d v="2018-11-12T00:00:00"/>
    <n v="265"/>
    <m/>
    <m/>
    <d v="2018-12-07T00:00:00"/>
    <d v="2018-12-07T00:00:00"/>
    <n v="0"/>
    <d v="2018-12-21T00:00:00"/>
    <x v="52"/>
    <x v="8"/>
    <n v="9.1666666666666661"/>
    <n v="154"/>
    <n v="24"/>
    <n v="25"/>
    <m/>
    <d v="2018-11-20T00:00:00"/>
    <s v="0"/>
    <m/>
    <d v="2018-11-20T00:00:00"/>
    <s v="0"/>
    <m/>
    <d v="2018-11-20T00:00:00"/>
    <s v="0"/>
    <d v="2019-02-17T00:00:00"/>
    <d v="2019-02-17T00:00:00"/>
    <n v="0"/>
    <m/>
    <m/>
    <s v="0"/>
    <m/>
    <d v="2018-11-20T00:00:00"/>
    <s v="0"/>
    <d v="2019-05-05T00:00:00"/>
    <d v="2019-05-05T00:00:00"/>
    <n v="0"/>
    <m/>
    <m/>
    <m/>
    <d v="2021-05-24T00:00:00"/>
    <d v="2021-06-24T00:00:00"/>
    <n v="1.0333333333333334"/>
    <d v="1901-12-31T00:00:00"/>
    <m/>
    <m/>
    <d v="2021-10-26T00:00:00"/>
    <m/>
    <d v="2021-06-24T00:00:00"/>
    <x v="57"/>
    <x v="6"/>
    <n v="5.166666666666667"/>
    <n v="13231"/>
    <n v="68360.166666666672"/>
    <m/>
    <n v="0"/>
    <n v="0"/>
    <m/>
    <m/>
    <m/>
    <n v="0"/>
    <m/>
    <m/>
    <s v="PC à déposer 10/02/18 au plus tard"/>
    <m/>
    <m/>
    <m/>
    <m/>
    <m/>
    <m/>
    <m/>
    <d v="2022-06-24T00:00:00"/>
    <m/>
    <m/>
    <m/>
    <m/>
    <m/>
    <m/>
    <m/>
    <m/>
    <m/>
    <m/>
    <m/>
    <m/>
    <m/>
    <m/>
    <m/>
    <m/>
    <n v="4056688"/>
    <n v="4056688"/>
    <n v="4056688"/>
    <n v="0"/>
    <n v="1940.8040340444261"/>
    <n v="184394.90909090909"/>
    <m/>
    <m/>
    <n v="0"/>
    <n v="1260329"/>
    <n v="1260329"/>
    <m/>
    <n v="57287.681818181816"/>
    <m/>
    <n v="2356728"/>
    <n v="2356728"/>
    <n v="438150"/>
    <n v="1918578"/>
    <n v="0"/>
    <n v="107124"/>
    <m/>
    <n v="418000"/>
    <n v="418000"/>
    <m/>
    <n v="0.10303972107295409"/>
    <m/>
    <n v="21631"/>
    <n v="21631"/>
    <n v="19000"/>
    <n v="76287.681818181823"/>
    <n v="983.22727272727275"/>
    <n v="6.31"/>
    <m/>
    <m/>
    <m/>
    <n v="76287.681818181823"/>
    <m/>
    <n v="76287.681818181823"/>
    <n v="0.41371902399198557"/>
    <m/>
    <m/>
    <n v="0"/>
    <n v="4056688"/>
    <m/>
    <m/>
    <m/>
    <m/>
    <m/>
    <n v="461347"/>
    <n v="161472"/>
    <m/>
    <m/>
    <m/>
    <m/>
    <m/>
    <m/>
    <d v="2018-02-14T00:00:00"/>
    <n v="47870"/>
    <s v="10/07/2017_x000a_11/12/17"/>
    <n v="113602"/>
    <m/>
    <n v="0"/>
    <m/>
    <m/>
    <m/>
    <m/>
    <m/>
    <m/>
    <m/>
    <m/>
    <m/>
    <m/>
    <m/>
    <m/>
    <m/>
    <m/>
    <m/>
    <m/>
    <n v="47870"/>
    <m/>
    <m/>
    <m/>
    <m/>
    <m/>
  </r>
  <r>
    <s v="INDIGO LLTS"/>
    <m/>
    <x v="3"/>
    <x v="2"/>
    <x v="8"/>
    <s v="PRLC 0192"/>
    <s v="APU"/>
    <m/>
    <x v="6"/>
    <m/>
    <s v="DD783 / 1298"/>
    <s v="_x000a_attente protocole DD 1298 pour prendre possession des lieux_x000a_lancer procédure expulsion bungalow"/>
    <m/>
    <m/>
    <m/>
    <n v="6088.3200000000006"/>
    <n v="290092"/>
    <m/>
    <n v="8532.1176470588234"/>
    <n v="47.64729843372227"/>
    <n v="0"/>
    <n v="0"/>
    <n v="0"/>
    <n v="179.06823529411767"/>
    <m/>
    <n v="55.84463365920319"/>
    <m/>
    <m/>
    <m/>
    <x v="0"/>
    <x v="26"/>
    <n v="34"/>
    <m/>
    <n v="34"/>
    <m/>
    <m/>
    <m/>
    <n v="2635.29"/>
    <m/>
    <n v="2635.29"/>
    <n v="77.508529411764698"/>
    <n v="2.9411764705882353E-2"/>
    <n v="0.29411764705882354"/>
    <n v="0.47058823529411764"/>
    <n v="0.20588235294117646"/>
    <m/>
    <m/>
    <m/>
    <m/>
    <m/>
    <s v="collectif"/>
    <s v="oui"/>
    <m/>
    <m/>
    <m/>
    <s v="30/08/2016_x000a_01/02/17_x000a_06/04/17"/>
    <m/>
    <s v="SO"/>
    <s v="SO"/>
    <m/>
    <d v="2018-08-22T00:00:00"/>
    <m/>
    <m/>
    <m/>
    <m/>
    <d v="2018-09-14T00:00:00"/>
    <d v="2018-10-14T00:00:00"/>
    <d v="2019-01-14T00:00:00"/>
    <m/>
    <d v="2018-10-14T00:00:00"/>
    <d v="2020-10-14T00:00:00"/>
    <d v="2021-10-14T00:00:00"/>
    <n v="83866"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d v="2018-02-06T00:00:00"/>
    <s v="0"/>
    <m/>
    <d v="2018-11-20T00:00:00"/>
    <s v="0"/>
    <m/>
    <d v="2018-11-20T00:00:00"/>
    <s v="0"/>
    <m/>
    <d v="2018-11-20T00:00:00"/>
    <s v="0"/>
    <m/>
    <m/>
    <m/>
    <m/>
    <s v="0"/>
    <d v="2019-05-24T00:00:00"/>
    <x v="52"/>
    <x v="8"/>
    <n v="9.1666666666666661"/>
    <n v="0"/>
    <n v="24"/>
    <n v="25"/>
    <m/>
    <d v="2018-11-20T00:00:00"/>
    <s v="0"/>
    <m/>
    <d v="2018-11-20T00:00:00"/>
    <s v="0"/>
    <m/>
    <d v="2018-11-20T00:00:00"/>
    <s v="0"/>
    <d v="2019-02-18T00:00:00"/>
    <d v="2019-02-18T00:00:00"/>
    <n v="0"/>
    <m/>
    <m/>
    <s v="0"/>
    <m/>
    <d v="2018-11-20T00:00:00"/>
    <s v="0"/>
    <d v="2019-05-06T00:00:00"/>
    <d v="2019-05-06T00:00:00"/>
    <n v="0"/>
    <m/>
    <m/>
    <m/>
    <d v="2021-05-24T00:00:00"/>
    <d v="2021-06-24T00:00:00"/>
    <n v="1.0333333333333334"/>
    <d v="1901-12-31T00:00:00"/>
    <m/>
    <m/>
    <d v="2021-10-26T00:00:00"/>
    <m/>
    <d v="2021-06-24T00:00:00"/>
    <x v="57"/>
    <x v="6"/>
    <n v="5.166666666666667"/>
    <n v="14099"/>
    <n v="72844.833333333343"/>
    <m/>
    <m/>
    <n v="0"/>
    <m/>
    <m/>
    <m/>
    <n v="0"/>
    <m/>
    <m/>
    <m/>
    <m/>
    <m/>
    <m/>
    <m/>
    <m/>
    <m/>
    <m/>
    <d v="2022-06-24T00:00:00"/>
    <m/>
    <m/>
    <m/>
    <m/>
    <m/>
    <m/>
    <m/>
    <m/>
    <m/>
    <m/>
    <m/>
    <m/>
    <m/>
    <m/>
    <m/>
    <m/>
    <n v="5275081.05"/>
    <n v="5275083.05"/>
    <n v="5275083.05"/>
    <n v="2"/>
    <n v="2001.7087493217066"/>
    <n v="155149.50147058823"/>
    <m/>
    <m/>
    <n v="0"/>
    <n v="1530341"/>
    <n v="1530342"/>
    <m/>
    <n v="45010.058823529413"/>
    <m/>
    <n v="3003468"/>
    <n v="3003469"/>
    <n v="541398"/>
    <n v="2462071"/>
    <n v="1"/>
    <n v="88337.323529411762"/>
    <m/>
    <n v="714000"/>
    <n v="714000"/>
    <m/>
    <n v="0.1353533192240452"/>
    <m/>
    <n v="27272.05"/>
    <n v="27272.05"/>
    <n v="21000"/>
    <n v="66010.058823529413"/>
    <n v="802.11911764705883"/>
    <n v="6.31"/>
    <m/>
    <m/>
    <m/>
    <n v="66010.029411764699"/>
    <m/>
    <n v="66010.058823529413"/>
    <n v="0.42546095097439313"/>
    <m/>
    <m/>
    <n v="0"/>
    <n v="5275081.0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CANNELLE "/>
    <s v="à refaire incomplet + excel"/>
    <x v="4"/>
    <x v="0"/>
    <x v="8"/>
    <s v="PRLC 0200"/>
    <s v="APU"/>
    <s v="DBA"/>
    <x v="6"/>
    <m/>
    <s v="AT 222/223/224"/>
    <s v="AT 222/223/224_x000a_compromis AT 222 signé - PD obtenu / bornage 05/10/17_x000a_en attente du topo / bornage_x000a_empiètement sur AT 224_x000a_"/>
    <m/>
    <m/>
    <m/>
    <n v="3040"/>
    <n v="205275"/>
    <n v="205275"/>
    <n v="6842.5"/>
    <n v="67.524671052631575"/>
    <n v="67.524671052631575"/>
    <n v="89.910647803425178"/>
    <n v="6842.5"/>
    <n v="101.33333333333333"/>
    <m/>
    <n v="98.684210526315795"/>
    <s v="UB"/>
    <m/>
    <m/>
    <x v="0"/>
    <x v="1"/>
    <n v="30"/>
    <m/>
    <n v="30"/>
    <m/>
    <m/>
    <m/>
    <n v="2297.19"/>
    <m/>
    <n v="2283.1"/>
    <n v="76.103333333333325"/>
    <n v="0.16666666666666666"/>
    <n v="0.26666666666666666"/>
    <n v="0.36666666666666664"/>
    <n v="0.16666666666666666"/>
    <n v="3.3333333333333333E-2"/>
    <m/>
    <m/>
    <m/>
    <m/>
    <s v="collectif"/>
    <s v="oui"/>
    <m/>
    <m/>
    <m/>
    <m/>
    <d v="2018-07-27T00:00:00"/>
    <s v="SO"/>
    <m/>
    <m/>
    <d v="2018-07-06T00:00:00"/>
    <m/>
    <m/>
    <m/>
    <m/>
    <d v="2018-10-12T00:00:00"/>
    <d v="2018-11-12T00:00:00"/>
    <d v="2019-02-12T00:00:00"/>
    <m/>
    <d v="2018-11-12T00:00:00"/>
    <d v="2020-11-12T00:00:00"/>
    <d v="2021-11-12T00:00:00"/>
    <n v="75246"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7-10-09T00:00:00"/>
    <d v="2017-10-24T00:00:00"/>
    <d v="2017-10-09T00:00:00"/>
    <n v="-15"/>
    <d v="2018-02-09T00:00:00"/>
    <d v="2018-02-07T00:00:00"/>
    <n v="-2"/>
    <d v="2018-01-25T00:00:00"/>
    <d v="2018-11-20T00:00:00"/>
    <n v="299"/>
    <d v="2018-04-10T00:00:00"/>
    <d v="2018-11-20T00:00:00"/>
    <n v="224"/>
    <d v="2018-06-08T00:00:00"/>
    <d v="2018-11-20T00:00:00"/>
    <n v="165"/>
    <m/>
    <m/>
    <d v="2019-03-26T00:00:00"/>
    <d v="2019-03-26T00:00:00"/>
    <n v="0"/>
    <d v="2019-04-10T00:00:00"/>
    <x v="57"/>
    <x v="8"/>
    <n v="23.366666666666667"/>
    <n v="423"/>
    <n v="16"/>
    <n v="19"/>
    <m/>
    <d v="2018-11-20T00:00:00"/>
    <s v="0"/>
    <m/>
    <d v="2018-11-20T00:00:00"/>
    <s v="0"/>
    <m/>
    <d v="2018-11-20T00:00:00"/>
    <s v="0"/>
    <d v="2019-02-19T00:00:00"/>
    <d v="2019-02-19T00:00:00"/>
    <n v="0"/>
    <m/>
    <m/>
    <s v="0"/>
    <m/>
    <d v="2018-11-20T00:00:00"/>
    <s v="0"/>
    <d v="2019-05-07T00:00:00"/>
    <d v="2019-05-07T00:00:00"/>
    <n v="0"/>
    <m/>
    <m/>
    <m/>
    <d v="2021-10-06T00:00:00"/>
    <d v="2022-01-06T00:00:00"/>
    <n v="3.0666666666666669"/>
    <d v="1901-12-31T00:00:00"/>
    <m/>
    <m/>
    <d v="2022-05-08T00:00:00"/>
    <m/>
    <d v="2021-11-06T00:00:00"/>
    <x v="61"/>
    <x v="6"/>
    <n v="7.1333333333333337"/>
    <n v="12283"/>
    <n v="87618.733333333337"/>
    <m/>
    <n v="0"/>
    <n v="0"/>
    <m/>
    <m/>
    <m/>
    <n v="0"/>
    <m/>
    <m/>
    <s v="APS à analyser / PC à déposer 10/02/18 au plus tard"/>
    <m/>
    <m/>
    <m/>
    <m/>
    <m/>
    <m/>
    <m/>
    <d v="2023-01-06T00:00:00"/>
    <m/>
    <m/>
    <m/>
    <m/>
    <m/>
    <m/>
    <m/>
    <m/>
    <m/>
    <m/>
    <m/>
    <m/>
    <m/>
    <m/>
    <m/>
    <m/>
    <n v="4828352"/>
    <n v="4970505"/>
    <n v="4970505"/>
    <n v="142153"/>
    <n v="2163.7326472777609"/>
    <n v="165683.5"/>
    <m/>
    <m/>
    <n v="0"/>
    <n v="1465688"/>
    <n v="1494928"/>
    <m/>
    <n v="49830.933333333334"/>
    <m/>
    <n v="2579514"/>
    <n v="2692427"/>
    <n v="427747"/>
    <n v="2264680"/>
    <n v="112913"/>
    <n v="89747.566666666666"/>
    <m/>
    <n v="780000"/>
    <n v="780000"/>
    <m/>
    <n v="0.15692570473221534"/>
    <m/>
    <n v="3150"/>
    <n v="3150"/>
    <n v="26000"/>
    <n v="75830.933333333334"/>
    <n v="105"/>
    <n v="5.38"/>
    <n v="5.38"/>
    <m/>
    <m/>
    <n v="74856.266666666663"/>
    <m/>
    <n v="75830.933333333334"/>
    <n v="0.46510444971700488"/>
    <m/>
    <m/>
    <n v="0"/>
    <n v="4828352"/>
    <m/>
    <m/>
    <m/>
    <m/>
    <m/>
    <n v="246341"/>
    <n v="73902"/>
    <d v="2017-12-04T00:00:00"/>
    <n v="22546"/>
    <d v="2017-12-11T00:00:00"/>
    <n v="13984"/>
    <d v="2018-03-26T00:00:00"/>
    <n v="13019"/>
    <d v="2018-02-14T00:00:00"/>
    <n v="24353"/>
    <m/>
    <m/>
    <m/>
    <m/>
    <m/>
    <m/>
    <m/>
    <m/>
    <m/>
    <m/>
    <m/>
    <m/>
    <m/>
    <m/>
    <m/>
    <m/>
    <m/>
    <m/>
    <m/>
    <m/>
    <m/>
    <m/>
    <m/>
    <m/>
    <m/>
    <m/>
  </r>
  <r>
    <s v="PAPYRUS "/>
    <s v="ok - reste Excel"/>
    <x v="4"/>
    <x v="0"/>
    <x v="8"/>
    <s v="PRLC 0199"/>
    <s v="BBL"/>
    <s v="GGO"/>
    <x v="8"/>
    <m/>
    <m/>
    <s v="AX 24p / 25 / 429p / 28 / 27p_x000a_actualisation topo en cours_x000a_zone RHI_x000a_"/>
    <m/>
    <m/>
    <m/>
    <n v="2641"/>
    <n v="313500"/>
    <n v="313500"/>
    <e v="#DIV/0!"/>
    <n v="118.70503597122303"/>
    <n v="118.70503597122303"/>
    <n v="120.78178757045603"/>
    <n v="9500"/>
    <n v="80.030303030303031"/>
    <m/>
    <n v="124.95266944339265"/>
    <s v="UA"/>
    <m/>
    <m/>
    <x v="1"/>
    <x v="46"/>
    <n v="33"/>
    <n v="33"/>
    <m/>
    <m/>
    <m/>
    <m/>
    <n v="2595.59"/>
    <m/>
    <n v="2595.59"/>
    <n v="78.654242424242426"/>
    <n v="0.21212121212121213"/>
    <n v="9.0909090909090912E-2"/>
    <n v="0.36363636363636365"/>
    <n v="0.30303030303030304"/>
    <n v="3.0303030303030304E-2"/>
    <m/>
    <m/>
    <m/>
    <m/>
    <s v="collectif"/>
    <s v="oui"/>
    <m/>
    <m/>
    <m/>
    <m/>
    <d v="2018-07-27T00:00:00"/>
    <s v="SO"/>
    <m/>
    <m/>
    <d v="2018-08-22T00:00:00"/>
    <m/>
    <m/>
    <m/>
    <m/>
    <d v="2019-06-18T00:00:00"/>
    <d v="2019-07-18T00:00:00"/>
    <d v="2019-10-18T00:00:00"/>
    <m/>
    <d v="2019-07-18T00:00:00"/>
    <d v="2021-07-18T00:00:00"/>
    <d v="2022-07-18T00:00:00"/>
    <n v="88691"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7-10-09T00:00:00"/>
    <d v="2017-10-24T00:00:00"/>
    <d v="2017-10-31T00:00:00"/>
    <n v="7"/>
    <d v="2018-02-09T00:00:00"/>
    <d v="2018-02-08T00:00:00"/>
    <n v="-1"/>
    <d v="2018-01-30T00:00:00"/>
    <d v="2018-11-20T00:00:00"/>
    <n v="294"/>
    <d v="2018-04-11T00:00:00"/>
    <d v="2018-11-20T00:00:00"/>
    <n v="223"/>
    <d v="2018-06-08T00:00:00"/>
    <d v="2018-11-20T00:00:00"/>
    <n v="165"/>
    <m/>
    <m/>
    <d v="2019-03-27T00:00:00"/>
    <d v="2019-03-27T00:00:00"/>
    <n v="0"/>
    <d v="2019-04-11T00:00:00"/>
    <x v="58"/>
    <x v="8"/>
    <n v="26.2"/>
    <n v="554"/>
    <n v="16"/>
    <n v="19"/>
    <m/>
    <d v="2018-11-20T00:00:00"/>
    <s v="0"/>
    <m/>
    <d v="2018-11-20T00:00:00"/>
    <s v="0"/>
    <m/>
    <d v="2018-11-20T00:00:00"/>
    <s v="0"/>
    <d v="2019-02-20T00:00:00"/>
    <d v="2019-02-20T00:00:00"/>
    <n v="0"/>
    <m/>
    <m/>
    <s v="0"/>
    <m/>
    <d v="2018-11-20T00:00:00"/>
    <s v="0"/>
    <d v="2019-05-08T00:00:00"/>
    <d v="2019-05-08T00:00:00"/>
    <n v="0"/>
    <m/>
    <m/>
    <m/>
    <d v="2022-02-16T00:00:00"/>
    <d v="2022-05-16T00:00:00"/>
    <n v="2.9666666666666668"/>
    <d v="1901-12-31T00:00:00"/>
    <m/>
    <m/>
    <d v="2022-09-18T00:00:00"/>
    <m/>
    <d v="2022-03-16T00:00:00"/>
    <x v="62"/>
    <x v="6"/>
    <n v="7.2"/>
    <n v="17287"/>
    <n v="124466.40000000001"/>
    <m/>
    <n v="0"/>
    <n v="0"/>
    <m/>
    <m/>
    <m/>
    <n v="0"/>
    <m/>
    <m/>
    <s v="PC à déposer 10/02/18 au plus tard / attente données hydrétudes"/>
    <m/>
    <m/>
    <m/>
    <m/>
    <m/>
    <m/>
    <m/>
    <d v="2023-05-16T00:00:00"/>
    <m/>
    <m/>
    <m/>
    <m/>
    <m/>
    <m/>
    <m/>
    <m/>
    <m/>
    <m/>
    <m/>
    <m/>
    <m/>
    <m/>
    <m/>
    <m/>
    <n v="5455396"/>
    <n v="5567908"/>
    <n v="5567908"/>
    <n v="112512"/>
    <n v="2145.1415670425604"/>
    <n v="168724.48484848486"/>
    <m/>
    <m/>
    <n v="0"/>
    <n v="1728972"/>
    <n v="1771481"/>
    <m/>
    <n v="53681.242424242424"/>
    <m/>
    <n v="3079214"/>
    <n v="3149217"/>
    <n v="424625"/>
    <n v="2724592"/>
    <n v="70003"/>
    <n v="95430.818181818177"/>
    <m/>
    <n v="643500"/>
    <n v="643500"/>
    <m/>
    <n v="0.11557303030150642"/>
    <m/>
    <n v="3710"/>
    <n v="3710"/>
    <n v="19500"/>
    <n v="73181.242424242431"/>
    <n v="112.42424242424242"/>
    <n v="6.66"/>
    <n v="5.84"/>
    <m/>
    <m/>
    <n v="71893.090909090912"/>
    <m/>
    <n v="73181.242424242431"/>
    <n v="0.43488538687200712"/>
    <m/>
    <m/>
    <n v="0"/>
    <n v="5455396"/>
    <m/>
    <m/>
    <m/>
    <m/>
    <m/>
    <n v="263611"/>
    <n v="65903"/>
    <d v="2017-12-04T00:00:00"/>
    <n v="23541"/>
    <d v="2017-12-11T00:00:00"/>
    <n v="16001"/>
    <m/>
    <m/>
    <d v="2018-02-14T00:00:00"/>
    <n v="26361"/>
    <m/>
    <m/>
    <m/>
    <m/>
    <m/>
    <m/>
    <m/>
    <m/>
    <m/>
    <m/>
    <m/>
    <m/>
    <m/>
    <m/>
    <m/>
    <m/>
    <m/>
    <m/>
    <m/>
    <m/>
    <n v="26361"/>
    <m/>
    <m/>
    <m/>
    <m/>
    <m/>
  </r>
  <r>
    <s v="VEFA Miami"/>
    <m/>
    <x v="13"/>
    <x v="2"/>
    <x v="9"/>
    <m/>
    <m/>
    <s v="MMA"/>
    <x v="8"/>
    <m/>
    <s v="AP 1270 / 1274 / 1280 "/>
    <m/>
    <s v="SEDRE"/>
    <m/>
    <m/>
    <n v="6860"/>
    <n v="1500000"/>
    <n v="1500000"/>
    <n v="25000"/>
    <n v="218.65889212827989"/>
    <n v="218.65889212827989"/>
    <n v="281.6367224244791"/>
    <n v="25000"/>
    <n v="114.33333333333333"/>
    <m/>
    <n v="87.463556851311949"/>
    <m/>
    <m/>
    <m/>
    <x v="2"/>
    <x v="47"/>
    <n v="60"/>
    <m/>
    <m/>
    <n v="60"/>
    <m/>
    <n v="4547.8599999999997"/>
    <n v="5326.01"/>
    <n v="5326.01"/>
    <n v="5326.01"/>
    <n v="88.766833333333338"/>
    <m/>
    <m/>
    <m/>
    <m/>
    <m/>
    <m/>
    <m/>
    <m/>
    <m/>
    <s v="collectif"/>
    <s v="oui"/>
    <n v="10893131"/>
    <n v="2045.2704745203257"/>
    <d v="2018-06-26T00:00:00"/>
    <d v="2018-04-18T00:00:00"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e v="#NUM!"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0-01-20T00:00:00"/>
    <x v="59"/>
    <x v="8"/>
    <n v="1461.6666666666667"/>
    <n v="0"/>
    <n v="20"/>
    <n v="23"/>
    <m/>
    <d v="2018-11-20T00:00:00"/>
    <s v="0"/>
    <m/>
    <d v="2018-11-20T00:00:00"/>
    <s v="0"/>
    <m/>
    <d v="2018-11-20T00:00:00"/>
    <s v="0"/>
    <d v="2019-02-21T00:00:00"/>
    <d v="2019-02-21T00:00:00"/>
    <n v="0"/>
    <m/>
    <m/>
    <s v="0"/>
    <m/>
    <d v="2018-11-20T00:00:00"/>
    <s v="0"/>
    <d v="2019-05-09T00:00:00"/>
    <d v="2019-05-09T00:00:00"/>
    <n v="0"/>
    <m/>
    <m/>
    <m/>
    <d v="2021-09-20T00:00:00"/>
    <d v="2021-12-20T00:00:00"/>
    <n v="3.0333333333333332"/>
    <d v="1901-12-31T00:00:00"/>
    <m/>
    <m/>
    <d v="2022-04-22T00:00:00"/>
    <m/>
    <d v="2021-10-20T00:00:00"/>
    <x v="63"/>
    <x v="6"/>
    <n v="6.1333333333333337"/>
    <m/>
    <n v="0"/>
    <m/>
    <m/>
    <n v="0"/>
    <m/>
    <m/>
    <m/>
    <e v="#DIV/0!"/>
    <m/>
    <m/>
    <m/>
    <m/>
    <m/>
    <m/>
    <m/>
    <m/>
    <m/>
    <m/>
    <d v="2022-12-20T00:00:00"/>
    <m/>
    <m/>
    <m/>
    <m/>
    <m/>
    <m/>
    <m/>
    <m/>
    <m/>
    <m/>
    <m/>
    <m/>
    <m/>
    <m/>
    <m/>
    <m/>
    <n v="0"/>
    <n v="0"/>
    <n v="0"/>
    <n v="0"/>
    <n v="0"/>
    <n v="0"/>
    <m/>
    <m/>
    <e v="#DIV/0!"/>
    <m/>
    <m/>
    <m/>
    <n v="0"/>
    <m/>
    <m/>
    <m/>
    <m/>
    <m/>
    <n v="0"/>
    <n v="0"/>
    <m/>
    <m/>
    <m/>
    <m/>
    <e v="#DIV/0!"/>
    <m/>
    <m/>
    <m/>
    <n v="0"/>
    <n v="0"/>
    <n v="0"/>
    <m/>
    <m/>
    <m/>
    <m/>
    <n v="0"/>
    <m/>
    <n v="0"/>
    <e v="#DIV/0!"/>
    <m/>
    <m/>
    <n v="0"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AJP TROIS MARES LLS"/>
    <m/>
    <x v="2"/>
    <x v="1"/>
    <x v="9"/>
    <m/>
    <s v="ADE"/>
    <s v="GGO"/>
    <x v="8"/>
    <m/>
    <s v="En 339/343/568/570"/>
    <m/>
    <m/>
    <m/>
    <m/>
    <n v="3320.3636363636365"/>
    <n v="599393.93939393933"/>
    <n v="599393.93939393933"/>
    <n v="13030.303030303028"/>
    <n v="180.52057094878251"/>
    <n v="180.52057094878251"/>
    <n v="145.34779051518223"/>
    <n v="13030.303030303028"/>
    <n v="72.181818181818187"/>
    <m/>
    <n v="138.53904282115869"/>
    <s v="UA"/>
    <n v="580"/>
    <m/>
    <x v="1"/>
    <x v="31"/>
    <n v="46"/>
    <n v="46"/>
    <m/>
    <m/>
    <m/>
    <m/>
    <n v="4123.8599999999997"/>
    <n v="4123.8599999999997"/>
    <n v="4123.8599999999997"/>
    <n v="89.649130434782606"/>
    <m/>
    <m/>
    <m/>
    <m/>
    <m/>
    <m/>
    <m/>
    <m/>
    <m/>
    <s v="collectif"/>
    <s v="oui"/>
    <n v="8225038"/>
    <n v="1994.4998132817313"/>
    <m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m/>
    <m/>
    <m/>
    <m/>
    <s v="0"/>
    <m/>
    <m/>
    <s v="0"/>
    <m/>
    <d v="2018-11-20T00:00:00"/>
    <m/>
    <m/>
    <d v="2018-11-20T00:00:00"/>
    <s v="0"/>
    <m/>
    <d v="2018-11-20T00:00:00"/>
    <s v="0"/>
    <m/>
    <m/>
    <m/>
    <m/>
    <s v="0"/>
    <d v="2020-01-20T00:00:00"/>
    <x v="59"/>
    <x v="8"/>
    <n v="1461.6666666666667"/>
    <n v="0"/>
    <n v="20"/>
    <n v="23"/>
    <m/>
    <d v="2018-11-20T00:00:00"/>
    <s v="0"/>
    <m/>
    <d v="2018-11-20T00:00:00"/>
    <s v="0"/>
    <m/>
    <d v="2018-11-20T00:00:00"/>
    <s v="0"/>
    <d v="2019-02-22T00:00:00"/>
    <d v="2019-02-22T00:00:00"/>
    <n v="0"/>
    <m/>
    <m/>
    <s v="0"/>
    <m/>
    <d v="2018-11-20T00:00:00"/>
    <s v="0"/>
    <d v="2019-05-10T00:00:00"/>
    <d v="2019-05-10T00:00:00"/>
    <n v="0"/>
    <m/>
    <m/>
    <m/>
    <d v="2021-09-20T00:00:00"/>
    <d v="2021-12-20T00:00:00"/>
    <n v="3.0333333333333332"/>
    <d v="1901-12-31T00:00:00"/>
    <m/>
    <m/>
    <d v="2022-04-22T00:00:00"/>
    <m/>
    <d v="2021-10-20T00:00:00"/>
    <x v="64"/>
    <x v="6"/>
    <n v="7.1333333333333337"/>
    <m/>
    <n v="0"/>
    <m/>
    <m/>
    <n v="0"/>
    <m/>
    <m/>
    <m/>
    <e v="#DIV/0!"/>
    <m/>
    <m/>
    <m/>
    <m/>
    <m/>
    <m/>
    <m/>
    <m/>
    <m/>
    <m/>
    <d v="2022-12-20T00:00:00"/>
    <m/>
    <m/>
    <m/>
    <m/>
    <m/>
    <m/>
    <m/>
    <m/>
    <m/>
    <m/>
    <m/>
    <m/>
    <m/>
    <m/>
    <m/>
    <m/>
    <n v="0"/>
    <n v="0"/>
    <n v="0"/>
    <n v="0"/>
    <n v="0"/>
    <n v="0"/>
    <m/>
    <m/>
    <e v="#DIV/0!"/>
    <m/>
    <m/>
    <m/>
    <m/>
    <m/>
    <m/>
    <m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n v="0"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AJP TROIS MARES LLTS"/>
    <m/>
    <x v="2"/>
    <x v="1"/>
    <x v="9"/>
    <m/>
    <s v="ADE"/>
    <m/>
    <x v="8"/>
    <m/>
    <s v="En 339/343/568/570"/>
    <m/>
    <m/>
    <m/>
    <m/>
    <n v="1443.6363636363637"/>
    <n v="260606.06060606061"/>
    <n v="260606.06060606061"/>
    <n v="13030.30303030303"/>
    <n v="180.52057094878253"/>
    <n v="180.52057094878253"/>
    <n v="208.78549960427864"/>
    <n v="13030.30303030303"/>
    <n v="72.181818181818187"/>
    <m/>
    <n v="138.53904282115869"/>
    <s v="UA"/>
    <n v="580"/>
    <m/>
    <x v="0"/>
    <x v="3"/>
    <n v="20"/>
    <m/>
    <n v="20"/>
    <m/>
    <m/>
    <m/>
    <n v="1248.2"/>
    <n v="1248.2"/>
    <n v="1248.2"/>
    <n v="62.410000000000004"/>
    <m/>
    <m/>
    <m/>
    <m/>
    <m/>
    <m/>
    <m/>
    <m/>
    <m/>
    <s v="collectif"/>
    <s v="oui"/>
    <n v="2324962.3582085599"/>
    <n v="1862.6521055989103"/>
    <m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m/>
    <m/>
    <m/>
    <m/>
    <s v="0"/>
    <m/>
    <m/>
    <s v="0"/>
    <m/>
    <d v="2018-11-20T00:00:00"/>
    <m/>
    <m/>
    <d v="2018-11-20T00:00:00"/>
    <s v="0"/>
    <m/>
    <d v="2018-11-20T00:00:00"/>
    <s v="0"/>
    <m/>
    <m/>
    <m/>
    <m/>
    <s v="0"/>
    <d v="2020-01-20T00:00:00"/>
    <x v="59"/>
    <x v="8"/>
    <n v="1461.6666666666667"/>
    <n v="0"/>
    <n v="20"/>
    <n v="23"/>
    <m/>
    <d v="2018-11-20T00:00:00"/>
    <s v="0"/>
    <m/>
    <d v="2018-11-20T00:00:00"/>
    <s v="0"/>
    <m/>
    <d v="2018-11-20T00:00:00"/>
    <s v="0"/>
    <d v="2019-02-23T00:00:00"/>
    <d v="2019-02-23T00:00:00"/>
    <n v="0"/>
    <m/>
    <m/>
    <s v="0"/>
    <m/>
    <d v="2018-11-20T00:00:00"/>
    <s v="0"/>
    <d v="2019-05-11T00:00:00"/>
    <d v="2019-05-11T00:00:00"/>
    <n v="0"/>
    <m/>
    <m/>
    <m/>
    <d v="2021-09-20T00:00:00"/>
    <d v="2021-12-20T00:00:00"/>
    <n v="3.0333333333333332"/>
    <d v="1901-12-31T00:00:00"/>
    <m/>
    <m/>
    <d v="2022-04-22T00:00:00"/>
    <m/>
    <d v="2021-10-20T00:00:00"/>
    <x v="64"/>
    <x v="6"/>
    <n v="7.1333333333333337"/>
    <m/>
    <n v="0"/>
    <m/>
    <m/>
    <n v="0"/>
    <m/>
    <m/>
    <m/>
    <e v="#DIV/0!"/>
    <m/>
    <m/>
    <m/>
    <m/>
    <m/>
    <m/>
    <m/>
    <m/>
    <m/>
    <m/>
    <d v="2022-12-20T00:00:00"/>
    <m/>
    <m/>
    <m/>
    <m/>
    <m/>
    <m/>
    <m/>
    <m/>
    <m/>
    <m/>
    <m/>
    <m/>
    <m/>
    <m/>
    <m/>
    <m/>
    <n v="0"/>
    <n v="0"/>
    <n v="0"/>
    <n v="0"/>
    <n v="0"/>
    <n v="0"/>
    <m/>
    <m/>
    <e v="#DIV/0!"/>
    <m/>
    <m/>
    <m/>
    <m/>
    <m/>
    <m/>
    <m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n v="0"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GTOI Roland Garros PLS"/>
    <m/>
    <x v="2"/>
    <x v="1"/>
    <x v="9"/>
    <m/>
    <s v="FVA"/>
    <s v="VAF"/>
    <x v="9"/>
    <m/>
    <s v="BZ 90"/>
    <m/>
    <m/>
    <m/>
    <m/>
    <n v="808.55172413793105"/>
    <n v="445600"/>
    <n v="445600"/>
    <n v="18566.666666666668"/>
    <n v="551.10883657454792"/>
    <n v="551.10883657454792"/>
    <n v="202.4125063310689"/>
    <n v="18566.666666666668"/>
    <n v="33.689655172413794"/>
    <m/>
    <n v="296.82702149437051"/>
    <s v="UAa"/>
    <n v="600"/>
    <m/>
    <x v="2"/>
    <x v="17"/>
    <n v="24"/>
    <m/>
    <m/>
    <n v="24"/>
    <m/>
    <n v="1938.885"/>
    <n v="2201.4450000000002"/>
    <n v="2201.4450000000002"/>
    <n v="2201.4450000000002"/>
    <n v="91.726875000000007"/>
    <m/>
    <m/>
    <m/>
    <m/>
    <m/>
    <m/>
    <m/>
    <m/>
    <m/>
    <s v="collectif"/>
    <s v="oui"/>
    <n v="10783875.512"/>
    <n v="4898.5441435057428"/>
    <m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m/>
    <m/>
    <m/>
    <m/>
    <m/>
    <m/>
    <m/>
    <s v="0"/>
    <m/>
    <d v="2018-11-20T00:00:00"/>
    <m/>
    <m/>
    <d v="2018-11-20T00:00:00"/>
    <s v="0"/>
    <m/>
    <d v="2018-11-20T00:00:00"/>
    <s v="0"/>
    <m/>
    <m/>
    <m/>
    <m/>
    <s v="0"/>
    <d v="2020-01-20T00:00:00"/>
    <x v="59"/>
    <x v="8"/>
    <n v="1461.6666666666667"/>
    <n v="0"/>
    <n v="20"/>
    <n v="23"/>
    <m/>
    <d v="2018-11-20T00:00:00"/>
    <s v="0"/>
    <m/>
    <d v="2018-11-20T00:00:00"/>
    <s v="0"/>
    <m/>
    <d v="2018-11-20T00:00:00"/>
    <s v="0"/>
    <d v="2019-02-24T00:00:00"/>
    <d v="2019-02-24T00:00:00"/>
    <n v="0"/>
    <m/>
    <m/>
    <s v="0"/>
    <m/>
    <d v="2018-11-20T00:00:00"/>
    <s v="0"/>
    <d v="2019-05-12T00:00:00"/>
    <d v="2019-05-12T00:00:00"/>
    <n v="0"/>
    <m/>
    <m/>
    <m/>
    <d v="2021-09-20T00:00:00"/>
    <d v="2021-12-20T00:00:00"/>
    <n v="3.0333333333333332"/>
    <d v="1901-12-31T00:00:00"/>
    <m/>
    <m/>
    <d v="2022-04-22T00:00:00"/>
    <m/>
    <d v="2021-10-20T00:00:00"/>
    <x v="64"/>
    <x v="6"/>
    <n v="7.1333333333333337"/>
    <m/>
    <n v="0"/>
    <m/>
    <m/>
    <n v="0"/>
    <m/>
    <m/>
    <m/>
    <e v="#DIV/0!"/>
    <m/>
    <m/>
    <m/>
    <m/>
    <m/>
    <m/>
    <m/>
    <m/>
    <m/>
    <m/>
    <d v="2022-12-20T00:00:00"/>
    <m/>
    <m/>
    <m/>
    <m/>
    <m/>
    <m/>
    <m/>
    <m/>
    <m/>
    <m/>
    <m/>
    <m/>
    <m/>
    <m/>
    <m/>
    <m/>
    <n v="0"/>
    <n v="0"/>
    <n v="0"/>
    <n v="0"/>
    <n v="0"/>
    <n v="0"/>
    <m/>
    <m/>
    <e v="#DIV/0!"/>
    <m/>
    <m/>
    <m/>
    <m/>
    <m/>
    <m/>
    <m/>
    <m/>
    <m/>
    <n v="0"/>
    <n v="0"/>
    <m/>
    <m/>
    <m/>
    <m/>
    <e v="#DIV/0!"/>
    <m/>
    <m/>
    <m/>
    <m/>
    <m/>
    <n v="0"/>
    <m/>
    <m/>
    <m/>
    <m/>
    <n v="0"/>
    <m/>
    <n v="0"/>
    <e v="#DIV/0!"/>
    <m/>
    <m/>
    <n v="0"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AJP CI 7"/>
    <m/>
    <x v="2"/>
    <x v="1"/>
    <x v="9"/>
    <m/>
    <s v="FVA"/>
    <s v="DAM"/>
    <x v="9"/>
    <m/>
    <s v="CI 7"/>
    <m/>
    <m/>
    <m/>
    <m/>
    <n v="1048"/>
    <m/>
    <m/>
    <n v="0"/>
    <n v="0"/>
    <n v="0"/>
    <e v="#DIV/0!"/>
    <n v="0"/>
    <n v="31.757575757575758"/>
    <m/>
    <n v="314.8854961832061"/>
    <s v="UAa"/>
    <n v="600"/>
    <m/>
    <x v="1"/>
    <x v="46"/>
    <n v="33"/>
    <n v="33"/>
    <m/>
    <m/>
    <m/>
    <m/>
    <m/>
    <m/>
    <m/>
    <n v="0"/>
    <m/>
    <m/>
    <m/>
    <m/>
    <m/>
    <m/>
    <m/>
    <m/>
    <m/>
    <s v="collectif"/>
    <s v="oui"/>
    <m/>
    <m/>
    <m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m/>
    <m/>
    <m/>
    <m/>
    <s v="0"/>
    <m/>
    <m/>
    <s v="0"/>
    <m/>
    <d v="2018-11-20T00:00:00"/>
    <m/>
    <m/>
    <d v="2018-11-20T00:00:00"/>
    <s v="0"/>
    <m/>
    <d v="2018-11-20T00:00:00"/>
    <s v="0"/>
    <m/>
    <m/>
    <m/>
    <m/>
    <s v="0"/>
    <d v="2020-01-20T00:00:00"/>
    <x v="59"/>
    <x v="8"/>
    <n v="1461.6666666666667"/>
    <n v="0"/>
    <n v="21"/>
    <n v="24"/>
    <m/>
    <d v="2018-11-20T00:00:00"/>
    <s v="0"/>
    <m/>
    <d v="2018-11-20T00:00:00"/>
    <s v="0"/>
    <m/>
    <d v="2018-11-20T00:00:00"/>
    <s v="0"/>
    <d v="2019-02-25T00:00:00"/>
    <d v="2019-02-25T00:00:00"/>
    <n v="0"/>
    <m/>
    <m/>
    <s v="0"/>
    <m/>
    <d v="2018-11-20T00:00:00"/>
    <s v="0"/>
    <d v="2019-05-13T00:00:00"/>
    <d v="2019-05-13T00:00:00"/>
    <n v="0"/>
    <m/>
    <m/>
    <m/>
    <d v="2021-10-20T00:00:00"/>
    <d v="2022-01-20T00:00:00"/>
    <n v="3.0666666666666669"/>
    <d v="1901-12-31T00:00:00"/>
    <m/>
    <m/>
    <d v="2022-05-22T00:00:00"/>
    <m/>
    <d v="2021-11-20T00:00:00"/>
    <x v="65"/>
    <x v="6"/>
    <n v="7.1333333333333337"/>
    <m/>
    <n v="0"/>
    <m/>
    <m/>
    <m/>
    <m/>
    <m/>
    <m/>
    <e v="#DIV/0!"/>
    <m/>
    <m/>
    <m/>
    <m/>
    <m/>
    <m/>
    <m/>
    <m/>
    <m/>
    <m/>
    <d v="2023-01-20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m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GTOI Roland Garros LLS"/>
    <m/>
    <x v="2"/>
    <x v="1"/>
    <x v="9"/>
    <m/>
    <m/>
    <m/>
    <x v="9"/>
    <m/>
    <s v="BZ 90"/>
    <m/>
    <m/>
    <m/>
    <m/>
    <n v="1145.4482758620691"/>
    <n v="533000"/>
    <n v="533000"/>
    <n v="15676.470588235294"/>
    <n v="465.32000722499845"/>
    <n v="465.32000722499845"/>
    <n v="197.22114299457917"/>
    <n v="15676.470588235294"/>
    <n v="33.689655172413794"/>
    <m/>
    <n v="296.82702149437051"/>
    <s v="UAa"/>
    <n v="600"/>
    <m/>
    <x v="1"/>
    <x v="26"/>
    <n v="34"/>
    <n v="34"/>
    <m/>
    <m/>
    <m/>
    <n v="2277.5500000000002"/>
    <n v="2702.55"/>
    <n v="2702.55"/>
    <n v="2702.55"/>
    <n v="79.486764705882365"/>
    <m/>
    <m/>
    <m/>
    <m/>
    <m/>
    <m/>
    <m/>
    <m/>
    <m/>
    <s v="collectif"/>
    <s v="oui"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m/>
    <m/>
    <m/>
    <m/>
    <s v="0"/>
    <m/>
    <m/>
    <s v="0"/>
    <m/>
    <d v="2018-11-20T00:00:00"/>
    <m/>
    <m/>
    <d v="2018-11-20T00:00:00"/>
    <s v="0"/>
    <m/>
    <d v="2018-11-20T00:00:00"/>
    <s v="0"/>
    <m/>
    <m/>
    <m/>
    <m/>
    <s v="0"/>
    <d v="2020-01-20T00:00:00"/>
    <x v="59"/>
    <x v="8"/>
    <n v="1461.6666666666667"/>
    <n v="0"/>
    <n v="22"/>
    <n v="25"/>
    <m/>
    <d v="2018-11-20T00:00:00"/>
    <s v="0"/>
    <m/>
    <d v="2018-11-20T00:00:00"/>
    <s v="0"/>
    <m/>
    <d v="2018-11-20T00:00:00"/>
    <s v="0"/>
    <d v="2019-02-26T00:00:00"/>
    <d v="2019-02-26T00:00:00"/>
    <n v="0"/>
    <m/>
    <m/>
    <s v="0"/>
    <m/>
    <d v="2018-11-20T00:00:00"/>
    <s v="0"/>
    <d v="2019-05-14T00:00:00"/>
    <d v="2019-05-14T00:00:00"/>
    <n v="0"/>
    <m/>
    <m/>
    <m/>
    <d v="2021-11-20T00:00:00"/>
    <d v="2022-02-20T00:00:00"/>
    <n v="3.0666666666666669"/>
    <d v="1901-12-31T00:00:00"/>
    <m/>
    <m/>
    <d v="2022-06-22T00:00:00"/>
    <m/>
    <d v="2021-12-20T00:00:00"/>
    <x v="66"/>
    <x v="6"/>
    <n v="7.1333333333333337"/>
    <m/>
    <n v="0"/>
    <m/>
    <m/>
    <m/>
    <m/>
    <m/>
    <m/>
    <e v="#DIV/0!"/>
    <m/>
    <m/>
    <m/>
    <m/>
    <m/>
    <m/>
    <m/>
    <m/>
    <m/>
    <m/>
    <d v="2023-02-20T00:00:00"/>
    <m/>
    <m/>
    <m/>
    <m/>
    <m/>
    <m/>
    <m/>
    <m/>
    <m/>
    <m/>
    <m/>
    <m/>
    <m/>
    <m/>
    <m/>
    <m/>
    <n v="0"/>
    <n v="0"/>
    <n v="0"/>
    <n v="0"/>
    <n v="0"/>
    <n v="0"/>
    <m/>
    <m/>
    <e v="#DIV/0!"/>
    <m/>
    <m/>
    <m/>
    <m/>
    <m/>
    <m/>
    <m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AJP BX 26"/>
    <m/>
    <x v="2"/>
    <x v="1"/>
    <x v="9"/>
    <m/>
    <m/>
    <m/>
    <x v="9"/>
    <m/>
    <s v="BX 26"/>
    <m/>
    <m/>
    <m/>
    <m/>
    <n v="1278"/>
    <m/>
    <m/>
    <n v="0"/>
    <n v="0"/>
    <n v="0"/>
    <e v="#DIV/0!"/>
    <n v="0"/>
    <n v="31.170731707317074"/>
    <m/>
    <n v="320.81377151799688"/>
    <s v="UAa"/>
    <m/>
    <m/>
    <x v="0"/>
    <x v="48"/>
    <n v="41"/>
    <m/>
    <n v="4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m/>
    <m/>
    <m/>
    <m/>
    <s v="0"/>
    <m/>
    <m/>
    <s v="0"/>
    <m/>
    <d v="2018-11-20T00:00:00"/>
    <m/>
    <m/>
    <d v="2018-11-20T00:00:00"/>
    <s v="0"/>
    <m/>
    <d v="2018-11-20T00:00:00"/>
    <s v="0"/>
    <m/>
    <m/>
    <m/>
    <m/>
    <s v="0"/>
    <d v="2020-01-20T00:00:00"/>
    <x v="59"/>
    <x v="8"/>
    <n v="1461.6666666666667"/>
    <n v="0"/>
    <n v="23"/>
    <n v="26"/>
    <m/>
    <d v="2018-11-20T00:00:00"/>
    <s v="0"/>
    <m/>
    <d v="2018-11-20T00:00:00"/>
    <s v="0"/>
    <m/>
    <d v="2018-11-20T00:00:00"/>
    <s v="0"/>
    <d v="2019-02-27T00:00:00"/>
    <d v="2019-02-27T00:00:00"/>
    <n v="0"/>
    <m/>
    <m/>
    <s v="0"/>
    <m/>
    <d v="2018-11-20T00:00:00"/>
    <s v="0"/>
    <d v="2019-05-15T00:00:00"/>
    <d v="2019-05-15T00:00:00"/>
    <n v="0"/>
    <m/>
    <m/>
    <m/>
    <d v="2021-12-20T00:00:00"/>
    <d v="2022-03-20T00:00:00"/>
    <n v="3"/>
    <d v="1901-12-31T00:00:00"/>
    <m/>
    <m/>
    <d v="2022-07-22T00:00:00"/>
    <m/>
    <d v="2022-01-20T00:00:00"/>
    <x v="67"/>
    <x v="6"/>
    <n v="7.1333333333333337"/>
    <m/>
    <n v="0"/>
    <m/>
    <m/>
    <m/>
    <m/>
    <m/>
    <m/>
    <e v="#DIV/0!"/>
    <m/>
    <m/>
    <m/>
    <m/>
    <m/>
    <m/>
    <m/>
    <m/>
    <m/>
    <m/>
    <d v="2023-03-20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m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GORBATCHEV"/>
    <m/>
    <x v="2"/>
    <x v="1"/>
    <x v="9"/>
    <m/>
    <s v="YFR"/>
    <s v="SRI"/>
    <x v="9"/>
    <m/>
    <s v="BY 284"/>
    <s v="attente offres MOE 25/10/18 pour lancer ESQ_x000a_portage EPFR prévu / topo toujours pas commandé"/>
    <m/>
    <m/>
    <m/>
    <n v="1043"/>
    <n v="320000"/>
    <n v="320000"/>
    <n v="10666.666666666666"/>
    <n v="306.80728667305851"/>
    <n v="306.80728667305851"/>
    <e v="#DIV/0!"/>
    <n v="10666.666666666666"/>
    <n v="34.766666666666666"/>
    <m/>
    <n v="287.63183125599232"/>
    <s v="UAa"/>
    <n v="600"/>
    <n v="0.2"/>
    <x v="2"/>
    <x v="1"/>
    <n v="30"/>
    <m/>
    <m/>
    <n v="30"/>
    <m/>
    <m/>
    <m/>
    <m/>
    <m/>
    <n v="0"/>
    <m/>
    <m/>
    <m/>
    <m/>
    <m/>
    <m/>
    <m/>
    <m/>
    <m/>
    <s v="collectif"/>
    <s v="oui"/>
    <m/>
    <m/>
    <d v="2018-05-09T00:00:00"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24"/>
    <n v="27"/>
    <m/>
    <d v="2018-11-20T00:00:00"/>
    <s v="0"/>
    <m/>
    <d v="2018-11-20T00:00:00"/>
    <s v="0"/>
    <m/>
    <d v="2018-11-20T00:00:00"/>
    <s v="0"/>
    <d v="2019-02-28T00:00:00"/>
    <d v="2019-02-28T00:00:00"/>
    <n v="0"/>
    <m/>
    <m/>
    <s v="0"/>
    <m/>
    <d v="2018-11-20T00:00:00"/>
    <s v="0"/>
    <d v="2019-05-16T00:00:00"/>
    <d v="2019-05-16T00:00:00"/>
    <n v="0"/>
    <m/>
    <m/>
    <m/>
    <d v="2023-07-01T00:00:00"/>
    <d v="2023-10-01T00:00:00"/>
    <n v="3.0666666666666669"/>
    <d v="1901-12-31T00:00:00"/>
    <m/>
    <m/>
    <d v="2024-02-03T00:00:00"/>
    <m/>
    <d v="2023-08-01T00:00:00"/>
    <x v="68"/>
    <x v="6"/>
    <n v="7.166666666666667"/>
    <m/>
    <n v="0"/>
    <m/>
    <m/>
    <n v="0"/>
    <m/>
    <m/>
    <m/>
    <e v="#DIV/0!"/>
    <m/>
    <m/>
    <m/>
    <m/>
    <m/>
    <m/>
    <m/>
    <m/>
    <m/>
    <m/>
    <d v="2024-10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n v="0"/>
    <m/>
    <m/>
    <n v="0"/>
    <m/>
    <m/>
    <n v="0"/>
    <n v="0"/>
    <m/>
    <m/>
    <m/>
    <m/>
    <e v="#DIV/0!"/>
    <m/>
    <m/>
    <n v="0"/>
    <n v="0"/>
    <n v="0"/>
    <n v="0"/>
    <n v="6.31"/>
    <m/>
    <m/>
    <m/>
    <n v="0"/>
    <m/>
    <n v="0"/>
    <e v="#DIV/0!"/>
    <m/>
    <m/>
    <n v="0"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Terrain Michel CV"/>
    <m/>
    <x v="7"/>
    <x v="1"/>
    <x v="10"/>
    <s v="PRLC 0151"/>
    <s v="YFR"/>
    <m/>
    <x v="6"/>
    <s v="oui"/>
    <s v="BV 213 - 24"/>
    <s v="MICHEL plus OK"/>
    <s v="MICHEL"/>
    <s v="MAREL"/>
    <m/>
    <n v="1736"/>
    <n v="448408"/>
    <n v="448408"/>
    <n v="23600.42105263158"/>
    <n v="258.29953917050693"/>
    <n v="258.29953917050693"/>
    <e v="#DIV/0!"/>
    <n v="23600.42105263158"/>
    <n v="91.368421052631575"/>
    <m/>
    <n v="109.44700460829493"/>
    <s v="UA"/>
    <n v="50"/>
    <m/>
    <x v="0"/>
    <x v="33"/>
    <m/>
    <n v="19"/>
    <m/>
    <m/>
    <m/>
    <n v="1584.58"/>
    <m/>
    <m/>
    <n v="1632.28"/>
    <n v="85.909473684210525"/>
    <n v="0.42105263157894735"/>
    <n v="0.36842105263157893"/>
    <n v="0.21052631578947367"/>
    <m/>
    <m/>
    <n v="0"/>
    <m/>
    <n v="0"/>
    <n v="3"/>
    <s v="collectif"/>
    <s v="oui"/>
    <m/>
    <m/>
    <d v="2013-11-13T00:00:00"/>
    <d v="2016-04-15T00:00:00"/>
    <m/>
    <s v="SO"/>
    <s v="SO"/>
    <m/>
    <m/>
    <m/>
    <m/>
    <m/>
    <m/>
    <m/>
    <m/>
    <m/>
    <m/>
    <d v="1899-12-30T00:00:00"/>
    <d v="1901-12-31T00:00:00"/>
    <d v="1902-12-31T00:00:00"/>
    <e v="#NUM!"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d v="1900-01-30T00:00:00"/>
    <d v="1900-03-02T00:00:00"/>
    <n v="31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25"/>
    <n v="28"/>
    <m/>
    <d v="2018-11-20T00:00:00"/>
    <s v="0"/>
    <m/>
    <d v="2018-11-20T00:00:00"/>
    <s v="0"/>
    <m/>
    <d v="2018-11-20T00:00:00"/>
    <s v="0"/>
    <d v="2019-03-01T00:00:00"/>
    <d v="2019-03-01T00:00:00"/>
    <n v="0"/>
    <m/>
    <m/>
    <s v="0"/>
    <m/>
    <d v="2018-11-20T00:00:00"/>
    <s v="0"/>
    <d v="2019-05-17T00:00:00"/>
    <d v="2019-05-17T00:00:00"/>
    <n v="0"/>
    <m/>
    <m/>
    <m/>
    <d v="2023-08-01T00:00:00"/>
    <d v="2023-11-01T00:00:00"/>
    <n v="3.0666666666666669"/>
    <d v="1901-12-31T00:00:00"/>
    <d v="2018-03-23T00:00:00"/>
    <m/>
    <d v="2024-03-03T00:00:00"/>
    <m/>
    <d v="2023-09-01T00:00:00"/>
    <x v="69"/>
    <x v="6"/>
    <n v="7.166666666666667"/>
    <m/>
    <n v="0"/>
    <m/>
    <m/>
    <m/>
    <m/>
    <m/>
    <m/>
    <e v="#DIV/0!"/>
    <m/>
    <m/>
    <m/>
    <m/>
    <m/>
    <m/>
    <m/>
    <m/>
    <m/>
    <m/>
    <d v="2024-11-01T00:00:00"/>
    <m/>
    <m/>
    <m/>
    <m/>
    <m/>
    <m/>
    <m/>
    <m/>
    <m/>
    <m/>
    <m/>
    <m/>
    <m/>
    <m/>
    <m/>
    <m/>
    <n v="41696"/>
    <n v="0"/>
    <n v="0"/>
    <n v="-41696"/>
    <n v="0"/>
    <e v="#DIV/0!"/>
    <m/>
    <m/>
    <e v="#REF!"/>
    <m/>
    <m/>
    <m/>
    <m/>
    <m/>
    <m/>
    <m/>
    <e v="#DIV/0!"/>
    <m/>
    <n v="0"/>
    <n v="0"/>
    <n v="0"/>
    <n v="0"/>
    <n v="0"/>
    <m/>
    <e v="#DIV/0!"/>
    <m/>
    <n v="0"/>
    <n v="0"/>
    <n v="0"/>
    <n v="0"/>
    <n v="0"/>
    <m/>
    <m/>
    <m/>
    <n v="0"/>
    <n v="0"/>
    <n v="45788"/>
    <n v="55061.345454545452"/>
    <n v="0.43253266922613004"/>
    <m/>
    <m/>
    <n v="41696"/>
    <n v="5276624"/>
    <m/>
    <m/>
    <m/>
    <m/>
    <m/>
    <d v="2014-06-30T00:00:00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Casabianca"/>
    <m/>
    <x v="9"/>
    <x v="1"/>
    <x v="10"/>
    <m/>
    <s v="JER"/>
    <s v="NLE"/>
    <x v="10"/>
    <m/>
    <s v="AP 1535"/>
    <s v="bail à construction sur AP 1558 qui concerne Foyer Casabianca"/>
    <s v="Entre-Deux"/>
    <s v="LE GOFF"/>
    <d v="2008-12-16T00:00:00"/>
    <m/>
    <m/>
    <m/>
    <m/>
    <m/>
    <m/>
    <m/>
    <m/>
    <m/>
    <m/>
    <e v="#DIV/0!"/>
    <m/>
    <m/>
    <m/>
    <x v="3"/>
    <x v="6"/>
    <n v="0"/>
    <m/>
    <m/>
    <m/>
    <n v="16"/>
    <m/>
    <m/>
    <m/>
    <m/>
    <n v="0"/>
    <m/>
    <m/>
    <m/>
    <m/>
    <m/>
    <m/>
    <m/>
    <m/>
    <m/>
    <m/>
    <m/>
    <m/>
    <m/>
    <m/>
    <m/>
    <m/>
    <m/>
    <m/>
    <m/>
    <m/>
    <m/>
    <m/>
    <m/>
    <m/>
    <d v="2018-07-30T00:00:00"/>
    <d v="2018-05-29T00:00:00"/>
    <d v="2018-08-29T00:00:00"/>
    <m/>
    <d v="2018-05-29T00:00:00"/>
    <d v="2020-05-29T00:00:00"/>
    <d v="2021-05-29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26"/>
    <n v="29"/>
    <m/>
    <d v="2018-11-20T00:00:00"/>
    <s v="0"/>
    <m/>
    <d v="2018-11-20T00:00:00"/>
    <s v="0"/>
    <m/>
    <d v="2018-11-20T00:00:00"/>
    <s v="0"/>
    <d v="2019-03-02T00:00:00"/>
    <d v="2019-03-02T00:00:00"/>
    <n v="0"/>
    <m/>
    <m/>
    <s v="0"/>
    <m/>
    <d v="2018-11-20T00:00:00"/>
    <s v="0"/>
    <d v="2019-05-18T00:00:00"/>
    <d v="2019-05-18T00:00:00"/>
    <n v="0"/>
    <m/>
    <m/>
    <m/>
    <d v="2023-09-01T00:00:00"/>
    <d v="2023-12-01T00:00:00"/>
    <n v="3.0333333333333332"/>
    <m/>
    <m/>
    <m/>
    <d v="2024-04-03T00:00:00"/>
    <m/>
    <d v="2023-10-01T00:00:00"/>
    <x v="70"/>
    <x v="6"/>
    <n v="7.166666666666667"/>
    <m/>
    <n v="0"/>
    <m/>
    <m/>
    <n v="0"/>
    <m/>
    <m/>
    <m/>
    <e v="#DIV/0!"/>
    <m/>
    <m/>
    <m/>
    <m/>
    <m/>
    <m/>
    <m/>
    <m/>
    <m/>
    <m/>
    <d v="2024-12-01T00:00:00"/>
    <m/>
    <m/>
    <m/>
    <m/>
    <m/>
    <m/>
    <m/>
    <m/>
    <m/>
    <m/>
    <m/>
    <m/>
    <m/>
    <m/>
    <m/>
    <m/>
    <n v="3639915"/>
    <n v="0"/>
    <m/>
    <n v="-3639915"/>
    <e v="#DIV/0!"/>
    <n v="0"/>
    <m/>
    <m/>
    <m/>
    <m/>
    <m/>
    <m/>
    <n v="0"/>
    <m/>
    <n v="3389915"/>
    <m/>
    <m/>
    <m/>
    <n v="-3389915"/>
    <n v="0"/>
    <m/>
    <n v="250000"/>
    <m/>
    <m/>
    <e v="#DIV/0!"/>
    <m/>
    <m/>
    <n v="-250000"/>
    <n v="0"/>
    <n v="0"/>
    <n v="-15625"/>
    <n v="6.31"/>
    <m/>
    <m/>
    <m/>
    <n v="15625"/>
    <m/>
    <n v="0"/>
    <n v="6.8682922540773614E-2"/>
    <m/>
    <m/>
    <n v="0"/>
    <n v="3639915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hapelle"/>
    <m/>
    <x v="2"/>
    <x v="1"/>
    <x v="10"/>
    <m/>
    <s v="JER"/>
    <s v="NLE"/>
    <x v="10"/>
    <m/>
    <s v="CN 286"/>
    <s v="RAS"/>
    <s v="SODEGIS"/>
    <s v="MOUTIEN"/>
    <d v="1997-05-21T00:00:00"/>
    <m/>
    <m/>
    <m/>
    <m/>
    <m/>
    <m/>
    <m/>
    <m/>
    <m/>
    <m/>
    <e v="#DIV/0!"/>
    <m/>
    <m/>
    <m/>
    <x v="3"/>
    <x v="49"/>
    <n v="0"/>
    <m/>
    <m/>
    <m/>
    <n v="38"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27"/>
    <n v="30"/>
    <m/>
    <d v="2018-11-20T00:00:00"/>
    <s v="0"/>
    <m/>
    <d v="2018-11-20T00:00:00"/>
    <s v="0"/>
    <m/>
    <d v="2018-11-20T00:00:00"/>
    <s v="0"/>
    <d v="2019-03-03T00:00:00"/>
    <d v="2019-03-03T00:00:00"/>
    <n v="0"/>
    <m/>
    <m/>
    <s v="0"/>
    <m/>
    <d v="2018-11-20T00:00:00"/>
    <s v="0"/>
    <d v="2019-05-19T00:00:00"/>
    <d v="2019-05-19T00:00:00"/>
    <n v="0"/>
    <m/>
    <m/>
    <m/>
    <d v="2023-10-01T00:00:00"/>
    <d v="2024-01-01T00:00:00"/>
    <n v="3.0666666666666669"/>
    <m/>
    <m/>
    <m/>
    <d v="2024-05-03T00:00:00"/>
    <m/>
    <d v="2023-11-01T00:00:00"/>
    <x v="71"/>
    <x v="6"/>
    <n v="7.166666666666667"/>
    <m/>
    <n v="0"/>
    <m/>
    <m/>
    <n v="0"/>
    <m/>
    <m/>
    <m/>
    <e v="#DIV/0!"/>
    <m/>
    <m/>
    <m/>
    <m/>
    <m/>
    <m/>
    <m/>
    <m/>
    <m/>
    <m/>
    <d v="2025-01-01T00:00:00"/>
    <m/>
    <m/>
    <m/>
    <m/>
    <m/>
    <m/>
    <m/>
    <m/>
    <m/>
    <m/>
    <m/>
    <m/>
    <m/>
    <m/>
    <m/>
    <m/>
    <n v="3639915"/>
    <n v="0"/>
    <m/>
    <n v="-3639915"/>
    <e v="#DIV/0!"/>
    <n v="0"/>
    <m/>
    <m/>
    <m/>
    <m/>
    <m/>
    <m/>
    <n v="0"/>
    <m/>
    <n v="3389915"/>
    <n v="0"/>
    <m/>
    <m/>
    <n v="-3389915"/>
    <n v="0"/>
    <m/>
    <n v="250000"/>
    <m/>
    <m/>
    <e v="#DIV/0!"/>
    <m/>
    <m/>
    <n v="-250000"/>
    <n v="0"/>
    <n v="0"/>
    <n v="-6578.9473684210525"/>
    <n v="6.31"/>
    <m/>
    <m/>
    <m/>
    <n v="6578.9473684210525"/>
    <m/>
    <n v="0"/>
    <n v="6.8682922540773614E-2"/>
    <m/>
    <m/>
    <n v="0"/>
    <n v="3639915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hemin Galet 1"/>
    <m/>
    <x v="7"/>
    <x v="1"/>
    <x v="10"/>
    <m/>
    <s v="JER"/>
    <s v="NLE"/>
    <x v="10"/>
    <m/>
    <s v="BY 1389 …"/>
    <s v="BY 105_x000a_BY 1045_x000a_BY 888_x000a_manque bcp de justificatifs"/>
    <s v="SODEGIS"/>
    <s v="HOARAU_x000a_HOARAU_x000a_ESPARON"/>
    <s v="13/05/1992_x000a_09/08/96_x000a_22/08/94"/>
    <m/>
    <m/>
    <m/>
    <m/>
    <m/>
    <m/>
    <m/>
    <m/>
    <m/>
    <m/>
    <e v="#DIV/0!"/>
    <m/>
    <m/>
    <m/>
    <x v="3"/>
    <x v="1"/>
    <n v="0"/>
    <m/>
    <m/>
    <m/>
    <n v="30"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28"/>
    <n v="31"/>
    <m/>
    <d v="2018-11-20T00:00:00"/>
    <s v="0"/>
    <m/>
    <d v="2018-11-20T00:00:00"/>
    <s v="0"/>
    <m/>
    <d v="2018-11-20T00:00:00"/>
    <s v="0"/>
    <d v="2019-03-04T00:00:00"/>
    <d v="2019-03-04T00:00:00"/>
    <n v="0"/>
    <m/>
    <m/>
    <s v="0"/>
    <m/>
    <d v="2018-11-20T00:00:00"/>
    <s v="0"/>
    <d v="2019-05-20T00:00:00"/>
    <d v="2019-05-20T00:00:00"/>
    <n v="0"/>
    <m/>
    <m/>
    <m/>
    <d v="2023-11-01T00:00:00"/>
    <d v="2024-02-01T00:00:00"/>
    <n v="3.0666666666666669"/>
    <m/>
    <m/>
    <m/>
    <d v="2024-06-03T00:00:00"/>
    <m/>
    <d v="2023-12-01T00:00:00"/>
    <x v="72"/>
    <x v="6"/>
    <n v="7.166666666666667"/>
    <m/>
    <n v="0"/>
    <m/>
    <m/>
    <n v="0"/>
    <m/>
    <m/>
    <m/>
    <e v="#DIV/0!"/>
    <m/>
    <m/>
    <m/>
    <m/>
    <m/>
    <m/>
    <m/>
    <m/>
    <m/>
    <m/>
    <d v="2025-02-01T00:00:00"/>
    <m/>
    <m/>
    <m/>
    <m/>
    <m/>
    <m/>
    <m/>
    <m/>
    <m/>
    <m/>
    <m/>
    <m/>
    <m/>
    <m/>
    <m/>
    <m/>
    <n v="3639915"/>
    <n v="0"/>
    <m/>
    <n v="-3639915"/>
    <e v="#DIV/0!"/>
    <n v="0"/>
    <m/>
    <m/>
    <m/>
    <m/>
    <m/>
    <m/>
    <n v="0"/>
    <m/>
    <n v="3389915"/>
    <n v="0"/>
    <m/>
    <m/>
    <n v="-3389915"/>
    <n v="0"/>
    <m/>
    <n v="250000"/>
    <m/>
    <m/>
    <e v="#DIV/0!"/>
    <m/>
    <m/>
    <n v="-250000"/>
    <n v="0"/>
    <n v="0"/>
    <n v="-8333.3333333333339"/>
    <n v="6.31"/>
    <m/>
    <m/>
    <m/>
    <n v="8333.3333333333339"/>
    <m/>
    <n v="0"/>
    <n v="6.8682922540773614E-2"/>
    <m/>
    <m/>
    <n v="0"/>
    <n v="3639915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hemin Galet 2"/>
    <m/>
    <x v="7"/>
    <x v="1"/>
    <x v="10"/>
    <m/>
    <s v="JER"/>
    <m/>
    <x v="10"/>
    <m/>
    <s v="BY 1385 …"/>
    <s v="BY 105_x000a_BY 1045_x000a_BY 888_x000a_manque bcp de justificatifs"/>
    <s v="SODEGIS"/>
    <s v="HOARAU_x000a_HOARAU_x000a_ESPARON"/>
    <s v="13/05/1992_x000a_09/08/96_x000a_22/08/94"/>
    <m/>
    <m/>
    <m/>
    <m/>
    <m/>
    <m/>
    <m/>
    <m/>
    <m/>
    <m/>
    <e v="#DIV/0!"/>
    <m/>
    <m/>
    <m/>
    <x v="3"/>
    <x v="50"/>
    <n v="0"/>
    <m/>
    <m/>
    <m/>
    <n v="32"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29"/>
    <n v="32"/>
    <m/>
    <d v="2018-11-20T00:00:00"/>
    <s v="0"/>
    <m/>
    <d v="2018-11-20T00:00:00"/>
    <s v="0"/>
    <m/>
    <d v="2018-11-20T00:00:00"/>
    <s v="0"/>
    <d v="2019-03-05T00:00:00"/>
    <d v="2019-03-05T00:00:00"/>
    <n v="0"/>
    <m/>
    <m/>
    <s v="0"/>
    <m/>
    <d v="2018-11-20T00:00:00"/>
    <s v="0"/>
    <d v="2019-05-21T00:00:00"/>
    <d v="2019-05-21T00:00:00"/>
    <n v="0"/>
    <m/>
    <m/>
    <m/>
    <d v="2023-12-01T00:00:00"/>
    <d v="2024-03-01T00:00:00"/>
    <n v="3.0333333333333332"/>
    <m/>
    <m/>
    <m/>
    <d v="2024-07-03T00:00:00"/>
    <m/>
    <d v="2024-01-01T00:00:00"/>
    <x v="73"/>
    <x v="6"/>
    <n v="7.166666666666667"/>
    <m/>
    <n v="0"/>
    <m/>
    <m/>
    <n v="0"/>
    <m/>
    <m/>
    <m/>
    <e v="#DIV/0!"/>
    <m/>
    <m/>
    <m/>
    <m/>
    <m/>
    <m/>
    <m/>
    <m/>
    <m/>
    <m/>
    <d v="2025-03-01T00:00:00"/>
    <m/>
    <m/>
    <m/>
    <m/>
    <m/>
    <m/>
    <m/>
    <m/>
    <m/>
    <m/>
    <m/>
    <m/>
    <m/>
    <m/>
    <m/>
    <m/>
    <n v="3639915"/>
    <n v="0"/>
    <m/>
    <n v="-3639915"/>
    <e v="#DIV/0!"/>
    <n v="0"/>
    <m/>
    <m/>
    <m/>
    <m/>
    <m/>
    <m/>
    <n v="0"/>
    <m/>
    <n v="3389915"/>
    <n v="0"/>
    <m/>
    <m/>
    <n v="-3389915"/>
    <n v="0"/>
    <m/>
    <n v="250000"/>
    <m/>
    <m/>
    <e v="#DIV/0!"/>
    <m/>
    <m/>
    <n v="-250000"/>
    <n v="0"/>
    <n v="0"/>
    <n v="-7812.5"/>
    <n v="6.31"/>
    <m/>
    <m/>
    <m/>
    <n v="7812.5"/>
    <m/>
    <n v="0"/>
    <n v="6.8682922540773614E-2"/>
    <m/>
    <m/>
    <n v="0"/>
    <n v="3639915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La Cure 2"/>
    <m/>
    <x v="7"/>
    <x v="1"/>
    <x v="10"/>
    <m/>
    <s v="JER"/>
    <m/>
    <x v="10"/>
    <m/>
    <m/>
    <s v="dépôt de pièces divisant BN 419/420/421/422/423/782/783/825_x000a_manque titre de propriété des parcelles divisées"/>
    <s v="SODEGIS"/>
    <s v="BASTI"/>
    <d v="2001-08-22T00:00:00"/>
    <m/>
    <m/>
    <m/>
    <m/>
    <m/>
    <m/>
    <m/>
    <m/>
    <m/>
    <m/>
    <e v="#DIV/0!"/>
    <m/>
    <m/>
    <m/>
    <x v="3"/>
    <x v="25"/>
    <n v="0"/>
    <m/>
    <m/>
    <m/>
    <n v="18"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30"/>
    <n v="33"/>
    <m/>
    <d v="2018-11-20T00:00:00"/>
    <s v="0"/>
    <m/>
    <d v="2018-11-20T00:00:00"/>
    <s v="0"/>
    <m/>
    <d v="2018-11-20T00:00:00"/>
    <s v="0"/>
    <d v="2019-03-06T00:00:00"/>
    <d v="2019-03-06T00:00:00"/>
    <n v="0"/>
    <m/>
    <m/>
    <s v="0"/>
    <m/>
    <d v="2018-11-20T00:00:00"/>
    <s v="0"/>
    <d v="2019-05-22T00:00:00"/>
    <d v="2019-05-22T00:00:00"/>
    <n v="0"/>
    <m/>
    <m/>
    <m/>
    <d v="2024-01-01T00:00:00"/>
    <d v="2024-04-01T00:00:00"/>
    <n v="3.0333333333333332"/>
    <m/>
    <m/>
    <m/>
    <d v="2024-08-03T00:00:00"/>
    <m/>
    <d v="2024-02-01T00:00:00"/>
    <x v="74"/>
    <x v="6"/>
    <n v="7.166666666666667"/>
    <m/>
    <n v="0"/>
    <m/>
    <m/>
    <n v="0"/>
    <m/>
    <m/>
    <m/>
    <e v="#DIV/0!"/>
    <m/>
    <m/>
    <m/>
    <m/>
    <m/>
    <m/>
    <m/>
    <m/>
    <m/>
    <m/>
    <d v="2025-04-01T00:00:00"/>
    <m/>
    <m/>
    <m/>
    <m/>
    <m/>
    <m/>
    <m/>
    <m/>
    <m/>
    <m/>
    <m/>
    <m/>
    <m/>
    <m/>
    <m/>
    <m/>
    <n v="0"/>
    <n v="0"/>
    <m/>
    <n v="0"/>
    <e v="#DIV/0!"/>
    <n v="0"/>
    <m/>
    <m/>
    <m/>
    <m/>
    <m/>
    <m/>
    <n v="0"/>
    <m/>
    <m/>
    <n v="0"/>
    <m/>
    <m/>
    <n v="0"/>
    <n v="0"/>
    <m/>
    <m/>
    <m/>
    <m/>
    <e v="#DIV/0!"/>
    <m/>
    <m/>
    <n v="0"/>
    <n v="0"/>
    <n v="0"/>
    <n v="0"/>
    <n v="6.31"/>
    <m/>
    <m/>
    <m/>
    <n v="0"/>
    <m/>
    <n v="0"/>
    <e v="#DIV/0!"/>
    <m/>
    <m/>
    <n v="0"/>
    <n v="0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Le Choka Bleu"/>
    <m/>
    <x v="7"/>
    <x v="1"/>
    <x v="10"/>
    <m/>
    <s v="JER"/>
    <m/>
    <x v="10"/>
    <m/>
    <s v="BN 813 / 812"/>
    <s v="manque justificatif BN 812"/>
    <s v="SODEGIS"/>
    <s v="Esparon"/>
    <d v="1996-11-27T00:00:00"/>
    <m/>
    <m/>
    <m/>
    <m/>
    <m/>
    <m/>
    <m/>
    <m/>
    <m/>
    <m/>
    <e v="#DIV/0!"/>
    <m/>
    <m/>
    <m/>
    <x v="3"/>
    <x v="42"/>
    <n v="0"/>
    <m/>
    <m/>
    <m/>
    <n v="26"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31"/>
    <n v="34"/>
    <m/>
    <d v="2018-11-20T00:00:00"/>
    <s v="0"/>
    <m/>
    <d v="2018-11-20T00:00:00"/>
    <s v="0"/>
    <m/>
    <d v="2018-11-20T00:00:00"/>
    <s v="0"/>
    <d v="2019-03-07T00:00:00"/>
    <d v="2019-03-07T00:00:00"/>
    <n v="0"/>
    <m/>
    <m/>
    <s v="0"/>
    <m/>
    <d v="2018-11-20T00:00:00"/>
    <s v="0"/>
    <d v="2019-05-23T00:00:00"/>
    <d v="2019-05-23T00:00:00"/>
    <n v="0"/>
    <m/>
    <m/>
    <m/>
    <d v="2024-02-01T00:00:00"/>
    <d v="2024-05-01T00:00:00"/>
    <n v="3"/>
    <m/>
    <m/>
    <m/>
    <d v="2024-09-03T00:00:00"/>
    <m/>
    <d v="2024-03-01T00:00:00"/>
    <x v="75"/>
    <x v="6"/>
    <n v="7.2"/>
    <m/>
    <n v="0"/>
    <m/>
    <m/>
    <n v="0"/>
    <m/>
    <m/>
    <m/>
    <e v="#DIV/0!"/>
    <m/>
    <m/>
    <m/>
    <m/>
    <m/>
    <m/>
    <m/>
    <m/>
    <m/>
    <m/>
    <d v="2025-05-01T00:00:00"/>
    <m/>
    <m/>
    <m/>
    <m/>
    <m/>
    <m/>
    <m/>
    <m/>
    <m/>
    <m/>
    <m/>
    <m/>
    <m/>
    <m/>
    <m/>
    <m/>
    <n v="0"/>
    <n v="0"/>
    <m/>
    <n v="0"/>
    <e v="#DIV/0!"/>
    <n v="0"/>
    <m/>
    <m/>
    <m/>
    <m/>
    <m/>
    <m/>
    <n v="0"/>
    <m/>
    <m/>
    <n v="0"/>
    <m/>
    <m/>
    <n v="0"/>
    <n v="0"/>
    <m/>
    <m/>
    <m/>
    <m/>
    <e v="#DIV/0!"/>
    <m/>
    <m/>
    <n v="0"/>
    <n v="0"/>
    <n v="0"/>
    <n v="0"/>
    <n v="6.31"/>
    <m/>
    <m/>
    <m/>
    <n v="0"/>
    <m/>
    <n v="0"/>
    <e v="#DIV/0!"/>
    <m/>
    <m/>
    <n v="0"/>
    <n v="0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Les Orchidées"/>
    <m/>
    <x v="2"/>
    <x v="1"/>
    <x v="10"/>
    <m/>
    <s v="JER"/>
    <m/>
    <x v="10"/>
    <m/>
    <s v="?"/>
    <s v="pas de justificatif"/>
    <m/>
    <m/>
    <m/>
    <m/>
    <m/>
    <m/>
    <m/>
    <m/>
    <m/>
    <m/>
    <m/>
    <m/>
    <m/>
    <e v="#DIV/0!"/>
    <m/>
    <m/>
    <m/>
    <x v="3"/>
    <x v="24"/>
    <n v="0"/>
    <m/>
    <m/>
    <m/>
    <n v="83"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32"/>
    <n v="35"/>
    <m/>
    <d v="2018-11-20T00:00:00"/>
    <s v="0"/>
    <m/>
    <d v="2018-11-20T00:00:00"/>
    <s v="0"/>
    <m/>
    <d v="2018-11-20T00:00:00"/>
    <s v="0"/>
    <d v="2019-03-08T00:00:00"/>
    <d v="2019-03-08T00:00:00"/>
    <n v="0"/>
    <m/>
    <m/>
    <s v="0"/>
    <m/>
    <d v="2018-11-20T00:00:00"/>
    <s v="0"/>
    <d v="2019-05-24T00:00:00"/>
    <d v="2019-05-24T00:00:00"/>
    <n v="0"/>
    <m/>
    <m/>
    <m/>
    <d v="2024-03-01T00:00:00"/>
    <d v="2024-06-01T00:00:00"/>
    <n v="3.0666666666666669"/>
    <m/>
    <m/>
    <m/>
    <d v="2024-10-03T00:00:00"/>
    <m/>
    <d v="2024-04-01T00:00:00"/>
    <x v="76"/>
    <x v="6"/>
    <n v="7.2"/>
    <m/>
    <n v="0"/>
    <m/>
    <m/>
    <n v="0"/>
    <m/>
    <m/>
    <m/>
    <e v="#DIV/0!"/>
    <m/>
    <m/>
    <m/>
    <m/>
    <m/>
    <m/>
    <m/>
    <m/>
    <m/>
    <m/>
    <d v="2025-06-01T00:00:00"/>
    <m/>
    <m/>
    <m/>
    <m/>
    <m/>
    <m/>
    <m/>
    <m/>
    <m/>
    <m/>
    <m/>
    <m/>
    <m/>
    <m/>
    <m/>
    <m/>
    <n v="0"/>
    <n v="0"/>
    <m/>
    <n v="0"/>
    <e v="#DIV/0!"/>
    <n v="0"/>
    <m/>
    <m/>
    <m/>
    <m/>
    <m/>
    <m/>
    <n v="0"/>
    <m/>
    <m/>
    <n v="0"/>
    <m/>
    <m/>
    <n v="0"/>
    <n v="0"/>
    <m/>
    <m/>
    <m/>
    <m/>
    <e v="#DIV/0!"/>
    <m/>
    <m/>
    <n v="0"/>
    <n v="0"/>
    <n v="0"/>
    <n v="0"/>
    <n v="6.31"/>
    <m/>
    <m/>
    <m/>
    <n v="0"/>
    <m/>
    <n v="0"/>
    <e v="#DIV/0!"/>
    <m/>
    <m/>
    <n v="0"/>
    <n v="0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VEFA PAVILLONS DE L'ENTRE DEUX"/>
    <m/>
    <x v="9"/>
    <x v="1"/>
    <x v="10"/>
    <m/>
    <m/>
    <m/>
    <x v="10"/>
    <m/>
    <s v="AR 1173,1174"/>
    <s v="attente projet du promoteur"/>
    <m/>
    <m/>
    <m/>
    <n v="5468"/>
    <m/>
    <m/>
    <n v="0"/>
    <n v="0"/>
    <n v="0"/>
    <e v="#DIV/0!"/>
    <n v="0"/>
    <n v="105.15384615384616"/>
    <m/>
    <n v="95.098756400877832"/>
    <s v="AUC9"/>
    <m/>
    <m/>
    <x v="0"/>
    <x v="51"/>
    <n v="52"/>
    <m/>
    <n v="40"/>
    <n v="12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33"/>
    <n v="36"/>
    <m/>
    <d v="2018-11-20T00:00:00"/>
    <s v="0"/>
    <m/>
    <d v="2018-11-20T00:00:00"/>
    <s v="0"/>
    <m/>
    <d v="2018-11-20T00:00:00"/>
    <s v="0"/>
    <d v="2019-03-09T00:00:00"/>
    <d v="2019-03-09T00:00:00"/>
    <n v="0"/>
    <m/>
    <m/>
    <s v="0"/>
    <m/>
    <d v="2018-11-20T00:00:00"/>
    <s v="0"/>
    <d v="2019-05-25T00:00:00"/>
    <d v="2019-05-25T00:00:00"/>
    <n v="0"/>
    <m/>
    <m/>
    <m/>
    <d v="2024-04-01T00:00:00"/>
    <d v="2024-07-01T00:00:00"/>
    <n v="3.0333333333333332"/>
    <d v="1901-12-31T00:00:00"/>
    <m/>
    <m/>
    <d v="2024-11-03T00:00:00"/>
    <m/>
    <d v="2024-05-01T00:00:00"/>
    <x v="77"/>
    <x v="6"/>
    <n v="7.2"/>
    <m/>
    <n v="0"/>
    <m/>
    <m/>
    <m/>
    <m/>
    <m/>
    <m/>
    <e v="#DIV/0!"/>
    <m/>
    <m/>
    <m/>
    <m/>
    <m/>
    <m/>
    <m/>
    <m/>
    <m/>
    <m/>
    <d v="2025-07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MERCURY (Terrain DAMOUR)"/>
    <m/>
    <x v="2"/>
    <x v="1"/>
    <x v="10"/>
    <s v="PRLC 0204"/>
    <s v="APU"/>
    <m/>
    <x v="10"/>
    <m/>
    <s v="CH 483 / 102"/>
    <s v="CPV CH 102 à signer hors QPV - en stand by / Commune OK pour portage_x000a_topo à compléter_x000a_CH 483 : prorogation à fin 2019 refusée par vendeur mais accepte baisse de prix / Mairie OK pour portage à mettre en place rapidement"/>
    <m/>
    <m/>
    <s v="CPV DAMOUR OK_x000a_manque CPV sur CH 102"/>
    <n v="1597"/>
    <n v="450000"/>
    <m/>
    <e v="#DIV/0!"/>
    <n v="281.77833437695682"/>
    <n v="0"/>
    <e v="#DIV/0!"/>
    <e v="#DIV/0!"/>
    <e v="#DIV/0!"/>
    <m/>
    <n v="0"/>
    <m/>
    <m/>
    <m/>
    <x v="2"/>
    <x v="52"/>
    <n v="0"/>
    <m/>
    <m/>
    <n v="25"/>
    <m/>
    <m/>
    <n v="2237"/>
    <m/>
    <m/>
    <e v="#DIV/0!"/>
    <m/>
    <m/>
    <m/>
    <m/>
    <m/>
    <m/>
    <m/>
    <m/>
    <m/>
    <s v="collectif"/>
    <s v="oui"/>
    <m/>
    <m/>
    <m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d v="2018-02-19T00:00:00"/>
    <d v="2018-02-20T00:00:00"/>
    <m/>
    <s v="0"/>
    <d v="2018-06-15T00:00:00"/>
    <d v="2018-06-15T00:00:00"/>
    <n v="0"/>
    <d v="2018-05-25T00:00:00"/>
    <d v="2018-11-20T00:00:00"/>
    <n v="179"/>
    <d v="2018-08-14T00:00:00"/>
    <d v="2018-11-20T00:00:00"/>
    <n v="98"/>
    <m/>
    <d v="2018-11-20T00:00:00"/>
    <s v="0"/>
    <m/>
    <m/>
    <d v="2019-07-30T00:00:00"/>
    <d v="2019-07-30T00:00:00"/>
    <n v="0"/>
    <d v="2021-07-01T00:00:00"/>
    <x v="60"/>
    <x v="8"/>
    <n v="1479.2666666666667"/>
    <n v="0"/>
    <n v="34"/>
    <n v="37"/>
    <m/>
    <d v="2018-11-20T00:00:00"/>
    <s v="0"/>
    <m/>
    <d v="2018-11-20T00:00:00"/>
    <s v="0"/>
    <m/>
    <d v="2018-11-20T00:00:00"/>
    <s v="0"/>
    <d v="2019-03-10T00:00:00"/>
    <d v="2019-03-10T00:00:00"/>
    <n v="0"/>
    <m/>
    <m/>
    <s v="0"/>
    <m/>
    <d v="2018-11-20T00:00:00"/>
    <s v="0"/>
    <d v="2019-05-26T00:00:00"/>
    <d v="2019-05-26T00:00:00"/>
    <n v="0"/>
    <m/>
    <m/>
    <m/>
    <d v="2024-05-01T00:00:00"/>
    <d v="2024-08-01T00:00:00"/>
    <n v="3.0666666666666669"/>
    <d v="1901-12-31T00:00:00"/>
    <m/>
    <m/>
    <d v="2024-12-03T00:00:00"/>
    <m/>
    <d v="2024-06-01T00:00:00"/>
    <x v="78"/>
    <x v="6"/>
    <n v="7.2"/>
    <m/>
    <n v="0"/>
    <m/>
    <n v="0"/>
    <n v="0"/>
    <m/>
    <m/>
    <m/>
    <e v="#DIV/0!"/>
    <m/>
    <m/>
    <m/>
    <m/>
    <m/>
    <m/>
    <m/>
    <m/>
    <m/>
    <m/>
    <d v="2025-08-01T00:00:00"/>
    <m/>
    <m/>
    <m/>
    <m/>
    <m/>
    <m/>
    <m/>
    <m/>
    <m/>
    <m/>
    <m/>
    <m/>
    <m/>
    <m/>
    <m/>
    <m/>
    <n v="5276624"/>
    <n v="0"/>
    <n v="0"/>
    <n v="-5276624"/>
    <n v="2358.7948144836837"/>
    <e v="#DIV/0!"/>
    <m/>
    <m/>
    <e v="#DIV/0!"/>
    <n v="1821843"/>
    <m/>
    <m/>
    <e v="#DIV/0!"/>
    <m/>
    <n v="3454781"/>
    <n v="0"/>
    <m/>
    <m/>
    <n v="-3454781"/>
    <e v="#DIV/0!"/>
    <m/>
    <m/>
    <m/>
    <m/>
    <e v="#DIV/0!"/>
    <m/>
    <m/>
    <n v="0"/>
    <e v="#DIV/0!"/>
    <e v="#DIV/0!"/>
    <e v="#DIV/0!"/>
    <n v="6.31"/>
    <m/>
    <m/>
    <m/>
    <e v="#DIV/0!"/>
    <m/>
    <e v="#DIV/0!"/>
    <e v="#DIV/0!"/>
    <m/>
    <m/>
    <n v="0"/>
    <n v="527662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AP 728"/>
    <m/>
    <x v="13"/>
    <x v="2"/>
    <x v="10"/>
    <m/>
    <m/>
    <m/>
    <x v="10"/>
    <m/>
    <s v="AP 728"/>
    <m/>
    <m/>
    <m/>
    <m/>
    <n v="1681"/>
    <n v="375000"/>
    <n v="375000"/>
    <n v="15625"/>
    <n v="223.08149910767401"/>
    <n v="223.08149910767401"/>
    <e v="#DIV/0!"/>
    <n v="15625"/>
    <n v="70.041666666666671"/>
    <m/>
    <n v="142.77215942891135"/>
    <s v="Aub"/>
    <n v="160"/>
    <n v="0.15"/>
    <x v="2"/>
    <x v="17"/>
    <m/>
    <m/>
    <m/>
    <n v="24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5-20T00:00:00"/>
    <x v="61"/>
    <x v="8"/>
    <n v="1477.8666666666666"/>
    <n v="0"/>
    <n v="35"/>
    <n v="38"/>
    <m/>
    <d v="2018-11-20T00:00:00"/>
    <s v="0"/>
    <m/>
    <d v="2018-11-20T00:00:00"/>
    <s v="0"/>
    <m/>
    <d v="2018-11-20T00:00:00"/>
    <s v="0"/>
    <d v="2019-03-11T00:00:00"/>
    <d v="2019-03-11T00:00:00"/>
    <n v="0"/>
    <m/>
    <m/>
    <s v="0"/>
    <m/>
    <d v="2018-11-20T00:00:00"/>
    <s v="0"/>
    <d v="2019-05-27T00:00:00"/>
    <d v="2019-05-27T00:00:00"/>
    <n v="0"/>
    <m/>
    <m/>
    <m/>
    <d v="2024-04-20T00:00:00"/>
    <d v="2024-07-20T00:00:00"/>
    <n v="3.0333333333333332"/>
    <d v="1901-12-31T00:00:00"/>
    <m/>
    <m/>
    <d v="2024-11-22T00:00:00"/>
    <m/>
    <d v="2024-05-20T00:00:00"/>
    <x v="79"/>
    <x v="6"/>
    <n v="7.2"/>
    <m/>
    <n v="0"/>
    <m/>
    <n v="0"/>
    <n v="0"/>
    <m/>
    <m/>
    <m/>
    <e v="#DIV/0!"/>
    <m/>
    <m/>
    <m/>
    <m/>
    <m/>
    <m/>
    <m/>
    <m/>
    <m/>
    <m/>
    <d v="2025-07-20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AV 120 - 124"/>
    <m/>
    <x v="4"/>
    <x v="0"/>
    <x v="10"/>
    <m/>
    <m/>
    <m/>
    <x v="10"/>
    <m/>
    <s v="AV 120"/>
    <s v="offre faite au vendeur, problème de transcription aux hypothèques : vendeurs pas en mesure de vendre_x000a_o L’EPFR précise qu’il serait intéressant de les solliciter pour percevoir les bonifications SRU ; à ce sujet le plafond a été relevé à 200 K€ par opération depuis janvier 2018_x000a_o La DEAL souhaite de la mixité sur ce projet_x000a_PPA 18/04/18 : vérifier opportunité d'acquisition simultanée de AV 124. vérifier signification&quot;espace non urbanisé hors TU&quot; (couche SIG). Etude FRAFU à envisager. Vérifier zonage NAU (nouveau PLU)_x000a_"/>
    <m/>
    <m/>
    <m/>
    <n v="10113"/>
    <n v="1097000"/>
    <n v="1097000"/>
    <n v="12465.90909090909"/>
    <n v="108.47424107584297"/>
    <n v="108.47424107584297"/>
    <e v="#DIV/0!"/>
    <n v="12465.90909090909"/>
    <n v="114.92045454545455"/>
    <m/>
    <n v="87.016711163848512"/>
    <s v="UB"/>
    <m/>
    <m/>
    <x v="0"/>
    <x v="53"/>
    <n v="88"/>
    <m/>
    <n v="88"/>
    <m/>
    <m/>
    <m/>
    <m/>
    <m/>
    <m/>
    <n v="0"/>
    <m/>
    <m/>
    <m/>
    <m/>
    <m/>
    <m/>
    <m/>
    <m/>
    <m/>
    <m/>
    <m/>
    <m/>
    <m/>
    <d v="2018-04-18T00:00:00"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36"/>
    <n v="39"/>
    <m/>
    <d v="2018-11-20T00:00:00"/>
    <s v="0"/>
    <m/>
    <d v="2018-11-20T00:00:00"/>
    <s v="0"/>
    <m/>
    <d v="2018-11-20T00:00:00"/>
    <s v="0"/>
    <d v="2019-03-12T00:00:00"/>
    <d v="2019-03-12T00:00:00"/>
    <n v="0"/>
    <m/>
    <m/>
    <s v="0"/>
    <m/>
    <d v="2018-11-20T00:00:00"/>
    <s v="0"/>
    <d v="2019-05-28T00:00:00"/>
    <d v="2019-05-28T00:00:00"/>
    <n v="0"/>
    <m/>
    <m/>
    <m/>
    <d v="2024-07-01T00:00:00"/>
    <d v="2024-10-01T00:00:00"/>
    <n v="3.0666666666666669"/>
    <d v="1901-12-31T00:00:00"/>
    <m/>
    <m/>
    <d v="2025-02-03T00:00:00"/>
    <m/>
    <d v="2024-08-01T00:00:00"/>
    <x v="80"/>
    <x v="6"/>
    <n v="7.1333333333333337"/>
    <m/>
    <n v="0"/>
    <m/>
    <n v="0"/>
    <n v="0"/>
    <m/>
    <m/>
    <m/>
    <e v="#DIV/0!"/>
    <m/>
    <m/>
    <m/>
    <m/>
    <m/>
    <m/>
    <m/>
    <m/>
    <m/>
    <m/>
    <d v="2025-10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n v="0"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SAFER"/>
    <m/>
    <x v="6"/>
    <x v="2"/>
    <x v="10"/>
    <s v="PRLC 0201"/>
    <m/>
    <m/>
    <x v="9"/>
    <m/>
    <s v="AH 893 / AH 975"/>
    <s v="regrouper pièces pour lancer consultation MOE - topo en cours_x000a_étudier scénario raccordement EU / ANC_x000a_CPV en cours de rédaction_x000a_manque évaluation domaines TCO_x000a_terrain SAFER défriché / manque terrain TCO à défricher"/>
    <m/>
    <m/>
    <m/>
    <m/>
    <m/>
    <m/>
    <n v="0"/>
    <e v="#DIV/0!"/>
    <e v="#DIV/0!"/>
    <e v="#DIV/0!"/>
    <n v="0"/>
    <n v="0"/>
    <m/>
    <e v="#DIV/0!"/>
    <m/>
    <m/>
    <m/>
    <x v="0"/>
    <x v="47"/>
    <n v="60"/>
    <m/>
    <n v="60"/>
    <m/>
    <m/>
    <m/>
    <m/>
    <m/>
    <m/>
    <n v="0"/>
    <m/>
    <m/>
    <m/>
    <m/>
    <m/>
    <m/>
    <m/>
    <m/>
    <m/>
    <m/>
    <m/>
    <m/>
    <m/>
    <m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37"/>
    <n v="40"/>
    <m/>
    <d v="2018-11-20T00:00:00"/>
    <s v="0"/>
    <m/>
    <d v="2018-11-20T00:00:00"/>
    <s v="0"/>
    <m/>
    <d v="2018-11-20T00:00:00"/>
    <s v="0"/>
    <d v="2019-03-13T00:00:00"/>
    <d v="2019-03-13T00:00:00"/>
    <n v="0"/>
    <m/>
    <m/>
    <s v="0"/>
    <m/>
    <d v="2018-11-20T00:00:00"/>
    <s v="0"/>
    <d v="2019-05-29T00:00:00"/>
    <d v="2019-05-29T00:00:00"/>
    <n v="0"/>
    <m/>
    <m/>
    <m/>
    <d v="2024-08-01T00:00:00"/>
    <d v="2024-11-01T00:00:00"/>
    <n v="3.0666666666666669"/>
    <d v="1901-12-31T00:00:00"/>
    <m/>
    <m/>
    <d v="2025-03-03T00:00:00"/>
    <m/>
    <d v="2024-09-01T00:00:00"/>
    <x v="81"/>
    <x v="6"/>
    <n v="7.1333333333333337"/>
    <m/>
    <n v="0"/>
    <m/>
    <n v="0"/>
    <n v="0"/>
    <m/>
    <m/>
    <m/>
    <e v="#DIV/0!"/>
    <m/>
    <m/>
    <m/>
    <m/>
    <m/>
    <m/>
    <m/>
    <m/>
    <m/>
    <m/>
    <d v="2025-11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n v="0"/>
    <m/>
    <m/>
    <n v="0"/>
    <m/>
    <m/>
    <n v="0"/>
    <n v="0"/>
    <m/>
    <m/>
    <m/>
    <m/>
    <e v="#DIV/0!"/>
    <m/>
    <m/>
    <n v="0"/>
    <n v="0"/>
    <n v="0"/>
    <n v="0"/>
    <n v="6.31"/>
    <m/>
    <m/>
    <m/>
    <n v="0"/>
    <m/>
    <n v="0"/>
    <e v="#DIV/0!"/>
    <m/>
    <m/>
    <n v="0"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JARDINS PARTAGES T1"/>
    <m/>
    <x v="2"/>
    <x v="1"/>
    <x v="10"/>
    <m/>
    <m/>
    <m/>
    <x v="10"/>
    <m/>
    <s v="EN 563"/>
    <m/>
    <m/>
    <m/>
    <m/>
    <n v="33407"/>
    <m/>
    <m/>
    <n v="0"/>
    <n v="0"/>
    <n v="0"/>
    <m/>
    <n v="0"/>
    <n v="189.8125"/>
    <m/>
    <n v="52.683569311820875"/>
    <m/>
    <m/>
    <m/>
    <x v="0"/>
    <x v="54"/>
    <n v="176"/>
    <n v="30"/>
    <n v="14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1-07-01T00:00:00"/>
    <x v="60"/>
    <x v="8"/>
    <n v="1479.2666666666667"/>
    <n v="0"/>
    <n v="38"/>
    <n v="41"/>
    <m/>
    <d v="2018-11-20T00:00:00"/>
    <s v="0"/>
    <m/>
    <d v="2018-11-20T00:00:00"/>
    <s v="0"/>
    <m/>
    <d v="2018-11-20T00:00:00"/>
    <s v="0"/>
    <d v="2019-03-14T00:00:00"/>
    <d v="2019-03-14T00:00:00"/>
    <n v="0"/>
    <m/>
    <m/>
    <s v="0"/>
    <m/>
    <d v="2018-11-20T00:00:00"/>
    <s v="0"/>
    <d v="2019-05-30T00:00:00"/>
    <d v="2019-05-30T00:00:00"/>
    <n v="0"/>
    <m/>
    <m/>
    <m/>
    <d v="2024-09-01T00:00:00"/>
    <d v="2024-12-01T00:00:00"/>
    <n v="3.0333333333333332"/>
    <d v="1901-12-31T00:00:00"/>
    <m/>
    <m/>
    <d v="2025-04-03T00:00:00"/>
    <m/>
    <d v="2024-10-01T00:00:00"/>
    <x v="82"/>
    <x v="6"/>
    <n v="7.1333333333333337"/>
    <m/>
    <n v="0"/>
    <m/>
    <m/>
    <m/>
    <m/>
    <m/>
    <m/>
    <e v="#DIV/0!"/>
    <m/>
    <m/>
    <m/>
    <m/>
    <m/>
    <m/>
    <m/>
    <m/>
    <m/>
    <m/>
    <d v="2025-12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BENJAMIN HOAREAU"/>
    <m/>
    <x v="2"/>
    <x v="1"/>
    <x v="11"/>
    <m/>
    <m/>
    <m/>
    <x v="10"/>
    <m/>
    <s v="BX 1057,1055,1053,950"/>
    <s v="Terrain Defaud. Attente étude communale passage d'une voie de 9m en ER. _x000a_09/05/18 : discussions en cours avec SPRINR sur optimisation PPR. Commerces prévus en RDC_x000a_Offre refusée par propriétaire_x000a_pas de retour Mairie sur définitiion emprise ER"/>
    <m/>
    <m/>
    <m/>
    <n v="3115"/>
    <m/>
    <m/>
    <n v="0"/>
    <n v="0"/>
    <n v="0"/>
    <e v="#DIV/0!"/>
    <n v="0"/>
    <n v="77.875"/>
    <m/>
    <n v="128.41091492776886"/>
    <s v="UB"/>
    <n v="490"/>
    <n v="0.1"/>
    <x v="0"/>
    <x v="11"/>
    <n v="40"/>
    <m/>
    <n v="40"/>
    <m/>
    <m/>
    <m/>
    <m/>
    <m/>
    <m/>
    <n v="0"/>
    <m/>
    <m/>
    <m/>
    <m/>
    <m/>
    <m/>
    <m/>
    <m/>
    <m/>
    <m/>
    <m/>
    <m/>
    <m/>
    <d v="2018-05-09T00:00:00"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2-07-01T00:00:00"/>
    <x v="62"/>
    <x v="8"/>
    <n v="1491.4333333333334"/>
    <n v="0"/>
    <n v="39"/>
    <n v="42"/>
    <m/>
    <d v="2018-11-20T00:00:00"/>
    <s v="0"/>
    <m/>
    <d v="2018-11-20T00:00:00"/>
    <s v="0"/>
    <m/>
    <d v="2018-11-20T00:00:00"/>
    <s v="0"/>
    <d v="2019-03-15T00:00:00"/>
    <d v="2019-03-15T00:00:00"/>
    <n v="0"/>
    <m/>
    <m/>
    <s v="0"/>
    <m/>
    <d v="2018-11-20T00:00:00"/>
    <s v="0"/>
    <d v="2019-05-31T00:00:00"/>
    <d v="2019-05-31T00:00:00"/>
    <n v="0"/>
    <m/>
    <m/>
    <m/>
    <d v="2025-10-01T00:00:00"/>
    <d v="2026-01-01T00:00:00"/>
    <n v="3.0666666666666669"/>
    <d v="1901-12-31T00:00:00"/>
    <m/>
    <m/>
    <d v="2026-05-03T00:00:00"/>
    <m/>
    <d v="2025-11-01T00:00:00"/>
    <x v="83"/>
    <x v="6"/>
    <n v="7.1333333333333337"/>
    <m/>
    <n v="0"/>
    <m/>
    <m/>
    <n v="0"/>
    <m/>
    <m/>
    <m/>
    <e v="#DIV/0!"/>
    <m/>
    <m/>
    <m/>
    <m/>
    <m/>
    <m/>
    <m/>
    <m/>
    <m/>
    <m/>
    <d v="2027-01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n v="0"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JARDINS PARTAGES T2"/>
    <m/>
    <x v="2"/>
    <x v="1"/>
    <x v="11"/>
    <m/>
    <m/>
    <m/>
    <x v="10"/>
    <m/>
    <s v="EN 563"/>
    <m/>
    <m/>
    <m/>
    <m/>
    <n v="33407"/>
    <m/>
    <m/>
    <n v="0"/>
    <n v="0"/>
    <n v="0"/>
    <m/>
    <n v="0"/>
    <n v="249.30597014925374"/>
    <m/>
    <n v="40.111353907863624"/>
    <m/>
    <m/>
    <m/>
    <x v="0"/>
    <x v="55"/>
    <n v="134"/>
    <n v="134"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2-07-01T00:00:00"/>
    <x v="62"/>
    <x v="8"/>
    <n v="1491.4333333333334"/>
    <n v="0"/>
    <n v="40"/>
    <n v="43"/>
    <m/>
    <d v="2018-11-20T00:00:00"/>
    <s v="0"/>
    <m/>
    <d v="2018-11-20T00:00:00"/>
    <s v="0"/>
    <m/>
    <d v="2018-11-20T00:00:00"/>
    <s v="0"/>
    <d v="2019-03-16T00:00:00"/>
    <d v="2019-03-16T00:00:00"/>
    <n v="0"/>
    <m/>
    <m/>
    <s v="0"/>
    <m/>
    <d v="2018-11-20T00:00:00"/>
    <s v="0"/>
    <d v="2019-06-01T00:00:00"/>
    <d v="2019-06-01T00:00:00"/>
    <n v="0"/>
    <m/>
    <m/>
    <m/>
    <d v="2025-11-01T00:00:00"/>
    <d v="2026-02-01T00:00:00"/>
    <n v="3.0666666666666669"/>
    <d v="1901-12-31T00:00:00"/>
    <m/>
    <m/>
    <d v="2026-06-03T00:00:00"/>
    <m/>
    <d v="2025-12-01T00:00:00"/>
    <x v="84"/>
    <x v="6"/>
    <n v="7.1333333333333337"/>
    <m/>
    <n v="0"/>
    <m/>
    <m/>
    <m/>
    <m/>
    <m/>
    <m/>
    <e v="#DIV/0!"/>
    <m/>
    <m/>
    <m/>
    <m/>
    <m/>
    <m/>
    <m/>
    <m/>
    <m/>
    <m/>
    <d v="2027-02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CAP SUD (ex BOYER LANGEVIN)"/>
    <m/>
    <x v="7"/>
    <x v="1"/>
    <x v="11"/>
    <m/>
    <m/>
    <m/>
    <x v="11"/>
    <m/>
    <s v="BY 674,867,868,872,869,870,877"/>
    <s v="FRAFU OK pour études complémentaires. Courrier Mairie sur urbanisation secteur ou pas avant poursuite_x000a_03/05/18 : Etude FRAFU à lancer au plus tôt parce que CPV toujours en attente d'accord des vendeurs (1 an de discussion) - désaccord entre vendeurs"/>
    <s v="BOYER"/>
    <m/>
    <m/>
    <n v="42374"/>
    <n v="1330000"/>
    <m/>
    <n v="11083.333333333334"/>
    <n v="31.387171378675603"/>
    <n v="0"/>
    <e v="#DIV/0!"/>
    <n v="0"/>
    <n v="353.11666666666667"/>
    <m/>
    <n v="28.319252371737385"/>
    <s v="Modif PLU"/>
    <m/>
    <m/>
    <x v="0"/>
    <x v="56"/>
    <n v="120"/>
    <m/>
    <n v="12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2-07-01T00:00:00"/>
    <x v="62"/>
    <x v="8"/>
    <n v="1491.4333333333334"/>
    <n v="0"/>
    <n v="41"/>
    <n v="44"/>
    <m/>
    <d v="2018-11-20T00:00:00"/>
    <s v="0"/>
    <m/>
    <d v="2018-11-20T00:00:00"/>
    <s v="0"/>
    <m/>
    <d v="2018-11-20T00:00:00"/>
    <s v="0"/>
    <d v="2019-03-17T00:00:00"/>
    <d v="2019-03-17T00:00:00"/>
    <n v="0"/>
    <m/>
    <m/>
    <s v="0"/>
    <m/>
    <d v="2018-11-20T00:00:00"/>
    <s v="0"/>
    <d v="2019-06-02T00:00:00"/>
    <d v="2019-06-02T00:00:00"/>
    <n v="0"/>
    <m/>
    <m/>
    <m/>
    <d v="2025-12-01T00:00:00"/>
    <d v="2026-03-01T00:00:00"/>
    <n v="3"/>
    <d v="1901-12-31T00:00:00"/>
    <m/>
    <m/>
    <d v="2026-07-03T00:00:00"/>
    <m/>
    <d v="2026-01-01T00:00:00"/>
    <x v="85"/>
    <x v="6"/>
    <n v="7.1333333333333337"/>
    <m/>
    <n v="0"/>
    <m/>
    <m/>
    <m/>
    <m/>
    <m/>
    <m/>
    <e v="#DIV/0!"/>
    <m/>
    <m/>
    <m/>
    <m/>
    <m/>
    <m/>
    <m/>
    <m/>
    <m/>
    <m/>
    <d v="2027-03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BX 420"/>
    <m/>
    <x v="2"/>
    <x v="1"/>
    <x v="12"/>
    <m/>
    <m/>
    <m/>
    <x v="12"/>
    <m/>
    <s v="BX 420"/>
    <s v="Propriétaire à relancer sur opportunité de vente_x000a_Mairie veut du PLS - Position Etat à définir_x000a_Etude à lancer sur programme qui passe de 35 à 60 lgts_x000a_Reflexion SODEGIS élargie aux parcelles voisines_x000a_Terrain toujours disponible ? Attention terrain cher"/>
    <m/>
    <m/>
    <m/>
    <n v="2165"/>
    <n v="866000"/>
    <m/>
    <n v="14433.333333333334"/>
    <n v="400"/>
    <n v="0"/>
    <e v="#DIV/0!"/>
    <n v="0"/>
    <n v="36.083333333333336"/>
    <m/>
    <n v="277.13625866050808"/>
    <s v="UB"/>
    <n v="500"/>
    <n v="0.1"/>
    <x v="1"/>
    <x v="47"/>
    <n v="60"/>
    <n v="30"/>
    <m/>
    <n v="30"/>
    <m/>
    <m/>
    <m/>
    <m/>
    <m/>
    <n v="0"/>
    <m/>
    <m/>
    <m/>
    <m/>
    <m/>
    <m/>
    <m/>
    <m/>
    <m/>
    <m/>
    <m/>
    <m/>
    <m/>
    <d v="2018-05-09T00:00:00"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3-07-01T00:00:00"/>
    <x v="63"/>
    <x v="8"/>
    <n v="1503.6"/>
    <n v="0"/>
    <n v="42"/>
    <n v="45"/>
    <m/>
    <d v="2018-11-20T00:00:00"/>
    <s v="0"/>
    <m/>
    <d v="2018-11-20T00:00:00"/>
    <s v="0"/>
    <m/>
    <d v="2018-11-20T00:00:00"/>
    <s v="0"/>
    <d v="2019-03-18T00:00:00"/>
    <d v="2019-03-18T00:00:00"/>
    <n v="0"/>
    <m/>
    <m/>
    <s v="0"/>
    <m/>
    <d v="2018-11-20T00:00:00"/>
    <s v="0"/>
    <d v="2019-06-03T00:00:00"/>
    <d v="2019-06-03T00:00:00"/>
    <n v="0"/>
    <m/>
    <m/>
    <m/>
    <d v="2027-01-01T00:00:00"/>
    <d v="2027-04-01T00:00:00"/>
    <n v="3"/>
    <d v="1901-12-31T00:00:00"/>
    <m/>
    <m/>
    <d v="2027-08-03T00:00:00"/>
    <m/>
    <d v="2027-02-01T00:00:00"/>
    <x v="86"/>
    <x v="6"/>
    <n v="7.1333333333333337"/>
    <m/>
    <n v="0"/>
    <m/>
    <m/>
    <n v="0"/>
    <m/>
    <m/>
    <m/>
    <e v="#DIV/0!"/>
    <m/>
    <m/>
    <m/>
    <m/>
    <m/>
    <m/>
    <m/>
    <m/>
    <m/>
    <m/>
    <d v="2028-04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n v="0"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DESIRE 3"/>
    <m/>
    <x v="0"/>
    <x v="0"/>
    <x v="12"/>
    <m/>
    <m/>
    <m/>
    <x v="10"/>
    <m/>
    <s v="AK 661 - 770"/>
    <s v="terrain en indivision bloqué (39 coindivisaires)_x000a_opération déséquilibrée financièrement"/>
    <s v="Mairie / privé"/>
    <m/>
    <m/>
    <n v="3252"/>
    <n v="567840"/>
    <n v="567840"/>
    <n v="37856"/>
    <n v="174.61254612546125"/>
    <n v="174.61254612546125"/>
    <e v="#DIV/0!"/>
    <n v="37856"/>
    <n v="216.8"/>
    <m/>
    <n v="46.125461254612546"/>
    <m/>
    <m/>
    <m/>
    <x v="0"/>
    <x v="23"/>
    <n v="15"/>
    <m/>
    <n v="1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3-07-01T00:00:00"/>
    <x v="63"/>
    <x v="8"/>
    <n v="1503.6"/>
    <n v="0"/>
    <n v="43"/>
    <n v="46"/>
    <m/>
    <d v="2018-11-20T00:00:00"/>
    <s v="0"/>
    <m/>
    <d v="2018-11-20T00:00:00"/>
    <s v="0"/>
    <m/>
    <d v="2018-11-20T00:00:00"/>
    <s v="0"/>
    <d v="2019-03-19T00:00:00"/>
    <d v="2019-03-19T00:00:00"/>
    <n v="0"/>
    <m/>
    <m/>
    <s v="0"/>
    <m/>
    <d v="2018-11-20T00:00:00"/>
    <s v="0"/>
    <d v="2019-06-04T00:00:00"/>
    <d v="2019-06-04T00:00:00"/>
    <n v="0"/>
    <m/>
    <m/>
    <m/>
    <d v="2027-02-01T00:00:00"/>
    <d v="2027-05-01T00:00:00"/>
    <n v="2.9666666666666668"/>
    <d v="1901-12-31T00:00:00"/>
    <m/>
    <m/>
    <d v="2027-09-03T00:00:00"/>
    <m/>
    <d v="2027-03-01T00:00:00"/>
    <x v="87"/>
    <x v="6"/>
    <n v="7.2"/>
    <m/>
    <n v="0"/>
    <m/>
    <m/>
    <m/>
    <m/>
    <m/>
    <m/>
    <e v="#DIV/0!"/>
    <m/>
    <m/>
    <m/>
    <m/>
    <m/>
    <m/>
    <m/>
    <m/>
    <m/>
    <m/>
    <d v="2028-05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RPA médicalisée - AURAR"/>
    <m/>
    <x v="7"/>
    <x v="1"/>
    <x v="12"/>
    <m/>
    <m/>
    <m/>
    <x v="12"/>
    <m/>
    <s v="BM 1251 p"/>
    <s v="Mairie veut accoler un projet de centre de dialyse - Mairie prend contact avec AURAR"/>
    <s v="Commune"/>
    <m/>
    <m/>
    <n v="3000"/>
    <m/>
    <m/>
    <n v="0"/>
    <n v="0"/>
    <n v="0"/>
    <e v="#DIV/0!"/>
    <n v="0"/>
    <n v="60"/>
    <m/>
    <n v="166.66666666666666"/>
    <s v="Modif PLU"/>
    <m/>
    <m/>
    <x v="0"/>
    <x v="29"/>
    <n v="50"/>
    <m/>
    <n v="5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3-07-01T00:00:00"/>
    <x v="63"/>
    <x v="8"/>
    <n v="1503.6"/>
    <n v="0"/>
    <n v="44"/>
    <n v="47"/>
    <m/>
    <d v="2018-11-20T00:00:00"/>
    <s v="0"/>
    <m/>
    <d v="2018-11-20T00:00:00"/>
    <s v="0"/>
    <m/>
    <d v="2018-11-20T00:00:00"/>
    <s v="0"/>
    <d v="2019-03-20T00:00:00"/>
    <d v="2019-03-20T00:00:00"/>
    <n v="0"/>
    <m/>
    <m/>
    <s v="0"/>
    <m/>
    <d v="2018-11-20T00:00:00"/>
    <s v="0"/>
    <d v="2019-06-05T00:00:00"/>
    <d v="2019-06-05T00:00:00"/>
    <n v="0"/>
    <m/>
    <m/>
    <m/>
    <d v="2027-03-01T00:00:00"/>
    <d v="2027-06-01T00:00:00"/>
    <n v="3.0666666666666669"/>
    <d v="1901-12-31T00:00:00"/>
    <m/>
    <m/>
    <d v="2027-10-03T00:00:00"/>
    <m/>
    <d v="2027-04-01T00:00:00"/>
    <x v="88"/>
    <x v="6"/>
    <n v="7.2"/>
    <m/>
    <n v="0"/>
    <m/>
    <m/>
    <m/>
    <m/>
    <m/>
    <m/>
    <e v="#DIV/0!"/>
    <m/>
    <m/>
    <m/>
    <m/>
    <m/>
    <m/>
    <m/>
    <m/>
    <m/>
    <m/>
    <d v="2028-06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Trèfles"/>
    <m/>
    <x v="7"/>
    <x v="1"/>
    <x v="12"/>
    <m/>
    <m/>
    <m/>
    <x v="13"/>
    <m/>
    <s v="BV 024,213 AO 716,726"/>
    <s v="Ex projet PTZ de B Bois – En attente octroi prêt pour la dernière famille- pas d’avancée - simulations financières font état d'un déséquilibre financier du au prix du foncier - Ville informée"/>
    <m/>
    <m/>
    <m/>
    <n v="7800"/>
    <n v="330000"/>
    <n v="330000"/>
    <n v="12692.307692307691"/>
    <n v="42.307692307692307"/>
    <n v="42.307692307692307"/>
    <e v="#DIV/0!"/>
    <n v="12692.307692307691"/>
    <n v="300"/>
    <m/>
    <n v="33.333333333333336"/>
    <m/>
    <m/>
    <m/>
    <x v="0"/>
    <x v="42"/>
    <n v="26"/>
    <m/>
    <n v="2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3-07-01T00:00:00"/>
    <x v="63"/>
    <x v="8"/>
    <n v="1503.6"/>
    <n v="0"/>
    <n v="45"/>
    <n v="48"/>
    <m/>
    <d v="2018-11-20T00:00:00"/>
    <s v="0"/>
    <m/>
    <d v="2018-11-20T00:00:00"/>
    <s v="0"/>
    <m/>
    <d v="2018-11-20T00:00:00"/>
    <s v="0"/>
    <d v="2019-03-21T00:00:00"/>
    <d v="2019-03-21T00:00:00"/>
    <n v="0"/>
    <m/>
    <m/>
    <s v="0"/>
    <m/>
    <d v="2018-11-20T00:00:00"/>
    <s v="0"/>
    <d v="2019-06-06T00:00:00"/>
    <d v="2019-06-06T00:00:00"/>
    <n v="0"/>
    <m/>
    <m/>
    <m/>
    <d v="2027-04-01T00:00:00"/>
    <d v="2027-07-01T00:00:00"/>
    <n v="3.0333333333333332"/>
    <d v="1901-12-31T00:00:00"/>
    <m/>
    <m/>
    <d v="2027-11-03T00:00:00"/>
    <m/>
    <d v="2027-05-01T00:00:00"/>
    <x v="89"/>
    <x v="6"/>
    <n v="7.2"/>
    <m/>
    <n v="0"/>
    <m/>
    <m/>
    <m/>
    <m/>
    <m/>
    <m/>
    <e v="#DIV/0!"/>
    <m/>
    <m/>
    <m/>
    <m/>
    <m/>
    <m/>
    <m/>
    <m/>
    <m/>
    <m/>
    <d v="2028-07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JARDINS PARTAGES T3"/>
    <m/>
    <x v="2"/>
    <x v="1"/>
    <x v="12"/>
    <m/>
    <m/>
    <m/>
    <x v="10"/>
    <m/>
    <s v="EN 563"/>
    <m/>
    <m/>
    <m/>
    <m/>
    <n v="33407"/>
    <m/>
    <m/>
    <n v="0"/>
    <n v="0"/>
    <n v="0"/>
    <m/>
    <n v="0"/>
    <n v="290.49565217391302"/>
    <m/>
    <n v="34.423923129882958"/>
    <m/>
    <m/>
    <m/>
    <x v="0"/>
    <x v="57"/>
    <n v="115"/>
    <m/>
    <m/>
    <n v="115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m/>
    <m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3-07-01T00:00:00"/>
    <x v="63"/>
    <x v="8"/>
    <n v="1503.6"/>
    <n v="0"/>
    <n v="46"/>
    <n v="49"/>
    <m/>
    <d v="2018-11-20T00:00:00"/>
    <s v="0"/>
    <m/>
    <d v="2018-11-20T00:00:00"/>
    <s v="0"/>
    <m/>
    <d v="2018-11-20T00:00:00"/>
    <s v="0"/>
    <d v="2019-03-22T00:00:00"/>
    <d v="2019-03-22T00:00:00"/>
    <n v="0"/>
    <m/>
    <m/>
    <s v="0"/>
    <m/>
    <d v="2018-11-20T00:00:00"/>
    <s v="0"/>
    <d v="2019-06-07T00:00:00"/>
    <d v="2019-06-07T00:00:00"/>
    <n v="0"/>
    <m/>
    <m/>
    <m/>
    <d v="2027-05-01T00:00:00"/>
    <d v="2027-08-01T00:00:00"/>
    <n v="3.0666666666666669"/>
    <d v="1901-12-31T00:00:00"/>
    <m/>
    <m/>
    <d v="2027-12-03T00:00:00"/>
    <m/>
    <d v="2027-06-01T00:00:00"/>
    <x v="90"/>
    <x v="6"/>
    <n v="7.2"/>
    <m/>
    <n v="0"/>
    <m/>
    <m/>
    <m/>
    <m/>
    <m/>
    <m/>
    <e v="#DIV/0!"/>
    <m/>
    <m/>
    <m/>
    <m/>
    <m/>
    <m/>
    <m/>
    <m/>
    <m/>
    <m/>
    <d v="2028-08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CŒUR DE VILLE"/>
    <m/>
    <x v="2"/>
    <x v="1"/>
    <x v="12"/>
    <m/>
    <m/>
    <m/>
    <x v="13"/>
    <m/>
    <s v="BY 100, BY 455, BY 454, BY 657, BY 659  "/>
    <s v="Projet à mettre en attente approbation du PLU, prévu début 2017 : la commune mène une réflexion globale sur ce secteur._x000a_Aux dernières nouvelles, abandonné par Mairie"/>
    <m/>
    <m/>
    <m/>
    <n v="5300"/>
    <n v="533400"/>
    <m/>
    <n v="7620"/>
    <n v="100.64150943396227"/>
    <n v="0"/>
    <e v="#DIV/0!"/>
    <n v="0"/>
    <n v="75.714285714285708"/>
    <m/>
    <n v="132.0754716981132"/>
    <s v="UB"/>
    <n v="560"/>
    <n v="0.1"/>
    <x v="0"/>
    <x v="58"/>
    <n v="70"/>
    <m/>
    <n v="70"/>
    <m/>
    <m/>
    <m/>
    <m/>
    <m/>
    <m/>
    <n v="0"/>
    <m/>
    <m/>
    <m/>
    <m/>
    <m/>
    <m/>
    <s v="SO"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3-07-01T00:00:00"/>
    <x v="63"/>
    <x v="8"/>
    <n v="1503.6"/>
    <n v="0"/>
    <n v="47"/>
    <n v="50"/>
    <m/>
    <d v="2018-11-20T00:00:00"/>
    <s v="0"/>
    <m/>
    <d v="2018-11-20T00:00:00"/>
    <s v="0"/>
    <m/>
    <d v="2018-11-20T00:00:00"/>
    <s v="0"/>
    <d v="2019-03-23T00:00:00"/>
    <d v="2019-03-23T00:00:00"/>
    <n v="0"/>
    <m/>
    <m/>
    <s v="0"/>
    <m/>
    <d v="2018-11-20T00:00:00"/>
    <s v="0"/>
    <d v="2019-06-08T00:00:00"/>
    <d v="2019-06-08T00:00:00"/>
    <n v="0"/>
    <m/>
    <m/>
    <m/>
    <d v="2027-06-01T00:00:00"/>
    <d v="2027-09-01T00:00:00"/>
    <n v="3.0666666666666669"/>
    <d v="1901-12-31T00:00:00"/>
    <m/>
    <m/>
    <d v="2028-01-03T00:00:00"/>
    <m/>
    <d v="2027-07-01T00:00:00"/>
    <x v="91"/>
    <x v="6"/>
    <n v="7.2333333333333334"/>
    <m/>
    <n v="0"/>
    <m/>
    <m/>
    <m/>
    <m/>
    <m/>
    <m/>
    <e v="#DIV/0!"/>
    <m/>
    <m/>
    <m/>
    <m/>
    <m/>
    <m/>
    <m/>
    <m/>
    <m/>
    <m/>
    <d v="2028-09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ETUDE URBAINE DU 23e KM - CHATAIGNERS"/>
    <m/>
    <x v="2"/>
    <x v="1"/>
    <x v="12"/>
    <m/>
    <m/>
    <m/>
    <x v="13"/>
    <m/>
    <s v="DE 22,407,408,265"/>
    <s v="3 ha de terrain constructible- Etude Phase 1 présentée à DEAL_x000a_09/05/18 : Etude FRAFU relancée (signée par nouveau DG). A présenter + définition du programme à préciser (mixité sociale et fonctionnelle à prévoir)_x000a_Relevé topo initial envoyé à la Ville - pas de retour"/>
    <s v="Mairie"/>
    <m/>
    <m/>
    <n v="45094"/>
    <n v="2460000"/>
    <m/>
    <n v="27333.333333333332"/>
    <n v="54.552712112476158"/>
    <n v="0"/>
    <e v="#DIV/0!"/>
    <n v="0"/>
    <n v="501.04444444444442"/>
    <m/>
    <n v="19.958309309442498"/>
    <s v="Modif PLU"/>
    <n v="1300"/>
    <n v="0.1"/>
    <x v="0"/>
    <x v="59"/>
    <n v="90"/>
    <m/>
    <n v="9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3-07-01T00:00:00"/>
    <x v="63"/>
    <x v="8"/>
    <n v="1503.6"/>
    <n v="0"/>
    <n v="48"/>
    <n v="51"/>
    <m/>
    <d v="2018-11-20T00:00:00"/>
    <s v="0"/>
    <m/>
    <d v="2018-11-20T00:00:00"/>
    <s v="0"/>
    <m/>
    <d v="2018-11-20T00:00:00"/>
    <s v="0"/>
    <d v="2019-03-24T00:00:00"/>
    <d v="2019-03-24T00:00:00"/>
    <n v="0"/>
    <m/>
    <m/>
    <s v="0"/>
    <m/>
    <d v="2018-11-20T00:00:00"/>
    <s v="0"/>
    <d v="2019-06-09T00:00:00"/>
    <d v="2019-06-09T00:00:00"/>
    <n v="0"/>
    <m/>
    <m/>
    <m/>
    <d v="2027-07-01T00:00:00"/>
    <d v="2027-10-01T00:00:00"/>
    <n v="3.0666666666666669"/>
    <d v="1901-12-31T00:00:00"/>
    <m/>
    <m/>
    <d v="2028-02-03T00:00:00"/>
    <m/>
    <d v="2027-08-01T00:00:00"/>
    <x v="92"/>
    <x v="6"/>
    <n v="7.166666666666667"/>
    <m/>
    <n v="0"/>
    <m/>
    <m/>
    <m/>
    <m/>
    <m/>
    <m/>
    <e v="#DIV/0!"/>
    <m/>
    <m/>
    <m/>
    <m/>
    <m/>
    <m/>
    <m/>
    <m/>
    <m/>
    <m/>
    <d v="2028-10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CTAVIE LLS"/>
    <m/>
    <x v="2"/>
    <x v="1"/>
    <x v="13"/>
    <m/>
    <m/>
    <m/>
    <x v="9"/>
    <m/>
    <s v="CH 162"/>
    <s v="SODEGIS plus engagée avec le vendeur - CPV tombé en juin 2018"/>
    <s v="SITA"/>
    <m/>
    <m/>
    <n v="5498"/>
    <n v="924932"/>
    <m/>
    <n v="22022.190476190477"/>
    <n v="168.23062931975264"/>
    <n v="0"/>
    <e v="#DIV/0!"/>
    <n v="0"/>
    <n v="130.9047619047619"/>
    <m/>
    <n v="76.391415060021828"/>
    <s v="UB"/>
    <n v="580"/>
    <n v="0.1"/>
    <x v="1"/>
    <x v="60"/>
    <n v="42"/>
    <n v="42"/>
    <m/>
    <m/>
    <m/>
    <m/>
    <m/>
    <m/>
    <m/>
    <n v="0"/>
    <m/>
    <m/>
    <m/>
    <m/>
    <m/>
    <m/>
    <s v="SO"/>
    <m/>
    <m/>
    <s v="collectif"/>
    <s v="oui"/>
    <m/>
    <m/>
    <m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49"/>
    <n v="52"/>
    <m/>
    <d v="2018-11-20T00:00:00"/>
    <s v="0"/>
    <m/>
    <d v="2018-11-20T00:00:00"/>
    <s v="0"/>
    <m/>
    <d v="2018-11-20T00:00:00"/>
    <s v="0"/>
    <d v="2019-03-25T00:00:00"/>
    <d v="2019-03-25T00:00:00"/>
    <n v="0"/>
    <m/>
    <m/>
    <s v="0"/>
    <m/>
    <d v="2018-11-20T00:00:00"/>
    <s v="0"/>
    <d v="2019-06-10T00:00:00"/>
    <d v="2019-06-10T00:00:00"/>
    <n v="0"/>
    <m/>
    <m/>
    <m/>
    <d v="1904-01-31T00:00:00"/>
    <d v="1904-05-01T00:00:00"/>
    <n v="3.0333333333333332"/>
    <d v="1901-12-31T00:00:00"/>
    <m/>
    <m/>
    <d v="1904-09-03T00:00:00"/>
    <m/>
    <d v="1904-03-02T00:00:00"/>
    <x v="93"/>
    <x v="6"/>
    <n v="7.166666666666667"/>
    <m/>
    <n v="0"/>
    <m/>
    <m/>
    <n v="0"/>
    <m/>
    <m/>
    <m/>
    <e v="#DIV/0!"/>
    <m/>
    <m/>
    <m/>
    <m/>
    <m/>
    <m/>
    <m/>
    <m/>
    <m/>
    <m/>
    <d v="1905-05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n v="0"/>
    <m/>
    <m/>
    <n v="0"/>
    <m/>
    <m/>
    <n v="0"/>
    <n v="0"/>
    <m/>
    <m/>
    <m/>
    <m/>
    <e v="#DIV/0!"/>
    <m/>
    <m/>
    <n v="0"/>
    <n v="0"/>
    <n v="0"/>
    <n v="0"/>
    <n v="6.31"/>
    <m/>
    <m/>
    <m/>
    <n v="0"/>
    <m/>
    <n v="0"/>
    <e v="#DIV/0!"/>
    <m/>
    <m/>
    <n v="0"/>
    <n v="0"/>
    <m/>
    <m/>
    <m/>
    <m/>
    <m/>
    <n v="417427"/>
    <n v="41743"/>
    <d v="2017-10-18T00:00:00"/>
    <n v="417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CTAVIE LLTS"/>
    <m/>
    <x v="2"/>
    <x v="1"/>
    <x v="13"/>
    <m/>
    <m/>
    <m/>
    <x v="9"/>
    <m/>
    <s v="CH 162"/>
    <s v="SODEGIS plus engagée avec le vendeur - CPV tombé en juin 2018"/>
    <s v="SITA"/>
    <m/>
    <m/>
    <n v="5498"/>
    <n v="1219167"/>
    <m/>
    <n v="23003.150943396227"/>
    <n v="221.74736267733721"/>
    <n v="0"/>
    <e v="#DIV/0!"/>
    <n v="0"/>
    <n v="103.73584905660377"/>
    <m/>
    <n v="96.398690432884692"/>
    <s v="UB"/>
    <n v="580"/>
    <n v="0.1"/>
    <x v="0"/>
    <x v="61"/>
    <n v="53"/>
    <m/>
    <n v="53"/>
    <m/>
    <m/>
    <m/>
    <m/>
    <m/>
    <m/>
    <n v="0"/>
    <m/>
    <m/>
    <m/>
    <m/>
    <m/>
    <m/>
    <s v="SO"/>
    <m/>
    <m/>
    <s v="collectif"/>
    <s v="oui"/>
    <m/>
    <m/>
    <m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50"/>
    <n v="52"/>
    <m/>
    <d v="2018-11-20T00:00:00"/>
    <s v="0"/>
    <m/>
    <d v="2018-11-20T00:00:00"/>
    <s v="0"/>
    <m/>
    <d v="2018-11-20T00:00:00"/>
    <s v="0"/>
    <d v="2019-03-26T00:00:00"/>
    <d v="2019-03-26T00:00:00"/>
    <n v="0"/>
    <m/>
    <m/>
    <s v="0"/>
    <m/>
    <d v="2018-11-20T00:00:00"/>
    <s v="0"/>
    <d v="2019-06-11T00:00:00"/>
    <d v="2019-06-11T00:00:00"/>
    <n v="0"/>
    <m/>
    <m/>
    <m/>
    <d v="1904-02-29T00:00:00"/>
    <d v="1904-05-29T00:00:00"/>
    <n v="3"/>
    <d v="1901-12-31T00:00:00"/>
    <m/>
    <m/>
    <d v="1904-10-01T00:00:00"/>
    <m/>
    <d v="1904-03-29T00:00:00"/>
    <x v="94"/>
    <x v="6"/>
    <n v="7.2333333333333334"/>
    <m/>
    <n v="0"/>
    <m/>
    <m/>
    <n v="0"/>
    <m/>
    <m/>
    <m/>
    <e v="#DIV/0!"/>
    <m/>
    <m/>
    <m/>
    <m/>
    <m/>
    <m/>
    <m/>
    <m/>
    <m/>
    <m/>
    <d v="1905-05-29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n v="0"/>
    <m/>
    <m/>
    <n v="0"/>
    <m/>
    <m/>
    <n v="0"/>
    <n v="0"/>
    <m/>
    <m/>
    <m/>
    <m/>
    <e v="#DIV/0!"/>
    <m/>
    <m/>
    <n v="0"/>
    <n v="0"/>
    <n v="0"/>
    <n v="0"/>
    <n v="6.31"/>
    <m/>
    <m/>
    <m/>
    <n v="0"/>
    <m/>
    <n v="0"/>
    <e v="#DIV/0!"/>
    <m/>
    <m/>
    <n v="0"/>
    <n v="0"/>
    <m/>
    <m/>
    <m/>
    <m/>
    <m/>
    <n v="325108"/>
    <n v="32511"/>
    <d v="2017-10-18T00:00:00"/>
    <n v="325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Emplacement réservé Chemin des Myrtilles"/>
    <m/>
    <x v="7"/>
    <x v="1"/>
    <x v="14"/>
    <m/>
    <m/>
    <m/>
    <x v="13"/>
    <m/>
    <s v="CP 280,299,300"/>
    <s v="ER supprimé par Mairie au PLU / en attente d'évolution au PLU. Mairie doit confirmer opportunité de l'opération"/>
    <m/>
    <m/>
    <m/>
    <n v="5800"/>
    <m/>
    <m/>
    <n v="0"/>
    <n v="0"/>
    <n v="0"/>
    <e v="#DIV/0!"/>
    <n v="0"/>
    <n v="580"/>
    <m/>
    <n v="17.241379310344829"/>
    <s v="2AU au futur PLU"/>
    <m/>
    <m/>
    <x v="0"/>
    <x v="14"/>
    <n v="10"/>
    <m/>
    <n v="1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51"/>
    <n v="54"/>
    <m/>
    <d v="2018-11-20T00:00:00"/>
    <s v="0"/>
    <m/>
    <d v="2018-11-20T00:00:00"/>
    <s v="0"/>
    <m/>
    <d v="2018-11-20T00:00:00"/>
    <s v="0"/>
    <d v="2019-03-27T00:00:00"/>
    <d v="2019-03-27T00:00:00"/>
    <n v="0"/>
    <m/>
    <m/>
    <s v="0"/>
    <m/>
    <d v="2018-11-20T00:00:00"/>
    <s v="0"/>
    <d v="2019-06-12T00:00:00"/>
    <d v="2019-06-12T00:00:00"/>
    <n v="0"/>
    <m/>
    <m/>
    <m/>
    <d v="1904-03-31T00:00:00"/>
    <d v="1904-07-01T00:00:00"/>
    <n v="3.0666666666666669"/>
    <d v="1901-12-31T00:00:00"/>
    <m/>
    <m/>
    <d v="1904-11-03T00:00:00"/>
    <m/>
    <d v="1904-05-01T00:00:00"/>
    <x v="95"/>
    <x v="6"/>
    <n v="7.2"/>
    <m/>
    <n v="0"/>
    <m/>
    <m/>
    <m/>
    <m/>
    <m/>
    <m/>
    <e v="#DIV/0!"/>
    <m/>
    <m/>
    <m/>
    <m/>
    <m/>
    <m/>
    <m/>
    <m/>
    <m/>
    <m/>
    <d v="1905-07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CESARIA"/>
    <m/>
    <x v="2"/>
    <x v="1"/>
    <x v="15"/>
    <m/>
    <m/>
    <m/>
    <x v="9"/>
    <m/>
    <s v="BD 2997"/>
    <s v="réétudier opé avec FRAFU à la demande de la DEAL_x000a_ Attente PLU 2018_x000a_faire simul FRAFU"/>
    <m/>
    <m/>
    <m/>
    <n v="6396"/>
    <n v="703760"/>
    <n v="703760"/>
    <n v="19020.54054054054"/>
    <n v="110.03126954346466"/>
    <n v="110.03126954346466"/>
    <n v="253.39079776911251"/>
    <n v="19020.54054054054"/>
    <n v="172.86486486486487"/>
    <m/>
    <n v="57.848655409631021"/>
    <s v="2NAUh"/>
    <n v="730"/>
    <n v="0.2"/>
    <x v="0"/>
    <x v="22"/>
    <n v="37"/>
    <m/>
    <n v="37"/>
    <m/>
    <m/>
    <m/>
    <n v="2777.37"/>
    <m/>
    <n v="2777.37"/>
    <n v="75.064054054054054"/>
    <m/>
    <m/>
    <m/>
    <m/>
    <m/>
    <m/>
    <m/>
    <n v="598"/>
    <n v="1.5"/>
    <s v="collectif"/>
    <s v="non"/>
    <m/>
    <m/>
    <m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3-07-01T00:00:00"/>
    <x v="63"/>
    <x v="8"/>
    <n v="1503.6"/>
    <n v="0"/>
    <n v="52"/>
    <n v="55"/>
    <m/>
    <d v="2018-11-20T00:00:00"/>
    <s v="0"/>
    <m/>
    <d v="2018-11-20T00:00:00"/>
    <s v="0"/>
    <m/>
    <d v="2018-11-20T00:00:00"/>
    <s v="0"/>
    <d v="2019-03-28T00:00:00"/>
    <d v="2019-03-28T00:00:00"/>
    <n v="0"/>
    <m/>
    <m/>
    <s v="0"/>
    <m/>
    <d v="2018-11-20T00:00:00"/>
    <s v="0"/>
    <d v="2019-06-13T00:00:00"/>
    <d v="2019-06-13T00:00:00"/>
    <n v="0"/>
    <m/>
    <m/>
    <m/>
    <d v="2027-11-01T00:00:00"/>
    <d v="2028-02-01T00:00:00"/>
    <n v="3.0666666666666669"/>
    <d v="1901-12-31T00:00:00"/>
    <m/>
    <m/>
    <d v="2028-06-03T00:00:00"/>
    <m/>
    <d v="2027-12-01T00:00:00"/>
    <x v="96"/>
    <x v="6"/>
    <n v="7.166666666666667"/>
    <m/>
    <n v="0"/>
    <m/>
    <m/>
    <n v="0"/>
    <m/>
    <m/>
    <m/>
    <e v="#DIV/0!"/>
    <m/>
    <m/>
    <m/>
    <m/>
    <m/>
    <m/>
    <m/>
    <m/>
    <m/>
    <m/>
    <d v="2029-02-01T00:00:00"/>
    <m/>
    <m/>
    <m/>
    <m/>
    <m/>
    <m/>
    <m/>
    <m/>
    <m/>
    <m/>
    <m/>
    <m/>
    <m/>
    <m/>
    <m/>
    <m/>
    <n v="0"/>
    <n v="0"/>
    <n v="0"/>
    <n v="0"/>
    <n v="0"/>
    <n v="0"/>
    <m/>
    <m/>
    <e v="#DIV/0!"/>
    <m/>
    <m/>
    <m/>
    <n v="0"/>
    <m/>
    <m/>
    <n v="0"/>
    <m/>
    <m/>
    <n v="0"/>
    <n v="0"/>
    <m/>
    <m/>
    <m/>
    <m/>
    <e v="#DIV/0!"/>
    <m/>
    <m/>
    <n v="0"/>
    <n v="0"/>
    <n v="0"/>
    <n v="0"/>
    <n v="6.31"/>
    <m/>
    <m/>
    <m/>
    <n v="0"/>
    <m/>
    <n v="0"/>
    <e v="#DIV/0!"/>
    <m/>
    <m/>
    <n v="0"/>
    <n v="0"/>
    <m/>
    <m/>
    <m/>
    <m/>
    <m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Arizona"/>
    <m/>
    <x v="2"/>
    <x v="1"/>
    <x v="15"/>
    <m/>
    <s v="FVA"/>
    <m/>
    <x v="9"/>
    <m/>
    <s v="CX 759 p / 191"/>
    <s v="Maisons de ville- assainissement individuel ? Dde de participation communale : CASUD n'accepte pas le principe de rétrocession d'une microstation, nécessaire à la densification et à l'équilibre financier du projet"/>
    <m/>
    <m/>
    <m/>
    <n v="12700"/>
    <n v="787400"/>
    <m/>
    <n v="13123.333333333334"/>
    <n v="62"/>
    <n v="0"/>
    <e v="#DIV/0!"/>
    <n v="0"/>
    <n v="211.66666666666666"/>
    <m/>
    <n v="47.244094488188978"/>
    <s v="Modif PLU"/>
    <m/>
    <m/>
    <x v="0"/>
    <x v="47"/>
    <n v="60"/>
    <m/>
    <n v="60"/>
    <m/>
    <m/>
    <m/>
    <n v="2492.9699999999998"/>
    <m/>
    <m/>
    <n v="0"/>
    <m/>
    <m/>
    <m/>
    <m/>
    <m/>
    <m/>
    <m/>
    <m/>
    <m/>
    <m/>
    <m/>
    <m/>
    <m/>
    <d v="2018-05-09T00:00:00"/>
    <m/>
    <m/>
    <s v="SO"/>
    <s v="SO"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3-07-01T00:00:00"/>
    <x v="63"/>
    <x v="8"/>
    <n v="1503.6"/>
    <n v="0"/>
    <n v="53"/>
    <n v="56"/>
    <m/>
    <d v="2018-11-20T00:00:00"/>
    <s v="0"/>
    <m/>
    <d v="2018-11-20T00:00:00"/>
    <s v="0"/>
    <m/>
    <d v="2018-11-20T00:00:00"/>
    <s v="0"/>
    <d v="2019-03-29T00:00:00"/>
    <d v="2019-03-29T00:00:00"/>
    <n v="0"/>
    <m/>
    <m/>
    <s v="0"/>
    <m/>
    <d v="2018-11-20T00:00:00"/>
    <s v="0"/>
    <d v="2019-06-14T00:00:00"/>
    <d v="2019-06-14T00:00:00"/>
    <n v="0"/>
    <m/>
    <m/>
    <m/>
    <d v="2027-12-01T00:00:00"/>
    <d v="2028-03-01T00:00:00"/>
    <n v="3.0333333333333332"/>
    <d v="1901-12-31T00:00:00"/>
    <m/>
    <m/>
    <d v="2028-07-03T00:00:00"/>
    <m/>
    <d v="2028-01-01T00:00:00"/>
    <x v="97"/>
    <x v="6"/>
    <n v="7.166666666666667"/>
    <m/>
    <n v="0"/>
    <m/>
    <m/>
    <n v="0"/>
    <m/>
    <m/>
    <m/>
    <e v="#DIV/0!"/>
    <m/>
    <m/>
    <m/>
    <m/>
    <m/>
    <m/>
    <m/>
    <m/>
    <m/>
    <m/>
    <d v="2029-03-01T00:00:00"/>
    <m/>
    <m/>
    <m/>
    <m/>
    <m/>
    <m/>
    <m/>
    <m/>
    <m/>
    <m/>
    <m/>
    <m/>
    <m/>
    <m/>
    <m/>
    <m/>
    <n v="0"/>
    <n v="0"/>
    <n v="0"/>
    <n v="0"/>
    <n v="0"/>
    <n v="0"/>
    <m/>
    <m/>
    <e v="#DIV/0!"/>
    <m/>
    <m/>
    <m/>
    <n v="0"/>
    <m/>
    <m/>
    <n v="0"/>
    <m/>
    <m/>
    <n v="0"/>
    <n v="0"/>
    <m/>
    <m/>
    <m/>
    <m/>
    <e v="#DIV/0!"/>
    <m/>
    <m/>
    <n v="0"/>
    <n v="0"/>
    <n v="0"/>
    <n v="0"/>
    <n v="6.31"/>
    <m/>
    <m/>
    <m/>
    <n v="0"/>
    <m/>
    <n v="0"/>
    <e v="#DIV/0!"/>
    <m/>
    <m/>
    <n v="0"/>
    <n v="0"/>
    <m/>
    <m/>
    <m/>
    <m/>
    <m/>
    <n v="192726"/>
    <n v="67454.500000000015"/>
    <d v="2016-07-28T00:00:00"/>
    <n v="19273"/>
    <m/>
    <m/>
    <m/>
    <n v="9636.3000000000011"/>
    <m/>
    <n v="19272.600000000002"/>
    <m/>
    <n v="19272.600000000002"/>
    <m/>
    <n v="0"/>
    <m/>
    <m/>
    <m/>
    <m/>
    <m/>
    <m/>
    <m/>
    <m/>
    <m/>
    <m/>
    <m/>
    <m/>
    <m/>
    <m/>
    <m/>
    <m/>
    <e v="#VALUE!"/>
    <m/>
    <m/>
    <m/>
    <m/>
    <m/>
  </r>
  <r>
    <s v="Chemin Dardanelles"/>
    <m/>
    <x v="7"/>
    <x v="1"/>
    <x v="15"/>
    <m/>
    <m/>
    <m/>
    <x v="13"/>
    <m/>
    <s v="BE 004,005,393,394,339"/>
    <s v="Demande Mairie 2AU au futur PLU. Projet d'ensemble équipements + lgts"/>
    <m/>
    <m/>
    <m/>
    <n v="18000"/>
    <m/>
    <m/>
    <n v="0"/>
    <n v="0"/>
    <n v="0"/>
    <e v="#DIV/0!"/>
    <n v="0"/>
    <n v="400"/>
    <m/>
    <n v="25"/>
    <s v="Modif PLU"/>
    <m/>
    <m/>
    <x v="0"/>
    <x v="40"/>
    <n v="45"/>
    <m/>
    <n v="4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54"/>
    <n v="56"/>
    <m/>
    <d v="2018-11-20T00:00:00"/>
    <s v="0"/>
    <m/>
    <d v="2018-11-20T00:00:00"/>
    <s v="0"/>
    <m/>
    <d v="2018-11-20T00:00:00"/>
    <s v="0"/>
    <d v="2019-03-30T00:00:00"/>
    <d v="2019-03-30T00:00:00"/>
    <n v="0"/>
    <m/>
    <m/>
    <s v="0"/>
    <m/>
    <d v="2018-11-20T00:00:00"/>
    <s v="0"/>
    <d v="2019-06-15T00:00:00"/>
    <d v="2019-06-15T00:00:00"/>
    <n v="0"/>
    <m/>
    <m/>
    <m/>
    <d v="1904-06-30T00:00:00"/>
    <d v="1904-09-30T00:00:00"/>
    <n v="3.0666666666666669"/>
    <d v="1901-12-31T00:00:00"/>
    <m/>
    <m/>
    <d v="1905-02-01T00:00:00"/>
    <m/>
    <d v="1904-07-30T00:00:00"/>
    <x v="98"/>
    <x v="6"/>
    <n v="7.1333333333333337"/>
    <m/>
    <n v="0"/>
    <m/>
    <m/>
    <m/>
    <m/>
    <m/>
    <m/>
    <e v="#DIV/0!"/>
    <m/>
    <m/>
    <m/>
    <m/>
    <m/>
    <m/>
    <m/>
    <m/>
    <m/>
    <m/>
    <d v="1905-09-30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Chemin des Chardons"/>
    <m/>
    <x v="7"/>
    <x v="1"/>
    <x v="15"/>
    <m/>
    <m/>
    <m/>
    <x v="13"/>
    <m/>
    <s v="AV 94, 95 …"/>
    <s v="Demande Mairie 2AU au futur PLU. Projet à développer sur le long terme selon la Mairie"/>
    <m/>
    <m/>
    <m/>
    <n v="30000"/>
    <m/>
    <m/>
    <n v="0"/>
    <n v="0"/>
    <n v="0"/>
    <e v="#DIV/0!"/>
    <n v="0"/>
    <n v="666.66666666666663"/>
    <m/>
    <n v="15"/>
    <s v="Modif PLU"/>
    <m/>
    <m/>
    <x v="0"/>
    <x v="40"/>
    <n v="45"/>
    <m/>
    <n v="4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55"/>
    <n v="57"/>
    <m/>
    <d v="2018-11-20T00:00:00"/>
    <s v="0"/>
    <m/>
    <d v="2018-11-20T00:00:00"/>
    <s v="0"/>
    <m/>
    <d v="2018-11-20T00:00:00"/>
    <s v="0"/>
    <d v="2019-03-31T00:00:00"/>
    <d v="2019-03-31T00:00:00"/>
    <n v="0"/>
    <m/>
    <m/>
    <s v="0"/>
    <m/>
    <d v="2018-11-20T00:00:00"/>
    <s v="0"/>
    <d v="2019-06-16T00:00:00"/>
    <d v="2019-06-16T00:00:00"/>
    <n v="0"/>
    <m/>
    <m/>
    <m/>
    <d v="1904-07-31T00:00:00"/>
    <d v="1904-10-31T00:00:00"/>
    <n v="3.0666666666666669"/>
    <d v="1901-12-31T00:00:00"/>
    <m/>
    <m/>
    <d v="1905-03-05T00:00:00"/>
    <m/>
    <d v="1904-08-31T00:00:00"/>
    <x v="99"/>
    <x v="6"/>
    <n v="7.2333333333333334"/>
    <m/>
    <n v="0"/>
    <m/>
    <m/>
    <m/>
    <m/>
    <m/>
    <m/>
    <e v="#DIV/0!"/>
    <m/>
    <m/>
    <m/>
    <m/>
    <m/>
    <m/>
    <m/>
    <m/>
    <m/>
    <m/>
    <d v="1905-10-3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Eglise Pharmacie"/>
    <m/>
    <x v="7"/>
    <x v="1"/>
    <x v="15"/>
    <m/>
    <m/>
    <m/>
    <x v="13"/>
    <m/>
    <s v="AX 193"/>
    <s v="Opération RPA"/>
    <m/>
    <m/>
    <m/>
    <n v="4900"/>
    <m/>
    <m/>
    <n v="0"/>
    <n v="0"/>
    <n v="0"/>
    <e v="#DIV/0!"/>
    <n v="0"/>
    <n v="163.33333333333334"/>
    <m/>
    <n v="61.224489795918366"/>
    <m/>
    <m/>
    <m/>
    <x v="0"/>
    <x v="1"/>
    <n v="30"/>
    <m/>
    <n v="3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56"/>
    <n v="59"/>
    <m/>
    <d v="2018-11-20T00:00:00"/>
    <s v="0"/>
    <m/>
    <d v="2018-11-20T00:00:00"/>
    <s v="0"/>
    <m/>
    <d v="2018-11-20T00:00:00"/>
    <s v="0"/>
    <d v="2019-04-01T00:00:00"/>
    <d v="2019-04-01T00:00:00"/>
    <n v="0"/>
    <m/>
    <m/>
    <s v="0"/>
    <m/>
    <d v="2018-11-20T00:00:00"/>
    <s v="0"/>
    <d v="2019-06-17T00:00:00"/>
    <d v="2019-06-17T00:00:00"/>
    <n v="0"/>
    <m/>
    <m/>
    <m/>
    <d v="1904-08-31T00:00:00"/>
    <d v="1904-12-01T00:00:00"/>
    <n v="3.0666666666666669"/>
    <d v="1901-12-31T00:00:00"/>
    <m/>
    <m/>
    <d v="1905-04-03T00:00:00"/>
    <m/>
    <d v="1904-10-01T00:00:00"/>
    <x v="100"/>
    <x v="6"/>
    <n v="7.1333333333333337"/>
    <m/>
    <n v="0"/>
    <m/>
    <m/>
    <m/>
    <m/>
    <m/>
    <m/>
    <e v="#DIV/0!"/>
    <m/>
    <m/>
    <m/>
    <m/>
    <m/>
    <m/>
    <m/>
    <m/>
    <m/>
    <m/>
    <d v="1905-12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Eglise Pharmacie 2"/>
    <m/>
    <x v="7"/>
    <x v="1"/>
    <x v="15"/>
    <m/>
    <m/>
    <m/>
    <x v="13"/>
    <m/>
    <s v="AX 570"/>
    <s v="modif PLU"/>
    <m/>
    <m/>
    <m/>
    <n v="5900"/>
    <m/>
    <m/>
    <e v="#DIV/0!"/>
    <n v="0"/>
    <n v="0"/>
    <e v="#DIV/0!"/>
    <e v="#DIV/0!"/>
    <e v="#DIV/0!"/>
    <m/>
    <n v="0"/>
    <s v="NAU ==&gt; 1 AU"/>
    <m/>
    <m/>
    <x v="0"/>
    <x v="52"/>
    <n v="0"/>
    <m/>
    <m/>
    <m/>
    <m/>
    <m/>
    <m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57"/>
    <n v="59"/>
    <m/>
    <d v="2018-11-20T00:00:00"/>
    <s v="0"/>
    <m/>
    <d v="2018-11-20T00:00:00"/>
    <s v="0"/>
    <m/>
    <d v="2018-11-20T00:00:00"/>
    <s v="0"/>
    <d v="2019-04-02T00:00:00"/>
    <d v="2019-04-02T00:00:00"/>
    <n v="0"/>
    <m/>
    <m/>
    <s v="0"/>
    <m/>
    <d v="2018-11-20T00:00:00"/>
    <s v="0"/>
    <d v="2019-06-18T00:00:00"/>
    <d v="2019-06-18T00:00:00"/>
    <n v="0"/>
    <m/>
    <m/>
    <m/>
    <d v="1904-09-30T00:00:00"/>
    <d v="1904-12-30T00:00:00"/>
    <n v="3.0333333333333332"/>
    <d v="1901-12-31T00:00:00"/>
    <m/>
    <m/>
    <d v="1905-05-02T00:00:00"/>
    <m/>
    <d v="1904-10-30T00:00:00"/>
    <x v="101"/>
    <x v="6"/>
    <n v="7.166666666666667"/>
    <m/>
    <n v="0"/>
    <m/>
    <m/>
    <m/>
    <m/>
    <m/>
    <m/>
    <e v="#DIV/0!"/>
    <m/>
    <m/>
    <m/>
    <m/>
    <m/>
    <m/>
    <m/>
    <m/>
    <m/>
    <m/>
    <d v="1905-12-30T00:00:00"/>
    <m/>
    <m/>
    <m/>
    <m/>
    <m/>
    <m/>
    <m/>
    <m/>
    <m/>
    <m/>
    <m/>
    <m/>
    <m/>
    <m/>
    <m/>
    <m/>
    <n v="0"/>
    <n v="0"/>
    <n v="0"/>
    <n v="0"/>
    <e v="#DIV/0!"/>
    <e v="#DIV/0!"/>
    <m/>
    <m/>
    <e v="#DIV/0!"/>
    <m/>
    <m/>
    <m/>
    <m/>
    <m/>
    <m/>
    <n v="0"/>
    <m/>
    <m/>
    <n v="0"/>
    <e v="#DIV/0!"/>
    <m/>
    <m/>
    <m/>
    <m/>
    <e v="#DIV/0!"/>
    <m/>
    <m/>
    <n v="0"/>
    <e v="#DIV/0!"/>
    <e v="#DIV/0!"/>
    <e v="#DIV/0!"/>
    <m/>
    <m/>
    <m/>
    <m/>
    <e v="#DIV/0!"/>
    <m/>
    <e v="#DIV/0!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Emplacement réservé Plateau Vincendo"/>
    <m/>
    <x v="7"/>
    <x v="1"/>
    <x v="15"/>
    <m/>
    <m/>
    <m/>
    <x v="13"/>
    <m/>
    <s v="CT 325 / CS 520,521"/>
    <s v="CT 325 en zone N / CS 520 en Zone U_x000a_opération globale conditionnée à la réalisation d'un rond point sur la RN ==&gt; Mairie prend contact avec la Région"/>
    <m/>
    <m/>
    <m/>
    <n v="5300"/>
    <m/>
    <m/>
    <n v="0"/>
    <n v="0"/>
    <n v="0"/>
    <e v="#DIV/0!"/>
    <n v="0"/>
    <n v="151.42857142857142"/>
    <m/>
    <n v="66.037735849056602"/>
    <m/>
    <m/>
    <m/>
    <x v="0"/>
    <x v="35"/>
    <n v="35"/>
    <m/>
    <n v="3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58"/>
    <n v="60"/>
    <m/>
    <d v="2018-11-20T00:00:00"/>
    <s v="0"/>
    <m/>
    <d v="2018-11-20T00:00:00"/>
    <s v="0"/>
    <m/>
    <d v="2018-11-20T00:00:00"/>
    <s v="0"/>
    <d v="2019-04-03T00:00:00"/>
    <d v="2019-04-03T00:00:00"/>
    <n v="0"/>
    <m/>
    <m/>
    <s v="0"/>
    <m/>
    <d v="2018-11-20T00:00:00"/>
    <s v="0"/>
    <d v="2019-06-19T00:00:00"/>
    <d v="2019-06-19T00:00:00"/>
    <n v="0"/>
    <m/>
    <m/>
    <m/>
    <d v="1904-10-31T00:00:00"/>
    <d v="1905-01-31T00:00:00"/>
    <n v="3.0666666666666669"/>
    <d v="1901-12-31T00:00:00"/>
    <m/>
    <m/>
    <d v="1905-06-02T00:00:00"/>
    <m/>
    <d v="1904-12-01T00:00:00"/>
    <x v="102"/>
    <x v="6"/>
    <n v="7.1"/>
    <m/>
    <n v="0"/>
    <m/>
    <m/>
    <m/>
    <m/>
    <m/>
    <m/>
    <e v="#DIV/0!"/>
    <m/>
    <m/>
    <m/>
    <m/>
    <m/>
    <m/>
    <m/>
    <m/>
    <m/>
    <m/>
    <d v="1906-01-3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Terrains TSENG KING et chemin de la Chapelle"/>
    <m/>
    <x v="7"/>
    <x v="1"/>
    <x v="15"/>
    <m/>
    <m/>
    <m/>
    <x v="13"/>
    <m/>
    <s v="AZ 234,456,261,178"/>
    <s v="attente PLU_x000a_03/05/18 : Mairie prend contact avec propriétaires"/>
    <m/>
    <m/>
    <m/>
    <n v="8400"/>
    <m/>
    <m/>
    <n v="0"/>
    <n v="0"/>
    <n v="0"/>
    <e v="#DIV/0!"/>
    <n v="0"/>
    <n v="186.66666666666666"/>
    <m/>
    <n v="53.571428571428569"/>
    <s v="NAUD ==&gt; 1AU"/>
    <m/>
    <m/>
    <x v="0"/>
    <x v="40"/>
    <n v="45"/>
    <m/>
    <n v="4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59"/>
    <n v="62"/>
    <m/>
    <d v="2018-11-20T00:00:00"/>
    <s v="0"/>
    <m/>
    <d v="2018-11-20T00:00:00"/>
    <s v="0"/>
    <m/>
    <d v="2018-11-20T00:00:00"/>
    <s v="0"/>
    <d v="2019-04-04T00:00:00"/>
    <d v="2019-04-04T00:00:00"/>
    <n v="0"/>
    <m/>
    <m/>
    <s v="0"/>
    <m/>
    <d v="2018-11-20T00:00:00"/>
    <s v="0"/>
    <d v="2019-06-20T00:00:00"/>
    <d v="2019-06-20T00:00:00"/>
    <n v="0"/>
    <m/>
    <m/>
    <m/>
    <d v="1904-11-30T00:00:00"/>
    <d v="1905-03-02T00:00:00"/>
    <n v="3.0666666666666669"/>
    <d v="1901-12-31T00:00:00"/>
    <m/>
    <m/>
    <d v="1905-07-04T00:00:00"/>
    <m/>
    <d v="1904-12-30T00:00:00"/>
    <x v="103"/>
    <x v="6"/>
    <n v="7.2333333333333334"/>
    <m/>
    <n v="0"/>
    <m/>
    <m/>
    <m/>
    <m/>
    <m/>
    <m/>
    <e v="#DIV/0!"/>
    <m/>
    <m/>
    <m/>
    <m/>
    <m/>
    <m/>
    <m/>
    <m/>
    <m/>
    <m/>
    <d v="1906-03-02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INCENDO CAFE"/>
    <m/>
    <x v="7"/>
    <x v="1"/>
    <x v="15"/>
    <m/>
    <m/>
    <m/>
    <x v="13"/>
    <m/>
    <s v="CW 730,731, 732,656, 627,29"/>
    <s v="études d'urba réalisées – présenté à la DEAL._x000a_DEAL ne souhaite pas d’extension urbaine s’il n’y a pas d’assainissement collectif_x000a_DEAL défavorable à un déclassement s’il n’y a pas de STEP mais une nouvelle proposition aurait été faite par la commune à la DEAL_x000a_CW 732 exploitable : qui est le propriétaire ?_x000a_"/>
    <m/>
    <m/>
    <m/>
    <m/>
    <m/>
    <m/>
    <n v="0"/>
    <m/>
    <m/>
    <m/>
    <n v="0"/>
    <m/>
    <m/>
    <e v="#DIV/0!"/>
    <m/>
    <m/>
    <m/>
    <x v="0"/>
    <x v="35"/>
    <n v="35"/>
    <m/>
    <n v="3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s v="SO"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60"/>
    <n v="62"/>
    <m/>
    <d v="2018-11-20T00:00:00"/>
    <s v="0"/>
    <m/>
    <d v="2018-11-20T00:00:00"/>
    <s v="0"/>
    <m/>
    <d v="2018-11-20T00:00:00"/>
    <s v="0"/>
    <d v="2019-04-05T00:00:00"/>
    <d v="2019-04-05T00:00:00"/>
    <n v="0"/>
    <m/>
    <m/>
    <s v="0"/>
    <m/>
    <d v="2018-11-20T00:00:00"/>
    <s v="0"/>
    <d v="2019-06-21T00:00:00"/>
    <d v="2019-06-21T00:00:00"/>
    <n v="0"/>
    <m/>
    <m/>
    <m/>
    <d v="1904-12-31T00:00:00"/>
    <d v="1905-03-31T00:00:00"/>
    <n v="3"/>
    <d v="1901-12-31T00:00:00"/>
    <m/>
    <m/>
    <d v="1905-08-02T00:00:00"/>
    <m/>
    <d v="1905-01-31T00:00:00"/>
    <x v="104"/>
    <x v="6"/>
    <n v="7.1333333333333337"/>
    <m/>
    <n v="0"/>
    <m/>
    <m/>
    <m/>
    <m/>
    <m/>
    <m/>
    <e v="#DIV/0!"/>
    <m/>
    <m/>
    <m/>
    <m/>
    <m/>
    <m/>
    <m/>
    <m/>
    <m/>
    <m/>
    <d v="1906-03-3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BT 920 3 MARES"/>
    <m/>
    <x v="2"/>
    <x v="1"/>
    <x v="16"/>
    <m/>
    <m/>
    <m/>
    <x v="13"/>
    <m/>
    <s v="BT 920"/>
    <s v="mairie ne souhaite pas de logements aidés - terrain maîtrisé par la Ville / relancer mairie sur volonté programmatique"/>
    <s v="Mairie"/>
    <m/>
    <m/>
    <n v="52241"/>
    <m/>
    <m/>
    <n v="0"/>
    <n v="0"/>
    <n v="0"/>
    <e v="#DIV/0!"/>
    <n v="0"/>
    <n v="870.68333333333328"/>
    <m/>
    <n v="11.485231905974235"/>
    <m/>
    <m/>
    <m/>
    <x v="0"/>
    <x v="47"/>
    <n v="60"/>
    <m/>
    <n v="6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d v="2022-07-01T00:00:00"/>
    <x v="62"/>
    <x v="8"/>
    <n v="1491.4333333333334"/>
    <n v="0"/>
    <n v="61"/>
    <n v="64"/>
    <m/>
    <d v="2018-11-20T00:00:00"/>
    <s v="0"/>
    <m/>
    <d v="2018-11-20T00:00:00"/>
    <s v="0"/>
    <m/>
    <d v="2018-11-20T00:00:00"/>
    <s v="0"/>
    <d v="2019-04-06T00:00:00"/>
    <d v="2019-04-06T00:00:00"/>
    <n v="0"/>
    <m/>
    <m/>
    <s v="0"/>
    <m/>
    <d v="2018-11-20T00:00:00"/>
    <s v="0"/>
    <d v="2019-06-22T00:00:00"/>
    <d v="2019-06-22T00:00:00"/>
    <n v="0"/>
    <m/>
    <m/>
    <m/>
    <d v="2027-08-01T00:00:00"/>
    <d v="2027-11-01T00:00:00"/>
    <n v="3.0666666666666669"/>
    <d v="1901-12-31T00:00:00"/>
    <m/>
    <m/>
    <d v="2028-03-03T00:00:00"/>
    <m/>
    <d v="2027-09-01T00:00:00"/>
    <x v="105"/>
    <x v="6"/>
    <n v="7.166666666666667"/>
    <m/>
    <n v="0"/>
    <m/>
    <m/>
    <m/>
    <m/>
    <m/>
    <m/>
    <e v="#DIV/0!"/>
    <m/>
    <m/>
    <m/>
    <m/>
    <m/>
    <m/>
    <m/>
    <m/>
    <m/>
    <m/>
    <d v="2028-11-01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Josepha Fontaine Tranche 2"/>
    <m/>
    <x v="7"/>
    <x v="1"/>
    <x v="16"/>
    <m/>
    <m/>
    <m/>
    <x v="13"/>
    <m/>
    <s v="AV 651"/>
    <s v="Zone A au SAR et hors ZPU. Demande Mairie 2AU au futur PLU"/>
    <m/>
    <m/>
    <m/>
    <n v="4000"/>
    <m/>
    <m/>
    <n v="0"/>
    <n v="0"/>
    <n v="0"/>
    <e v="#DIV/0!"/>
    <n v="0"/>
    <n v="266.66666666666669"/>
    <m/>
    <n v="37.5"/>
    <s v="Modif PLU"/>
    <m/>
    <m/>
    <x v="0"/>
    <x v="23"/>
    <n v="15"/>
    <m/>
    <n v="1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d v="1899-12-30T00:00:00"/>
    <d v="1901-12-31T00:00:00"/>
    <d v="1902-12-31T00:00:00"/>
    <m/>
    <s v="oui"/>
    <e v="#NUM!"/>
    <e v="#NUM!"/>
    <e v="#NUM!"/>
    <m/>
    <m/>
    <m/>
    <m/>
    <m/>
    <m/>
    <m/>
    <m/>
    <m/>
    <m/>
    <m/>
    <m/>
    <m/>
    <m/>
    <m/>
    <m/>
    <m/>
    <m/>
    <m/>
    <s v="SO"/>
    <s v="SO"/>
    <s v="SO"/>
    <s v="SO"/>
    <s v="SO"/>
    <m/>
    <m/>
    <m/>
    <m/>
    <m/>
    <m/>
    <s v="0"/>
    <m/>
    <m/>
    <s v="0"/>
    <m/>
    <d v="2018-11-20T00:00:00"/>
    <s v="0"/>
    <m/>
    <d v="2018-11-20T00:00:00"/>
    <s v="0"/>
    <m/>
    <d v="2018-11-20T00:00:00"/>
    <s v="0"/>
    <m/>
    <m/>
    <m/>
    <m/>
    <s v="0"/>
    <m/>
    <x v="43"/>
    <x v="8"/>
    <n v="0"/>
    <s v="0"/>
    <n v="62"/>
    <n v="64"/>
    <m/>
    <d v="2018-11-20T00:00:00"/>
    <s v="0"/>
    <m/>
    <d v="2018-11-20T00:00:00"/>
    <s v="0"/>
    <m/>
    <d v="2018-11-20T00:00:00"/>
    <s v="0"/>
    <d v="2019-04-07T00:00:00"/>
    <d v="2019-04-07T00:00:00"/>
    <n v="0"/>
    <m/>
    <m/>
    <s v="0"/>
    <m/>
    <d v="2018-11-20T00:00:00"/>
    <s v="0"/>
    <d v="2019-06-23T00:00:00"/>
    <d v="2019-06-23T00:00:00"/>
    <n v="0"/>
    <m/>
    <m/>
    <m/>
    <d v="1905-02-28T00:00:00"/>
    <d v="1905-05-28T00:00:00"/>
    <n v="2.9666666666666668"/>
    <d v="1901-12-31T00:00:00"/>
    <m/>
    <m/>
    <d v="1905-09-30T00:00:00"/>
    <m/>
    <d v="1905-03-28T00:00:00"/>
    <x v="106"/>
    <x v="6"/>
    <n v="7.2"/>
    <m/>
    <n v="0"/>
    <m/>
    <m/>
    <m/>
    <m/>
    <m/>
    <m/>
    <e v="#DIV/0!"/>
    <m/>
    <m/>
    <m/>
    <m/>
    <m/>
    <m/>
    <m/>
    <m/>
    <m/>
    <m/>
    <d v="1906-05-28T00:00:00"/>
    <m/>
    <m/>
    <m/>
    <m/>
    <m/>
    <m/>
    <m/>
    <m/>
    <m/>
    <m/>
    <m/>
    <m/>
    <m/>
    <m/>
    <m/>
    <m/>
    <n v="0"/>
    <n v="0"/>
    <n v="0"/>
    <n v="0"/>
    <e v="#DIV/0!"/>
    <n v="0"/>
    <m/>
    <m/>
    <e v="#DIV/0!"/>
    <m/>
    <m/>
    <m/>
    <m/>
    <m/>
    <m/>
    <n v="0"/>
    <m/>
    <m/>
    <n v="0"/>
    <n v="0"/>
    <m/>
    <m/>
    <m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207:D225" firstHeaderRow="0" firstDataRow="1" firstDataCol="1"/>
  <pivotFields count="288">
    <pivotField showAll="0"/>
    <pivotField showAll="0" defaultSubtotal="0"/>
    <pivotField showAll="0"/>
    <pivotField showAll="0"/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5"/>
        <item x="16"/>
        <item x="12"/>
        <item x="14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" showAll="0"/>
    <pivotField dataField="1" numFmtId="1" showAll="0" defaultSubtotal="0"/>
    <pivotField showAll="0"/>
    <pivotField showAll="0"/>
    <pivotField showAll="0"/>
    <pivotField showAll="0"/>
    <pivotField showAll="0" defaultSubtota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numFmtId="164" showAll="0"/>
    <pivotField showAll="0"/>
    <pivotField showAll="0"/>
    <pivotField showAll="0"/>
    <pivotField numFmtId="3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RP TTC  " fld="205" baseField="3" baseItem="0"/>
    <dataField name="Somme de SF" fld="37" baseField="3" baseItem="0"/>
    <dataField name="Somme de N hors REHAB" fld="31" baseField="0" baseItem="0"/>
  </dataFields>
  <formats count="1">
    <format dxfId="68">
      <pivotArea collapsedLevelsAreSubtotals="1" fieldPosition="0">
        <references count="1">
          <reference field="4" count="0"/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21:C131" totalsRowShown="0" headerRowDxfId="67">
  <autoFilter ref="A121:C131"/>
  <tableColumns count="3">
    <tableColumn id="1" name="Prog"/>
    <tableColumn id="2" name="€ / lgt" dataDxfId="66"/>
    <tableColumn id="3" name="€/m² terrain" dataDxfId="65" dataCellStyle="Milliers">
      <calculatedColumnFormula>(SUMPRODUCT(((Prog)=2010)*Px_Foncier))/(SUMPRODUCT((S_TERRAIN)*(Type&lt;&gt;"Rehab")*(Type&lt;&gt;"PLS")*((Prog)=2010)))</calculatedColumnFormula>
    </tableColumn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82:B194" totalsRowShown="0" headerRowDxfId="64">
  <autoFilter ref="A182:B194"/>
  <tableColumns count="2">
    <tableColumn id="1" name="ANNEE DE LIVRAISON" dataDxfId="63"/>
    <tableColumn id="2" name="AU LOGEMENT" dataDxfId="62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/>
  </sheetPr>
  <dimension ref="A1:Q285"/>
  <sheetViews>
    <sheetView topLeftCell="A243" zoomScale="85" zoomScaleNormal="85" workbookViewId="0">
      <selection activeCell="A269" sqref="A269"/>
    </sheetView>
  </sheetViews>
  <sheetFormatPr baseColWidth="10" defaultRowHeight="15"/>
  <cols>
    <col min="1" max="1" width="21" customWidth="1"/>
    <col min="2" max="2" width="18.85546875" customWidth="1"/>
    <col min="3" max="3" width="12.85546875" customWidth="1"/>
    <col min="4" max="4" width="23.140625" customWidth="1"/>
    <col min="5" max="5" width="16" customWidth="1"/>
    <col min="6" max="6" width="15.28515625" customWidth="1"/>
    <col min="7" max="7" width="19.140625" customWidth="1"/>
    <col min="8" max="12" width="10.85546875" customWidth="1"/>
    <col min="13" max="13" width="22.42578125" customWidth="1"/>
    <col min="14" max="14" width="15.42578125" customWidth="1"/>
    <col min="15" max="69" width="10.85546875" customWidth="1"/>
    <col min="70" max="70" width="6.28515625" customWidth="1"/>
    <col min="71" max="74" width="10.85546875" customWidth="1"/>
    <col min="75" max="75" width="12.140625" bestFit="1" customWidth="1"/>
  </cols>
  <sheetData>
    <row r="1" spans="1:17" ht="15.75" thickBot="1">
      <c r="A1" s="379" t="s">
        <v>631</v>
      </c>
      <c r="B1" s="380"/>
      <c r="C1" s="380"/>
      <c r="D1" s="252"/>
      <c r="E1" s="252"/>
      <c r="F1" s="252"/>
      <c r="G1" s="252"/>
      <c r="H1" s="252"/>
      <c r="I1" s="252"/>
      <c r="J1" s="252"/>
      <c r="K1" s="252"/>
      <c r="L1" s="252"/>
      <c r="M1" s="252"/>
    </row>
    <row r="2" spans="1:17">
      <c r="A2" s="240"/>
      <c r="B2" s="241"/>
      <c r="C2" s="241"/>
      <c r="D2" s="241"/>
      <c r="E2" s="241"/>
      <c r="F2" s="241"/>
      <c r="G2" s="241"/>
      <c r="H2" s="241"/>
      <c r="I2" s="241"/>
      <c r="J2" s="241"/>
      <c r="K2" s="282"/>
      <c r="L2" s="241"/>
      <c r="M2" s="242"/>
    </row>
    <row r="3" spans="1:17" s="265" customFormat="1" ht="60">
      <c r="A3" s="276"/>
      <c r="B3" s="277" t="s">
        <v>271</v>
      </c>
      <c r="C3" s="277" t="s">
        <v>974</v>
      </c>
      <c r="D3" s="309" t="s">
        <v>427</v>
      </c>
      <c r="E3" s="309" t="s">
        <v>975</v>
      </c>
      <c r="F3" s="278" t="s">
        <v>272</v>
      </c>
      <c r="G3" s="278" t="s">
        <v>852</v>
      </c>
      <c r="H3" s="310" t="s">
        <v>427</v>
      </c>
      <c r="I3" s="310" t="s">
        <v>853</v>
      </c>
      <c r="J3" s="788" t="s">
        <v>851</v>
      </c>
      <c r="K3" s="976" t="s">
        <v>976</v>
      </c>
      <c r="L3" s="279"/>
      <c r="M3" s="279"/>
      <c r="N3" s="279"/>
      <c r="O3" s="279"/>
      <c r="P3" s="279"/>
      <c r="Q3" s="280"/>
    </row>
    <row r="4" spans="1:17">
      <c r="A4" s="244">
        <v>2011</v>
      </c>
      <c r="B4" s="245">
        <v>127</v>
      </c>
      <c r="C4" s="245">
        <v>127</v>
      </c>
      <c r="D4" s="311">
        <v>127</v>
      </c>
      <c r="E4" s="311">
        <v>0</v>
      </c>
      <c r="F4" s="318">
        <v>0</v>
      </c>
      <c r="G4" s="318">
        <v>0</v>
      </c>
      <c r="H4" s="312">
        <v>0</v>
      </c>
      <c r="I4" s="312">
        <v>0</v>
      </c>
      <c r="J4" s="792"/>
      <c r="K4" s="977"/>
      <c r="L4" s="241"/>
      <c r="M4" s="241"/>
      <c r="N4" s="241"/>
      <c r="O4" s="241"/>
      <c r="P4" s="241"/>
      <c r="Q4" s="242"/>
    </row>
    <row r="5" spans="1:17">
      <c r="A5" s="244">
        <v>2012</v>
      </c>
      <c r="B5" s="245">
        <f>SUMPRODUCT((YEAR(OS)=2012)*Nlgts)</f>
        <v>64</v>
      </c>
      <c r="C5" s="245">
        <v>64</v>
      </c>
      <c r="D5" s="311">
        <v>64</v>
      </c>
      <c r="E5" s="311">
        <v>0</v>
      </c>
      <c r="F5" s="318">
        <v>0</v>
      </c>
      <c r="G5" s="318">
        <v>0</v>
      </c>
      <c r="H5" s="312">
        <v>0</v>
      </c>
      <c r="I5" s="312">
        <v>0</v>
      </c>
      <c r="J5" s="792"/>
      <c r="K5" s="977"/>
      <c r="L5" s="241"/>
      <c r="M5" s="241"/>
      <c r="N5" s="241"/>
      <c r="O5" s="241"/>
      <c r="P5" s="241"/>
      <c r="Q5" s="242"/>
    </row>
    <row r="6" spans="1:17">
      <c r="A6" s="244">
        <v>2013</v>
      </c>
      <c r="B6" s="245">
        <f>SUMPRODUCT((YEAR(OS)=2013)*Nlgts)</f>
        <v>400</v>
      </c>
      <c r="C6" s="245">
        <v>400</v>
      </c>
      <c r="D6" s="311">
        <v>400</v>
      </c>
      <c r="E6" s="311">
        <v>0</v>
      </c>
      <c r="F6" s="318">
        <v>70</v>
      </c>
      <c r="G6" s="318">
        <v>70</v>
      </c>
      <c r="H6" s="312">
        <v>70</v>
      </c>
      <c r="I6" s="312">
        <v>0</v>
      </c>
      <c r="J6" s="792"/>
      <c r="K6" s="977"/>
      <c r="L6" s="241"/>
      <c r="M6" s="241"/>
      <c r="N6" s="241"/>
      <c r="O6" s="241"/>
      <c r="P6" s="241"/>
      <c r="Q6" s="242"/>
    </row>
    <row r="7" spans="1:17">
      <c r="A7" s="244">
        <v>2014</v>
      </c>
      <c r="B7" s="245">
        <f>SUMPRODUCT((YEAR(OS)=2014)*Nlgts)</f>
        <v>278</v>
      </c>
      <c r="C7" s="245">
        <f>SUMPRODUCT((YEAR(OS)=2014)*(Nlgts_hors_rehab))</f>
        <v>278</v>
      </c>
      <c r="D7" s="311">
        <v>278</v>
      </c>
      <c r="E7" s="311">
        <v>0</v>
      </c>
      <c r="F7" s="318">
        <v>226</v>
      </c>
      <c r="G7" s="318">
        <v>226</v>
      </c>
      <c r="H7" s="312">
        <v>226</v>
      </c>
      <c r="I7" s="312">
        <v>0</v>
      </c>
      <c r="J7" s="792"/>
      <c r="K7" s="977"/>
      <c r="L7" s="241"/>
      <c r="M7" s="241"/>
      <c r="N7" s="241"/>
      <c r="O7" s="241"/>
      <c r="P7" s="241"/>
      <c r="Q7" s="242"/>
    </row>
    <row r="8" spans="1:17">
      <c r="A8" s="244">
        <v>2015</v>
      </c>
      <c r="B8" s="245">
        <f>SUMPRODUCT((YEAR(OS)=2015)*Nlgts)</f>
        <v>222</v>
      </c>
      <c r="C8" s="245">
        <f>SUMPRODUCT((YEAR(OS)=2015)*(Nlgts_hors_rehab))</f>
        <v>222</v>
      </c>
      <c r="D8" s="311">
        <v>222</v>
      </c>
      <c r="E8" s="311">
        <v>0</v>
      </c>
      <c r="F8" s="318">
        <v>181</v>
      </c>
      <c r="G8" s="318">
        <v>181</v>
      </c>
      <c r="H8" s="312">
        <v>181</v>
      </c>
      <c r="I8" s="312">
        <v>0</v>
      </c>
      <c r="J8" s="792"/>
      <c r="K8" s="977"/>
      <c r="L8" s="241"/>
      <c r="M8" s="241"/>
      <c r="N8" s="241"/>
      <c r="O8" s="241"/>
      <c r="P8" s="241"/>
      <c r="Q8" s="242"/>
    </row>
    <row r="9" spans="1:17">
      <c r="A9" s="244">
        <v>2016</v>
      </c>
      <c r="B9" s="245">
        <f>SUMPRODUCT((YEAR(OS)=2016)*Nlgts)</f>
        <v>48</v>
      </c>
      <c r="C9" s="245">
        <f>SUMPRODUCT((YEAR(OS)=2016)*(Nlgts_hors_rehab))</f>
        <v>48</v>
      </c>
      <c r="D9" s="311">
        <v>48</v>
      </c>
      <c r="E9" s="311">
        <v>0</v>
      </c>
      <c r="F9" s="318">
        <v>244</v>
      </c>
      <c r="G9" s="318">
        <v>244</v>
      </c>
      <c r="H9" s="312">
        <v>244</v>
      </c>
      <c r="I9" s="312">
        <v>0</v>
      </c>
      <c r="J9" s="793"/>
      <c r="K9" s="977"/>
      <c r="L9" s="241"/>
      <c r="M9" s="241"/>
      <c r="N9" s="241"/>
      <c r="O9" s="241"/>
      <c r="P9" s="241"/>
      <c r="Q9" s="242"/>
    </row>
    <row r="10" spans="1:17">
      <c r="A10" s="244">
        <v>2017</v>
      </c>
      <c r="B10" s="245">
        <f>SUMPRODUCT((YEAR(OS)=2017)*Nlgts)</f>
        <v>481</v>
      </c>
      <c r="C10" s="245">
        <f>SUMPRODUCT((YEAR(OS)=2017)*(Nlgts_hors_rehab))</f>
        <v>481</v>
      </c>
      <c r="D10" s="311">
        <v>481</v>
      </c>
      <c r="E10" s="311">
        <v>0</v>
      </c>
      <c r="F10" s="318">
        <v>336</v>
      </c>
      <c r="G10" s="318">
        <v>336</v>
      </c>
      <c r="H10" s="312">
        <v>336</v>
      </c>
      <c r="I10" s="312">
        <v>0</v>
      </c>
      <c r="J10" s="792"/>
      <c r="K10" s="977"/>
      <c r="L10" s="241"/>
      <c r="M10" s="241"/>
      <c r="N10" s="241"/>
      <c r="O10" s="241"/>
      <c r="P10" s="241"/>
      <c r="Q10" s="242"/>
    </row>
    <row r="11" spans="1:17" ht="15.75" thickBot="1">
      <c r="A11" s="244">
        <v>2018</v>
      </c>
      <c r="B11" s="245">
        <f>SUMPRODUCT((YEAR(OS)=2018)*Nlgts)</f>
        <v>462</v>
      </c>
      <c r="C11" s="245">
        <f>SUMPRODUCT((YEAR(OS)=2018)*(Nlgts_hors_rehab))</f>
        <v>270</v>
      </c>
      <c r="D11" s="311">
        <v>462</v>
      </c>
      <c r="E11" s="311">
        <v>0</v>
      </c>
      <c r="F11" s="318">
        <v>180</v>
      </c>
      <c r="G11" s="318">
        <v>180</v>
      </c>
      <c r="H11" s="312">
        <v>180</v>
      </c>
      <c r="I11" s="312">
        <v>0</v>
      </c>
      <c r="J11" s="789">
        <v>220</v>
      </c>
      <c r="K11" s="977">
        <f t="shared" ref="K11:K20" si="0">G11-J11</f>
        <v>-40</v>
      </c>
      <c r="L11" s="241"/>
      <c r="M11" s="241"/>
      <c r="N11" s="241"/>
      <c r="O11" s="241"/>
      <c r="P11" s="241"/>
      <c r="Q11" s="242"/>
    </row>
    <row r="12" spans="1:17" ht="15.75" thickBot="1">
      <c r="A12" s="315">
        <v>2019</v>
      </c>
      <c r="B12" s="316">
        <f>SUMPRODUCT((YEAR(OS)=2019)*Nlgts)</f>
        <v>570</v>
      </c>
      <c r="C12" s="316">
        <f>SUMPRODUCT((YEAR(OS)=2019)*(Nlgts_hors_rehab))</f>
        <v>355</v>
      </c>
      <c r="D12" s="317">
        <f>SUMIF(Annee_OS,SYNTHESE!A12,Nlgts)</f>
        <v>79</v>
      </c>
      <c r="E12" s="317">
        <f t="shared" ref="E12:E20" si="1">SUMIF(Annee_OS,A12,Nlgts_hors_rehab)</f>
        <v>45</v>
      </c>
      <c r="F12" s="319">
        <f>SUMPRODUCT((YEAR(Livraison)=2019)*(Nlgts))</f>
        <v>718</v>
      </c>
      <c r="G12" s="319">
        <f>SUMPRODUCT((YEAR(Livraison)=2019)*(Nlgts_hors_rehab))</f>
        <v>536</v>
      </c>
      <c r="H12" s="791">
        <f>SUMIF(Annee_Inaug,SYNTHESE!A12,Nlgts)</f>
        <v>153</v>
      </c>
      <c r="I12" s="791">
        <f>SUMIF(Annee_Inaug,SYNTHESE!A12,Nlgts_hors_rehab)</f>
        <v>153</v>
      </c>
      <c r="J12" s="790">
        <v>506</v>
      </c>
      <c r="K12" s="977">
        <f t="shared" si="0"/>
        <v>30</v>
      </c>
      <c r="L12" s="241"/>
      <c r="M12" s="241"/>
      <c r="N12" s="241"/>
      <c r="O12" s="241"/>
      <c r="P12" s="241"/>
      <c r="Q12" s="242"/>
    </row>
    <row r="13" spans="1:17">
      <c r="A13" s="246">
        <v>2020</v>
      </c>
      <c r="B13" s="245">
        <f>SUMPRODUCT((YEAR(OS)=2020)*Nlgts)</f>
        <v>291</v>
      </c>
      <c r="C13" s="245">
        <f>SUMPRODUCT((YEAR(OS)=2020)*(Nlgts_hors_rehab))</f>
        <v>291</v>
      </c>
      <c r="D13" s="311">
        <f>SUMIF(Annee_OS,SYNTHESE!A13,Nlgts)</f>
        <v>0</v>
      </c>
      <c r="E13" s="311">
        <f t="shared" si="1"/>
        <v>0</v>
      </c>
      <c r="F13" s="318">
        <f>SUMPRODUCT((YEAR(Livraison)=2020)*(Nlgts))</f>
        <v>356</v>
      </c>
      <c r="G13" s="318">
        <f>SUMPRODUCT((YEAR(Livraison)=2020)*(Nlgts_hors_rehab))</f>
        <v>141</v>
      </c>
      <c r="H13" s="312">
        <f>SUMIF(Annee_Inaug,SYNTHESE!A13,Nlgts)</f>
        <v>0</v>
      </c>
      <c r="I13" s="312">
        <f>SUMIF(Annee_Inaug,SYNTHESE!A13,Nlgts_hors_rehab)</f>
        <v>0</v>
      </c>
      <c r="J13" s="789">
        <v>226</v>
      </c>
      <c r="K13" s="977">
        <f t="shared" si="0"/>
        <v>-85</v>
      </c>
      <c r="L13" s="241"/>
      <c r="M13" s="241"/>
      <c r="N13" s="241"/>
      <c r="O13" s="241"/>
      <c r="P13" s="241"/>
      <c r="Q13" s="242"/>
    </row>
    <row r="14" spans="1:17">
      <c r="A14" s="246">
        <v>2021</v>
      </c>
      <c r="B14" s="245">
        <f>SUMPRODUCT((YEAR(OS)=2021)*Nlgts)</f>
        <v>949</v>
      </c>
      <c r="C14" s="245">
        <f>SUMPRODUCT((YEAR(OS)=2021)*(Nlgts_hors_rehab))</f>
        <v>706</v>
      </c>
      <c r="D14" s="311">
        <f>SUMIF(Annee_OS,SYNTHESE!A14,Nlgts)</f>
        <v>0</v>
      </c>
      <c r="E14" s="311">
        <f t="shared" si="1"/>
        <v>0</v>
      </c>
      <c r="F14" s="318">
        <f>SUMPRODUCT((YEAR(Livraison)=2021)*(Nlgts))</f>
        <v>249</v>
      </c>
      <c r="G14" s="318">
        <f>SUMPRODUCT((YEAR(Livraison)=2021)*(Nlgts_hors_rehab))</f>
        <v>249</v>
      </c>
      <c r="H14" s="312">
        <f>SUMIF(Annee_Inaug,SYNTHESE!A14,Nlgts)</f>
        <v>0</v>
      </c>
      <c r="I14" s="312">
        <f>SUMIF(Annee_Inaug,SYNTHESE!A14,Nlgts_hors_rehab)</f>
        <v>0</v>
      </c>
      <c r="J14" s="789">
        <v>247</v>
      </c>
      <c r="K14" s="977">
        <f t="shared" si="0"/>
        <v>2</v>
      </c>
      <c r="L14" s="241"/>
      <c r="M14" s="241"/>
      <c r="N14" s="241"/>
      <c r="O14" s="241"/>
      <c r="P14" s="241"/>
      <c r="Q14" s="242"/>
    </row>
    <row r="15" spans="1:17">
      <c r="A15" s="246">
        <v>2022</v>
      </c>
      <c r="B15" s="245">
        <f>SUMPRODUCT((YEAR(OS)=2022)*Nlgts)</f>
        <v>461</v>
      </c>
      <c r="C15" s="245">
        <f>SUMPRODUCT((YEAR(OS)=2022)*(Nlgts_hors_rehab))</f>
        <v>461</v>
      </c>
      <c r="D15" s="311">
        <f>SUMIF(Annee_OS,SYNTHESE!A15,Nlgts)</f>
        <v>0</v>
      </c>
      <c r="E15" s="311">
        <f t="shared" si="1"/>
        <v>0</v>
      </c>
      <c r="F15" s="318">
        <f>SUMPRODUCT((YEAR(Livraison)=2022)*(Nlgts))</f>
        <v>445</v>
      </c>
      <c r="G15" s="318">
        <f>SUMPRODUCT((YEAR(Livraison)=2022)*(Nlgts_hors_rehab))</f>
        <v>445</v>
      </c>
      <c r="H15" s="312">
        <f>SUMIF(Annee_Inaug,SYNTHESE!A15,Nlgts)</f>
        <v>0</v>
      </c>
      <c r="I15" s="312">
        <f>SUMIF(Annee_Inaug,SYNTHESE!A15,Nlgts_hors_rehab)</f>
        <v>0</v>
      </c>
      <c r="J15" s="789">
        <v>250</v>
      </c>
      <c r="K15" s="977">
        <f t="shared" si="0"/>
        <v>195</v>
      </c>
      <c r="L15" s="241"/>
      <c r="M15" s="241"/>
      <c r="N15" s="241"/>
      <c r="O15" s="241"/>
      <c r="P15" s="241"/>
      <c r="Q15" s="242"/>
    </row>
    <row r="16" spans="1:17">
      <c r="A16" s="246">
        <v>2023</v>
      </c>
      <c r="B16" s="245">
        <f>SUMPRODUCT((YEAR(OS)=2023)*Nlgts)</f>
        <v>945</v>
      </c>
      <c r="C16" s="245">
        <f>SUMPRODUCT((YEAR(OS)=2023)*(Nlgts_hors_rehab))</f>
        <v>945</v>
      </c>
      <c r="D16" s="311">
        <f>SUMIF(Annee_OS,SYNTHESE!A16,Nlgts)</f>
        <v>0</v>
      </c>
      <c r="E16" s="311">
        <f t="shared" si="1"/>
        <v>0</v>
      </c>
      <c r="F16" s="318">
        <f>SUMPRODUCT((YEAR(Livraison)=2023)*(Nlgts))</f>
        <v>371</v>
      </c>
      <c r="G16" s="318">
        <f>SUMPRODUCT((YEAR(Livraison)=2023)*(Nlgts_hors_rehab))</f>
        <v>371</v>
      </c>
      <c r="H16" s="312">
        <f>SUMIF(Annee_Inaug,SYNTHESE!A16,Nlgts)</f>
        <v>0</v>
      </c>
      <c r="I16" s="312">
        <f>SUMIF(Annee_Inaug,SYNTHESE!A16,Nlgts_hors_rehab)</f>
        <v>0</v>
      </c>
      <c r="J16" s="789">
        <v>250</v>
      </c>
      <c r="K16" s="977">
        <f t="shared" si="0"/>
        <v>121</v>
      </c>
      <c r="L16" s="241"/>
      <c r="M16" s="241"/>
      <c r="N16" s="241"/>
      <c r="O16" s="241"/>
      <c r="P16" s="241"/>
      <c r="Q16" s="242"/>
    </row>
    <row r="17" spans="1:17">
      <c r="A17" s="246">
        <v>2024</v>
      </c>
      <c r="B17" s="245">
        <f>SUMPRODUCT((YEAR(OS)=2024)*Nlgts)</f>
        <v>0</v>
      </c>
      <c r="C17" s="245">
        <f>SUMPRODUCT((YEAR(OS)=2024)*(Nlgts_hors_rehab))</f>
        <v>0</v>
      </c>
      <c r="D17" s="311">
        <f>SUMIF(Annee_OS,SYNTHESE!A17,Nlgts)</f>
        <v>0</v>
      </c>
      <c r="E17" s="311">
        <f t="shared" si="1"/>
        <v>0</v>
      </c>
      <c r="F17" s="318">
        <f>SUMPRODUCT((YEAR(Livraison)=2024)*(Nlgts))</f>
        <v>422</v>
      </c>
      <c r="G17" s="318">
        <f>SUMPRODUCT((YEAR(Livraison)=2024)*(Nlgts_hors_rehab))</f>
        <v>179</v>
      </c>
      <c r="H17" s="312">
        <f>SUMIF(Annee_Inaug,SYNTHESE!A17,Nlgts)</f>
        <v>0</v>
      </c>
      <c r="I17" s="312">
        <f>SUMIF(Annee_Inaug,SYNTHESE!A17,Nlgts_hors_rehab)</f>
        <v>0</v>
      </c>
      <c r="J17" s="789">
        <v>250</v>
      </c>
      <c r="K17" s="977">
        <f t="shared" si="0"/>
        <v>-71</v>
      </c>
      <c r="L17" s="241"/>
      <c r="M17" s="241"/>
      <c r="N17" s="241"/>
      <c r="O17" s="241"/>
      <c r="P17" s="241"/>
      <c r="Q17" s="242"/>
    </row>
    <row r="18" spans="1:17">
      <c r="A18" s="246">
        <v>2025</v>
      </c>
      <c r="B18" s="245">
        <f>SUMPRODUCT((YEAR(OS)=2025)*Nlgts)</f>
        <v>0</v>
      </c>
      <c r="C18" s="245">
        <f>SUMPRODUCT((YEAR(OS)=2025)*(Nlgts_hors_rehab))</f>
        <v>0</v>
      </c>
      <c r="D18" s="311">
        <f>SUMIF(Annee_OS,SYNTHESE!A18,Nlgts)</f>
        <v>0</v>
      </c>
      <c r="E18" s="311">
        <f t="shared" si="1"/>
        <v>0</v>
      </c>
      <c r="F18" s="318">
        <f>SUMPRODUCT((YEAR(Livraison)=2025)*(Nlgts))</f>
        <v>0</v>
      </c>
      <c r="G18" s="318">
        <f>SUMPRODUCT((YEAR(Livraison)=2025)*(Nlgts_hors_rehab))</f>
        <v>0</v>
      </c>
      <c r="H18" s="312">
        <f>SUMIF(Annee_Inaug,SYNTHESE!A18,Nlgts)</f>
        <v>0</v>
      </c>
      <c r="I18" s="312">
        <f>SUMIF(Annee_Inaug,SYNTHESE!A18,Nlgts_hors_rehab)</f>
        <v>0</v>
      </c>
      <c r="J18" s="789">
        <v>250</v>
      </c>
      <c r="K18" s="977">
        <f t="shared" si="0"/>
        <v>-250</v>
      </c>
      <c r="L18" s="241"/>
      <c r="M18" s="241"/>
      <c r="N18" s="241"/>
      <c r="O18" s="241"/>
      <c r="P18" s="241"/>
      <c r="Q18" s="242"/>
    </row>
    <row r="19" spans="1:17">
      <c r="A19" s="246">
        <v>2026</v>
      </c>
      <c r="B19" s="245">
        <f>SUMPRODUCT((YEAR(OS)=2026)*Nlgts)</f>
        <v>0</v>
      </c>
      <c r="C19" s="245">
        <f>SUMPRODUCT((YEAR(OS)=2026)*(Nlgts_hors_rehab))</f>
        <v>0</v>
      </c>
      <c r="D19" s="311">
        <f>SUMIF(Annee_OS,SYNTHESE!A19,Nlgts)</f>
        <v>0</v>
      </c>
      <c r="E19" s="311">
        <f t="shared" si="1"/>
        <v>0</v>
      </c>
      <c r="F19" s="318">
        <f>SUMPRODUCT((YEAR(Livraison)=2026)*(Nlgts))</f>
        <v>365</v>
      </c>
      <c r="G19" s="318">
        <f>SUMPRODUCT((YEAR(Livraison)=2026)*(Nlgts_hors_rehab))</f>
        <v>365</v>
      </c>
      <c r="H19" s="312">
        <f>SUMIF(Annee_Inaug,SYNTHESE!A19,Nlgts)</f>
        <v>0</v>
      </c>
      <c r="I19" s="312">
        <f>SUMIF(Annee_Inaug,SYNTHESE!A19,Nlgts_hors_rehab)</f>
        <v>0</v>
      </c>
      <c r="J19" s="789">
        <v>250</v>
      </c>
      <c r="K19" s="977">
        <f t="shared" si="0"/>
        <v>115</v>
      </c>
      <c r="L19" s="241"/>
      <c r="M19" s="241"/>
      <c r="N19" s="241"/>
      <c r="O19" s="241"/>
      <c r="P19" s="241"/>
      <c r="Q19" s="242"/>
    </row>
    <row r="20" spans="1:17">
      <c r="A20" s="246">
        <v>2027</v>
      </c>
      <c r="B20" s="245">
        <f>SUMPRODUCT((YEAR(OS)=2027)*Nlgts)</f>
        <v>0</v>
      </c>
      <c r="C20" s="245">
        <f>SUMPRODUCT((YEAR(OS)=2027)*(Nlgts_hors_rehab))</f>
        <v>0</v>
      </c>
      <c r="D20" s="311">
        <f>SUMIF(Annee_OS,SYNTHESE!A20,Nlgts)</f>
        <v>0</v>
      </c>
      <c r="E20" s="311">
        <f t="shared" si="1"/>
        <v>0</v>
      </c>
      <c r="F20" s="318">
        <f>SUMPRODUCT((YEAR(Livraison)=2027)*(Nlgts))</f>
        <v>90</v>
      </c>
      <c r="G20" s="318">
        <f>SUMPRODUCT((YEAR(Livraison)=2027)*(Nlgts_hors_rehab))</f>
        <v>90</v>
      </c>
      <c r="H20" s="312">
        <f>SUMIF(Annee_Inaug,SYNTHESE!A20,Nlgts)</f>
        <v>0</v>
      </c>
      <c r="I20" s="312">
        <f>SUMIF(Annee_Inaug,SYNTHESE!A20,Nlgts_hors_rehab)</f>
        <v>0</v>
      </c>
      <c r="J20" s="789">
        <v>250</v>
      </c>
      <c r="K20" s="977">
        <f t="shared" si="0"/>
        <v>-160</v>
      </c>
      <c r="L20" s="241"/>
      <c r="M20" s="241"/>
      <c r="N20" s="241"/>
      <c r="O20" s="241"/>
      <c r="P20" s="241"/>
      <c r="Q20" s="242"/>
    </row>
    <row r="21" spans="1:17">
      <c r="A21" s="243"/>
      <c r="B21" s="247">
        <f t="shared" ref="B21:I21" si="2">SUM(B4:B13)</f>
        <v>2943</v>
      </c>
      <c r="C21" s="247"/>
      <c r="D21" s="313">
        <f t="shared" si="2"/>
        <v>2161</v>
      </c>
      <c r="E21" s="313"/>
      <c r="F21" s="248">
        <f>SUM(F4:F13)</f>
        <v>2311</v>
      </c>
      <c r="G21" s="248">
        <f t="shared" si="2"/>
        <v>1914</v>
      </c>
      <c r="H21" s="314">
        <f t="shared" si="2"/>
        <v>1390</v>
      </c>
      <c r="I21" s="314">
        <f t="shared" si="2"/>
        <v>153</v>
      </c>
      <c r="J21" s="789"/>
      <c r="K21" s="977"/>
      <c r="L21" s="241"/>
      <c r="M21" s="241"/>
      <c r="N21" s="241"/>
      <c r="O21" s="241"/>
      <c r="P21" s="241"/>
      <c r="Q21" s="242"/>
    </row>
    <row r="22" spans="1:17">
      <c r="A22" s="243"/>
      <c r="B22" s="241"/>
      <c r="C22" s="241"/>
      <c r="D22" s="241"/>
      <c r="E22" s="241"/>
      <c r="F22" s="241"/>
      <c r="G22" s="241"/>
      <c r="H22" s="241"/>
      <c r="I22" s="241"/>
      <c r="J22" s="241"/>
      <c r="K22" s="241"/>
      <c r="L22" s="241"/>
      <c r="M22" s="241"/>
      <c r="N22" s="242"/>
    </row>
    <row r="23" spans="1:17" ht="15.75" thickBot="1">
      <c r="A23" s="243"/>
      <c r="B23" s="241"/>
      <c r="C23" s="241"/>
      <c r="D23" s="241"/>
      <c r="E23" s="241"/>
      <c r="F23" s="241"/>
      <c r="G23" s="241"/>
      <c r="H23" s="241"/>
      <c r="I23" s="241"/>
      <c r="J23" s="241"/>
      <c r="K23" s="241"/>
      <c r="L23" s="241"/>
      <c r="M23" s="241"/>
      <c r="N23" s="242"/>
    </row>
    <row r="24" spans="1:17" ht="30.75" thickBot="1">
      <c r="A24" s="406" t="s">
        <v>629</v>
      </c>
      <c r="B24" s="404">
        <v>2010</v>
      </c>
      <c r="C24" s="22">
        <v>2011</v>
      </c>
      <c r="D24" s="22">
        <v>2012</v>
      </c>
      <c r="E24" s="22">
        <v>2013</v>
      </c>
      <c r="F24" s="405">
        <v>2014</v>
      </c>
      <c r="G24" s="405">
        <v>2015</v>
      </c>
      <c r="H24" s="405">
        <v>2016</v>
      </c>
      <c r="I24" s="405">
        <v>2017</v>
      </c>
      <c r="J24" s="405">
        <v>2018</v>
      </c>
      <c r="K24" s="405">
        <v>2019</v>
      </c>
      <c r="L24" s="241"/>
      <c r="M24" s="242"/>
    </row>
    <row r="25" spans="1:17">
      <c r="A25" s="581">
        <v>2011</v>
      </c>
      <c r="B25" s="384">
        <v>27</v>
      </c>
      <c r="C25" s="407">
        <v>100</v>
      </c>
      <c r="D25" s="412">
        <v>0</v>
      </c>
      <c r="E25" s="412">
        <v>0</v>
      </c>
      <c r="F25" s="412">
        <v>0</v>
      </c>
      <c r="G25" s="412">
        <v>0</v>
      </c>
      <c r="H25" s="412">
        <f t="shared" ref="H25:H34" si="3">SUMPRODUCT(((Prog=$H$24)*Nlgts)*(YEAR(OS)=A25))</f>
        <v>0</v>
      </c>
      <c r="I25" s="412">
        <f t="shared" ref="I25:I34" si="4">SUMPRODUCT(((Prog=$I$24)*Nlgts)*(YEAR(OS)=A25))</f>
        <v>0</v>
      </c>
      <c r="J25" s="412">
        <f t="shared" ref="J25:J34" si="5">SUMPRODUCT(((Prog=$J$24)*Nlgts)*(YEAR(OS)=A25))</f>
        <v>0</v>
      </c>
      <c r="K25" s="412">
        <f t="shared" ref="K25:K34" si="6">SUMPRODUCT(((Prog=$K$24)*Nlgts)*(YEAR(OS)=A25))</f>
        <v>0</v>
      </c>
      <c r="L25" s="241"/>
      <c r="M25" s="242"/>
    </row>
    <row r="26" spans="1:17">
      <c r="A26" s="580">
        <v>2012</v>
      </c>
      <c r="B26" s="385">
        <v>30</v>
      </c>
      <c r="C26" s="408">
        <v>34</v>
      </c>
      <c r="D26" s="410">
        <v>0</v>
      </c>
      <c r="E26" s="410">
        <v>0</v>
      </c>
      <c r="F26" s="410">
        <v>0</v>
      </c>
      <c r="G26" s="410">
        <v>0</v>
      </c>
      <c r="H26" s="410">
        <f t="shared" si="3"/>
        <v>0</v>
      </c>
      <c r="I26" s="410">
        <f t="shared" si="4"/>
        <v>0</v>
      </c>
      <c r="J26" s="410">
        <f t="shared" si="5"/>
        <v>0</v>
      </c>
      <c r="K26" s="410">
        <f t="shared" si="6"/>
        <v>0</v>
      </c>
      <c r="L26" s="241"/>
      <c r="M26" s="242"/>
    </row>
    <row r="27" spans="1:17">
      <c r="A27" s="580">
        <v>2013</v>
      </c>
      <c r="B27" s="401">
        <v>0</v>
      </c>
      <c r="C27" s="410">
        <v>0</v>
      </c>
      <c r="D27" s="408">
        <v>400</v>
      </c>
      <c r="E27" s="410">
        <v>0</v>
      </c>
      <c r="F27" s="410">
        <v>0</v>
      </c>
      <c r="G27" s="410">
        <v>0</v>
      </c>
      <c r="H27" s="410">
        <f t="shared" si="3"/>
        <v>0</v>
      </c>
      <c r="I27" s="410">
        <f t="shared" si="4"/>
        <v>0</v>
      </c>
      <c r="J27" s="410">
        <f t="shared" si="5"/>
        <v>0</v>
      </c>
      <c r="K27" s="410">
        <f t="shared" si="6"/>
        <v>0</v>
      </c>
      <c r="L27" s="241">
        <f>2325000/17</f>
        <v>136764.70588235295</v>
      </c>
      <c r="M27" s="242"/>
    </row>
    <row r="28" spans="1:17">
      <c r="A28" s="580">
        <v>2014</v>
      </c>
      <c r="B28" s="401">
        <v>0</v>
      </c>
      <c r="C28" s="410">
        <v>0</v>
      </c>
      <c r="D28" s="410">
        <v>0</v>
      </c>
      <c r="E28" s="408">
        <v>278</v>
      </c>
      <c r="F28" s="410">
        <v>0</v>
      </c>
      <c r="G28" s="410">
        <v>0</v>
      </c>
      <c r="H28" s="410">
        <f t="shared" si="3"/>
        <v>0</v>
      </c>
      <c r="I28" s="410">
        <f t="shared" si="4"/>
        <v>0</v>
      </c>
      <c r="J28" s="410">
        <f t="shared" si="5"/>
        <v>0</v>
      </c>
      <c r="K28" s="410">
        <f t="shared" si="6"/>
        <v>0</v>
      </c>
      <c r="L28" s="241"/>
      <c r="M28" s="242"/>
    </row>
    <row r="29" spans="1:17">
      <c r="A29" s="580">
        <v>2015</v>
      </c>
      <c r="B29" s="401">
        <v>0</v>
      </c>
      <c r="C29" s="410">
        <v>0</v>
      </c>
      <c r="D29" s="410">
        <v>0</v>
      </c>
      <c r="E29" s="408">
        <v>125</v>
      </c>
      <c r="F29" s="408">
        <v>97</v>
      </c>
      <c r="G29" s="410">
        <v>0</v>
      </c>
      <c r="H29" s="410">
        <f t="shared" si="3"/>
        <v>0</v>
      </c>
      <c r="I29" s="410">
        <f t="shared" si="4"/>
        <v>0</v>
      </c>
      <c r="J29" s="410">
        <f t="shared" si="5"/>
        <v>0</v>
      </c>
      <c r="K29" s="410">
        <f t="shared" si="6"/>
        <v>0</v>
      </c>
      <c r="L29" s="241"/>
      <c r="M29" s="242"/>
    </row>
    <row r="30" spans="1:17">
      <c r="A30" s="580">
        <v>2016</v>
      </c>
      <c r="B30" s="401">
        <v>0</v>
      </c>
      <c r="C30" s="410">
        <v>0</v>
      </c>
      <c r="D30" s="410">
        <v>0</v>
      </c>
      <c r="E30" s="410">
        <v>0</v>
      </c>
      <c r="F30" s="408">
        <v>25</v>
      </c>
      <c r="G30" s="410">
        <v>0</v>
      </c>
      <c r="H30" s="408">
        <f t="shared" si="3"/>
        <v>23</v>
      </c>
      <c r="I30" s="410">
        <f t="shared" si="4"/>
        <v>0</v>
      </c>
      <c r="J30" s="410">
        <f t="shared" si="5"/>
        <v>0</v>
      </c>
      <c r="K30" s="410">
        <f t="shared" si="6"/>
        <v>0</v>
      </c>
      <c r="L30" s="241"/>
      <c r="M30" s="242"/>
    </row>
    <row r="31" spans="1:17">
      <c r="A31" s="580">
        <v>2017</v>
      </c>
      <c r="B31" s="401">
        <v>0</v>
      </c>
      <c r="C31" s="410">
        <v>0</v>
      </c>
      <c r="D31" s="410">
        <v>0</v>
      </c>
      <c r="E31" s="410">
        <v>0</v>
      </c>
      <c r="F31" s="408">
        <v>51</v>
      </c>
      <c r="G31" s="408">
        <v>170</v>
      </c>
      <c r="H31" s="408">
        <f t="shared" si="3"/>
        <v>30</v>
      </c>
      <c r="I31" s="408">
        <f t="shared" si="4"/>
        <v>230</v>
      </c>
      <c r="J31" s="410">
        <f t="shared" si="5"/>
        <v>0</v>
      </c>
      <c r="K31" s="410">
        <f t="shared" si="6"/>
        <v>0</v>
      </c>
      <c r="L31" s="241"/>
      <c r="M31" s="242"/>
    </row>
    <row r="32" spans="1:17">
      <c r="A32" s="400">
        <v>2018</v>
      </c>
      <c r="B32" s="401">
        <v>0</v>
      </c>
      <c r="C32" s="410">
        <v>0</v>
      </c>
      <c r="D32" s="410">
        <v>0</v>
      </c>
      <c r="E32" s="410">
        <v>0</v>
      </c>
      <c r="F32" s="410">
        <v>0</v>
      </c>
      <c r="G32" s="542">
        <v>38</v>
      </c>
      <c r="H32" s="408">
        <f t="shared" si="3"/>
        <v>132</v>
      </c>
      <c r="I32" s="408">
        <f t="shared" si="4"/>
        <v>192</v>
      </c>
      <c r="J32" s="408">
        <f t="shared" si="5"/>
        <v>100</v>
      </c>
      <c r="K32" s="408">
        <f t="shared" si="6"/>
        <v>0</v>
      </c>
      <c r="L32" s="241">
        <f>170-89</f>
        <v>81</v>
      </c>
      <c r="M32" s="242">
        <f>100/490</f>
        <v>0.20408163265306123</v>
      </c>
    </row>
    <row r="33" spans="1:13">
      <c r="A33" s="400">
        <v>2019</v>
      </c>
      <c r="B33" s="401"/>
      <c r="C33" s="410"/>
      <c r="D33" s="410"/>
      <c r="E33" s="410"/>
      <c r="F33" s="410"/>
      <c r="G33" s="410">
        <v>0</v>
      </c>
      <c r="H33" s="542">
        <f t="shared" si="3"/>
        <v>88</v>
      </c>
      <c r="I33" s="542">
        <f t="shared" si="4"/>
        <v>155</v>
      </c>
      <c r="J33" s="408">
        <f t="shared" si="5"/>
        <v>327</v>
      </c>
      <c r="K33" s="408">
        <f t="shared" si="6"/>
        <v>0</v>
      </c>
      <c r="L33" s="241"/>
      <c r="M33" s="242"/>
    </row>
    <row r="34" spans="1:13" ht="15.75" thickBot="1">
      <c r="A34" s="402">
        <v>2020</v>
      </c>
      <c r="B34" s="403"/>
      <c r="C34" s="411"/>
      <c r="D34" s="411"/>
      <c r="E34" s="411"/>
      <c r="F34" s="411"/>
      <c r="G34" s="411">
        <v>0</v>
      </c>
      <c r="H34" s="411">
        <f t="shared" si="3"/>
        <v>0</v>
      </c>
      <c r="I34" s="411">
        <f t="shared" si="4"/>
        <v>0</v>
      </c>
      <c r="J34" s="409">
        <f t="shared" si="5"/>
        <v>0</v>
      </c>
      <c r="K34" s="409">
        <f t="shared" si="6"/>
        <v>260</v>
      </c>
      <c r="L34" s="241"/>
      <c r="M34" s="242"/>
    </row>
    <row r="35" spans="1:13" ht="15.75" thickBot="1">
      <c r="A35" s="539"/>
      <c r="B35" s="540"/>
      <c r="C35" s="541"/>
      <c r="D35" s="541"/>
      <c r="E35" s="541"/>
      <c r="F35" s="541"/>
      <c r="G35" s="541"/>
      <c r="H35" s="541"/>
      <c r="I35" s="541"/>
      <c r="J35" s="241"/>
      <c r="K35" s="241"/>
      <c r="L35" s="241"/>
      <c r="M35" s="242"/>
    </row>
    <row r="36" spans="1:13" s="6" customFormat="1" ht="30.75" thickBot="1">
      <c r="A36" s="406" t="s">
        <v>630</v>
      </c>
      <c r="B36" s="404">
        <v>2010</v>
      </c>
      <c r="C36" s="22">
        <v>2011</v>
      </c>
      <c r="D36" s="22">
        <v>2012</v>
      </c>
      <c r="E36" s="22">
        <v>2013</v>
      </c>
      <c r="F36" s="405">
        <v>2014</v>
      </c>
      <c r="G36" s="405">
        <v>2015</v>
      </c>
      <c r="H36" s="405">
        <v>2016</v>
      </c>
      <c r="I36" s="405">
        <v>2017</v>
      </c>
      <c r="J36" s="405">
        <v>2018</v>
      </c>
      <c r="K36" s="405">
        <v>2019</v>
      </c>
      <c r="L36" s="394"/>
      <c r="M36" s="395"/>
    </row>
    <row r="37" spans="1:13">
      <c r="A37" s="580">
        <v>2013</v>
      </c>
      <c r="B37" s="385">
        <v>27</v>
      </c>
      <c r="C37" s="385">
        <v>43</v>
      </c>
      <c r="D37" s="401">
        <v>0</v>
      </c>
      <c r="E37" s="401">
        <v>0</v>
      </c>
      <c r="F37" s="401">
        <v>0</v>
      </c>
      <c r="G37" s="401">
        <v>0</v>
      </c>
      <c r="H37" s="401">
        <v>0</v>
      </c>
      <c r="I37" s="401">
        <v>0</v>
      </c>
      <c r="J37" s="401">
        <v>0</v>
      </c>
      <c r="K37" s="401">
        <v>0</v>
      </c>
      <c r="L37" s="241"/>
      <c r="M37" s="242"/>
    </row>
    <row r="38" spans="1:13">
      <c r="A38" s="580">
        <v>2014</v>
      </c>
      <c r="B38" s="385">
        <v>30</v>
      </c>
      <c r="C38" s="385">
        <v>91</v>
      </c>
      <c r="D38" s="385">
        <v>105</v>
      </c>
      <c r="E38" s="401">
        <v>0</v>
      </c>
      <c r="F38" s="401">
        <v>0</v>
      </c>
      <c r="G38" s="401">
        <v>0</v>
      </c>
      <c r="H38" s="401">
        <v>0</v>
      </c>
      <c r="I38" s="401">
        <v>0</v>
      </c>
      <c r="J38" s="401">
        <v>0</v>
      </c>
      <c r="K38" s="401">
        <v>0</v>
      </c>
      <c r="L38" s="241"/>
      <c r="M38" s="242"/>
    </row>
    <row r="39" spans="1:13">
      <c r="A39" s="580">
        <v>2015</v>
      </c>
      <c r="B39" s="401">
        <v>0</v>
      </c>
      <c r="C39" s="401">
        <v>0</v>
      </c>
      <c r="D39" s="385">
        <v>167</v>
      </c>
      <c r="E39" s="385">
        <v>14</v>
      </c>
      <c r="F39" s="401">
        <v>0</v>
      </c>
      <c r="G39" s="401">
        <v>0</v>
      </c>
      <c r="H39" s="401">
        <v>0</v>
      </c>
      <c r="I39" s="401">
        <v>0</v>
      </c>
      <c r="J39" s="401">
        <v>0</v>
      </c>
      <c r="K39" s="401">
        <v>0</v>
      </c>
      <c r="L39" s="241"/>
      <c r="M39" s="242"/>
    </row>
    <row r="40" spans="1:13">
      <c r="A40" s="580">
        <v>2016</v>
      </c>
      <c r="B40" s="401">
        <v>0</v>
      </c>
      <c r="C40" s="401">
        <v>0</v>
      </c>
      <c r="D40" s="385">
        <v>63</v>
      </c>
      <c r="E40" s="385">
        <v>134</v>
      </c>
      <c r="F40" s="385">
        <v>47</v>
      </c>
      <c r="G40" s="401">
        <v>0</v>
      </c>
      <c r="H40" s="401">
        <v>0</v>
      </c>
      <c r="I40" s="401">
        <v>0</v>
      </c>
      <c r="J40" s="401">
        <v>0</v>
      </c>
      <c r="K40" s="401">
        <v>0</v>
      </c>
      <c r="L40" s="241"/>
      <c r="M40" s="242"/>
    </row>
    <row r="41" spans="1:13">
      <c r="A41" s="580">
        <v>2017</v>
      </c>
      <c r="B41" s="401">
        <v>0</v>
      </c>
      <c r="C41" s="401">
        <v>0</v>
      </c>
      <c r="D41" s="385">
        <v>65</v>
      </c>
      <c r="E41" s="385">
        <v>255</v>
      </c>
      <c r="F41" s="385">
        <v>16</v>
      </c>
      <c r="G41" s="401">
        <v>0</v>
      </c>
      <c r="H41" s="401">
        <v>0</v>
      </c>
      <c r="I41" s="401">
        <v>0</v>
      </c>
      <c r="J41" s="401">
        <v>0</v>
      </c>
      <c r="K41" s="401">
        <v>0</v>
      </c>
      <c r="L41" s="241"/>
      <c r="M41" s="242"/>
    </row>
    <row r="42" spans="1:13">
      <c r="A42" s="400">
        <v>2018</v>
      </c>
      <c r="B42" s="401">
        <v>0</v>
      </c>
      <c r="C42" s="401">
        <v>0</v>
      </c>
      <c r="D42" s="401">
        <v>0</v>
      </c>
      <c r="E42" s="401">
        <v>0</v>
      </c>
      <c r="F42" s="385">
        <v>89</v>
      </c>
      <c r="G42" s="385">
        <f t="shared" ref="G42:G45" si="7">SUMPRODUCT(((Prog=$G$36)*Nlgts)*(YEAR(Livraison)=A42))</f>
        <v>38</v>
      </c>
      <c r="H42" s="385">
        <f t="shared" ref="H42:H45" si="8">SUMPRODUCT(((Prog=$H$36)*Nlgts)*(YEAR(Livraison)=A42))</f>
        <v>53</v>
      </c>
      <c r="I42" s="401">
        <v>0</v>
      </c>
      <c r="J42" s="401">
        <v>0</v>
      </c>
      <c r="K42" s="401">
        <v>0</v>
      </c>
      <c r="L42" s="241"/>
      <c r="M42" s="242"/>
    </row>
    <row r="43" spans="1:13">
      <c r="A43" s="400">
        <v>2019</v>
      </c>
      <c r="B43" s="401">
        <v>0</v>
      </c>
      <c r="C43" s="401">
        <v>0</v>
      </c>
      <c r="D43" s="401">
        <v>0</v>
      </c>
      <c r="E43" s="401">
        <v>0</v>
      </c>
      <c r="F43" s="385">
        <v>21</v>
      </c>
      <c r="G43" s="385">
        <f t="shared" si="7"/>
        <v>150</v>
      </c>
      <c r="H43" s="385">
        <f t="shared" si="8"/>
        <v>35</v>
      </c>
      <c r="I43" s="385">
        <f t="shared" ref="I43:I45" si="9">SUMPRODUCT(((Prog=$I$36)*Nlgts)*(YEAR(Livraison)=A43))</f>
        <v>412</v>
      </c>
      <c r="J43" s="385">
        <f t="shared" ref="J43:J45" si="10">SUMPRODUCT(((Prog=$J$36)*Nlgts)*(YEAR(Livraison)=A43))</f>
        <v>100</v>
      </c>
      <c r="K43" s="385">
        <f t="shared" ref="K43:K45" si="11">SUMPRODUCT(((Prog=$K$36)*Nlgts)*(YEAR(Livraison)=A43))</f>
        <v>0</v>
      </c>
      <c r="L43" s="241"/>
      <c r="M43" s="242"/>
    </row>
    <row r="44" spans="1:13">
      <c r="A44" s="400">
        <v>2020</v>
      </c>
      <c r="B44" s="401"/>
      <c r="C44" s="401"/>
      <c r="D44" s="401"/>
      <c r="E44" s="401"/>
      <c r="F44" s="401">
        <v>0</v>
      </c>
      <c r="G44" s="815">
        <f t="shared" si="7"/>
        <v>20</v>
      </c>
      <c r="H44" s="385">
        <f t="shared" si="8"/>
        <v>97</v>
      </c>
      <c r="I44" s="385">
        <f t="shared" si="9"/>
        <v>24</v>
      </c>
      <c r="J44" s="385">
        <f t="shared" si="10"/>
        <v>215</v>
      </c>
      <c r="K44" s="385">
        <f t="shared" si="11"/>
        <v>0</v>
      </c>
      <c r="L44" s="241"/>
      <c r="M44" s="242"/>
    </row>
    <row r="45" spans="1:13" ht="15.75" thickBot="1">
      <c r="A45" s="402">
        <v>2021</v>
      </c>
      <c r="B45" s="403"/>
      <c r="C45" s="403"/>
      <c r="D45" s="403"/>
      <c r="E45" s="403"/>
      <c r="F45" s="403">
        <v>0</v>
      </c>
      <c r="G45" s="403">
        <f t="shared" si="7"/>
        <v>0</v>
      </c>
      <c r="H45" s="816">
        <f t="shared" si="8"/>
        <v>88</v>
      </c>
      <c r="I45" s="816">
        <f t="shared" si="9"/>
        <v>47</v>
      </c>
      <c r="J45" s="386">
        <f t="shared" si="10"/>
        <v>56</v>
      </c>
      <c r="K45" s="386">
        <f t="shared" si="11"/>
        <v>58</v>
      </c>
      <c r="L45" s="241"/>
      <c r="M45" s="242"/>
    </row>
    <row r="46" spans="1:13" ht="15.75" thickBot="1">
      <c r="A46" s="243"/>
      <c r="B46" s="241"/>
      <c r="C46" s="241"/>
      <c r="D46" s="241"/>
      <c r="E46" s="241"/>
      <c r="F46" s="241"/>
      <c r="G46" s="241"/>
      <c r="H46" s="241"/>
      <c r="I46" s="241"/>
      <c r="J46" s="241"/>
      <c r="K46" s="241"/>
      <c r="L46" s="241"/>
      <c r="M46" s="242"/>
    </row>
    <row r="47" spans="1:13">
      <c r="A47" s="379" t="s">
        <v>861</v>
      </c>
      <c r="B47" s="380"/>
      <c r="C47" s="380"/>
      <c r="D47" s="252"/>
      <c r="E47" s="252"/>
      <c r="F47" s="252"/>
      <c r="G47" s="252"/>
      <c r="H47" s="252"/>
      <c r="I47" s="252"/>
      <c r="J47" s="252"/>
      <c r="K47" s="252"/>
      <c r="L47" s="252"/>
      <c r="M47" s="252"/>
    </row>
    <row r="48" spans="1:13" ht="15.75" thickBot="1">
      <c r="A48" s="243"/>
      <c r="B48" s="241"/>
      <c r="C48" s="241"/>
      <c r="D48" s="241"/>
      <c r="E48" s="241"/>
      <c r="F48" s="241"/>
      <c r="G48" s="241"/>
      <c r="H48" s="241"/>
      <c r="I48" s="241"/>
      <c r="J48" s="241"/>
      <c r="K48" s="241"/>
      <c r="L48" s="241"/>
      <c r="M48" s="242"/>
    </row>
    <row r="49" spans="1:13" ht="30.75" thickBot="1">
      <c r="A49" s="5"/>
      <c r="B49" s="795" t="s">
        <v>466</v>
      </c>
      <c r="C49" s="795" t="s">
        <v>469</v>
      </c>
      <c r="D49" s="241"/>
      <c r="E49" s="241"/>
      <c r="F49" s="241"/>
      <c r="G49" s="241"/>
      <c r="H49" s="241"/>
      <c r="I49" s="241"/>
      <c r="J49" s="241"/>
      <c r="K49" s="241"/>
      <c r="L49" s="241"/>
      <c r="M49" s="242"/>
    </row>
    <row r="50" spans="1:13">
      <c r="A50" s="582">
        <v>2010</v>
      </c>
      <c r="B50" s="382">
        <f t="shared" ref="B50:B59" si="12">SUMPRODUCT((Prog=A50)*(Ecart_DEAL_OS))/SUMPRODUCT(N(Prog=A50))</f>
        <v>11.4</v>
      </c>
      <c r="C50" s="382" t="e">
        <f t="shared" ref="C50:C59" si="13">SUMPRODUCT((YEAR(OS)=A50)*(Ecart_DEAL_OS))/SUMPRODUCT(N(YEAR(OS)=A50))</f>
        <v>#DIV/0!</v>
      </c>
      <c r="D50" s="241"/>
      <c r="E50" s="241"/>
      <c r="F50" s="241"/>
      <c r="G50" s="241"/>
      <c r="H50" s="241"/>
      <c r="I50" s="241"/>
      <c r="J50" s="241"/>
      <c r="K50" s="241"/>
      <c r="L50" s="241"/>
      <c r="M50" s="242"/>
    </row>
    <row r="51" spans="1:13">
      <c r="A51" s="583">
        <v>2011</v>
      </c>
      <c r="B51" s="382">
        <f t="shared" si="12"/>
        <v>5.7285714285714278</v>
      </c>
      <c r="C51" s="382">
        <f t="shared" si="13"/>
        <v>6.1266666666666669</v>
      </c>
      <c r="D51" s="241"/>
      <c r="E51" s="241"/>
      <c r="F51" s="241"/>
      <c r="G51" s="241"/>
      <c r="H51" s="241"/>
      <c r="I51" s="241"/>
      <c r="J51" s="241"/>
      <c r="K51" s="241"/>
      <c r="L51" s="241"/>
      <c r="M51" s="242"/>
    </row>
    <row r="52" spans="1:13">
      <c r="A52" s="583">
        <v>2012</v>
      </c>
      <c r="B52" s="382">
        <f t="shared" si="12"/>
        <v>7.5333333333333341</v>
      </c>
      <c r="C52" s="382">
        <f t="shared" si="13"/>
        <v>8.0666666666666664</v>
      </c>
      <c r="D52" s="241"/>
      <c r="E52" s="241"/>
      <c r="F52" s="241"/>
      <c r="G52" s="241"/>
      <c r="H52" s="241"/>
      <c r="I52" s="241"/>
      <c r="J52" s="241"/>
      <c r="K52" s="241"/>
      <c r="L52" s="241"/>
      <c r="M52" s="242"/>
    </row>
    <row r="53" spans="1:13">
      <c r="A53" s="583">
        <v>2013</v>
      </c>
      <c r="B53" s="382">
        <f t="shared" si="12"/>
        <v>13.747222222222222</v>
      </c>
      <c r="C53" s="382">
        <f t="shared" si="13"/>
        <v>7.5333333333333341</v>
      </c>
      <c r="D53" s="241"/>
      <c r="E53" s="241"/>
      <c r="F53" s="241"/>
      <c r="G53" s="241"/>
      <c r="H53" s="241"/>
      <c r="I53" s="241"/>
      <c r="J53" s="241"/>
      <c r="K53" s="241"/>
      <c r="L53" s="241"/>
      <c r="M53" s="242"/>
    </row>
    <row r="54" spans="1:13">
      <c r="A54" s="583">
        <v>2014</v>
      </c>
      <c r="B54" s="382">
        <f t="shared" si="12"/>
        <v>22.016666666666666</v>
      </c>
      <c r="C54" s="382">
        <f t="shared" si="13"/>
        <v>10.674074074074072</v>
      </c>
      <c r="D54" s="241"/>
      <c r="E54" s="241"/>
      <c r="F54" s="241"/>
      <c r="G54" s="241"/>
      <c r="H54" s="241"/>
      <c r="I54" s="241"/>
      <c r="J54" s="241"/>
      <c r="K54" s="241"/>
      <c r="L54" s="241"/>
      <c r="M54" s="242"/>
    </row>
    <row r="55" spans="1:13">
      <c r="A55" s="583">
        <v>2015</v>
      </c>
      <c r="B55" s="382">
        <f t="shared" si="12"/>
        <v>19.533333333333335</v>
      </c>
      <c r="C55" s="382">
        <f t="shared" si="13"/>
        <v>18.693333333333335</v>
      </c>
      <c r="D55" s="241"/>
      <c r="E55" s="241"/>
      <c r="F55" s="241"/>
      <c r="G55" s="241"/>
      <c r="H55" s="241"/>
      <c r="I55" s="241"/>
      <c r="J55" s="241"/>
      <c r="K55" s="241"/>
      <c r="L55" s="241"/>
      <c r="M55" s="242"/>
    </row>
    <row r="56" spans="1:13">
      <c r="A56" s="583">
        <v>2016</v>
      </c>
      <c r="B56" s="382">
        <f t="shared" si="12"/>
        <v>14.608333333333334</v>
      </c>
      <c r="C56" s="382">
        <f t="shared" si="13"/>
        <v>14.433333333333335</v>
      </c>
      <c r="D56" s="241"/>
      <c r="E56" s="241"/>
      <c r="F56" s="241"/>
      <c r="G56" s="241"/>
      <c r="H56" s="241"/>
      <c r="I56" s="241"/>
      <c r="J56" s="241"/>
      <c r="K56" s="241"/>
      <c r="L56" s="241"/>
      <c r="M56" s="242"/>
    </row>
    <row r="57" spans="1:13">
      <c r="A57" s="583">
        <v>2017</v>
      </c>
      <c r="B57" s="382">
        <f t="shared" si="12"/>
        <v>13.320512820512819</v>
      </c>
      <c r="C57" s="382">
        <f t="shared" si="13"/>
        <v>16.554545454545455</v>
      </c>
      <c r="D57" s="241"/>
      <c r="E57" s="241"/>
      <c r="F57" s="241"/>
      <c r="G57" s="241"/>
      <c r="H57" s="241"/>
      <c r="I57" s="241"/>
      <c r="J57" s="241"/>
      <c r="K57" s="241"/>
      <c r="L57" s="241"/>
      <c r="M57" s="242"/>
    </row>
    <row r="58" spans="1:13">
      <c r="A58" s="400">
        <v>2018</v>
      </c>
      <c r="B58" s="796">
        <f t="shared" si="12"/>
        <v>8.1515151515151505</v>
      </c>
      <c r="C58" s="796">
        <f t="shared" si="13"/>
        <v>15.847222222222221</v>
      </c>
      <c r="D58" s="241"/>
      <c r="E58" s="241"/>
      <c r="F58" s="241"/>
      <c r="G58" s="241"/>
      <c r="H58" s="241"/>
      <c r="I58" s="241"/>
      <c r="J58" s="241"/>
      <c r="K58" s="241"/>
      <c r="L58" s="241"/>
      <c r="M58" s="242"/>
    </row>
    <row r="59" spans="1:13" ht="15.75" thickBot="1">
      <c r="A59" s="386">
        <v>2019</v>
      </c>
      <c r="B59" s="797">
        <f t="shared" si="12"/>
        <v>1280.9208333333336</v>
      </c>
      <c r="C59" s="797">
        <f t="shared" si="13"/>
        <v>15.195555555555556</v>
      </c>
      <c r="D59" s="241"/>
      <c r="E59" s="241"/>
      <c r="F59" s="241"/>
      <c r="G59" s="241"/>
      <c r="H59" s="241"/>
      <c r="I59" s="241"/>
      <c r="J59" s="241"/>
      <c r="K59" s="241"/>
      <c r="L59" s="241"/>
      <c r="M59" s="242"/>
    </row>
    <row r="60" spans="1:13">
      <c r="A60" s="243"/>
      <c r="B60" s="241"/>
      <c r="C60" s="241"/>
      <c r="D60" s="241"/>
      <c r="E60" s="241"/>
      <c r="F60" s="241"/>
      <c r="G60" s="241"/>
      <c r="H60" s="241"/>
      <c r="I60" s="241"/>
      <c r="J60" s="241"/>
      <c r="K60" s="241"/>
      <c r="L60" s="241"/>
      <c r="M60" s="242"/>
    </row>
    <row r="61" spans="1:13" ht="15.75" thickBot="1">
      <c r="A61" s="243"/>
      <c r="B61" s="241"/>
      <c r="C61" s="241"/>
      <c r="D61" s="241"/>
      <c r="E61" s="241"/>
      <c r="F61" s="241"/>
      <c r="G61" s="241"/>
      <c r="H61" s="241"/>
      <c r="I61" s="241"/>
      <c r="J61" s="241"/>
      <c r="K61" s="241"/>
      <c r="L61" s="241"/>
      <c r="M61" s="242"/>
    </row>
    <row r="62" spans="1:13">
      <c r="A62" s="260" t="s">
        <v>442</v>
      </c>
      <c r="B62" s="260"/>
      <c r="C62" s="260"/>
      <c r="D62" s="260"/>
      <c r="E62" s="260"/>
      <c r="F62" s="260"/>
      <c r="G62" s="260"/>
      <c r="H62" s="260"/>
      <c r="I62" s="260"/>
      <c r="J62" s="261"/>
      <c r="K62" s="261"/>
      <c r="L62" s="261"/>
      <c r="M62" s="261"/>
    </row>
    <row r="64" spans="1:13" ht="15.75" thickBot="1"/>
    <row r="65" spans="1:15">
      <c r="A65" s="379" t="s">
        <v>467</v>
      </c>
      <c r="B65" s="380"/>
      <c r="C65" s="380"/>
      <c r="D65" s="252"/>
      <c r="E65" s="252"/>
      <c r="F65" s="252"/>
      <c r="G65" s="252"/>
      <c r="H65" s="252"/>
      <c r="I65" s="252"/>
      <c r="J65" s="252"/>
      <c r="K65" s="252"/>
      <c r="L65" s="252"/>
      <c r="M65" s="252"/>
    </row>
    <row r="66" spans="1:15" ht="15.75" thickBot="1">
      <c r="A66" s="243"/>
      <c r="B66" s="241"/>
      <c r="C66" s="241"/>
      <c r="D66" s="241"/>
      <c r="E66" s="241"/>
      <c r="F66" s="241"/>
      <c r="G66" s="241"/>
      <c r="H66" s="241"/>
      <c r="I66" s="241"/>
      <c r="J66" s="241"/>
      <c r="K66" s="241"/>
      <c r="L66" s="241"/>
      <c r="M66" s="241"/>
    </row>
    <row r="67" spans="1:15" s="5" customFormat="1" ht="45.75" customHeight="1" thickBot="1">
      <c r="B67" s="990" t="s">
        <v>466</v>
      </c>
      <c r="C67" s="991"/>
      <c r="D67" s="990" t="s">
        <v>469</v>
      </c>
      <c r="E67" s="991"/>
      <c r="F67" s="990" t="s">
        <v>468</v>
      </c>
      <c r="G67" s="991"/>
      <c r="H67" s="537"/>
      <c r="I67" s="537"/>
      <c r="J67" s="537"/>
      <c r="K67" s="537"/>
      <c r="L67" s="537"/>
      <c r="M67" s="537"/>
      <c r="N67" s="537"/>
      <c r="O67" s="537"/>
    </row>
    <row r="68" spans="1:15" s="399" customFormat="1" ht="45.75" thickBot="1">
      <c r="B68" s="538" t="s">
        <v>627</v>
      </c>
      <c r="C68" s="538" t="s">
        <v>628</v>
      </c>
      <c r="D68" s="538" t="s">
        <v>627</v>
      </c>
      <c r="E68" s="538" t="s">
        <v>628</v>
      </c>
      <c r="F68" s="538" t="s">
        <v>627</v>
      </c>
      <c r="G68" s="538" t="s">
        <v>628</v>
      </c>
      <c r="H68" s="398"/>
      <c r="I68" s="398"/>
      <c r="J68" s="398"/>
      <c r="K68" s="398"/>
      <c r="L68" s="398"/>
      <c r="M68" s="398"/>
      <c r="N68" s="398"/>
      <c r="O68" s="398"/>
    </row>
    <row r="69" spans="1:15">
      <c r="A69" s="582">
        <v>2010</v>
      </c>
      <c r="B69" s="382">
        <f t="array" ref="B69">IFERROR((AVERAGEIF(Prog,A69,Retard_loyer)),0)</f>
        <v>8.4</v>
      </c>
      <c r="C69" s="382">
        <f t="shared" ref="C69:C76" si="14">IFERROR((AVERAGEIF(Prog,A69,Retard_VEFA)),0)</f>
        <v>0</v>
      </c>
      <c r="D69" s="383">
        <f t="array" ref="D69">IFERROR(AVERAGE(IF(YEAR(OS)=A69,Retard_loyer)),0)</f>
        <v>0</v>
      </c>
      <c r="E69" s="383">
        <f t="array" ref="E69">IFERROR(AVERAGE(IF(YEAR(OS)=A69,Retard_VEFA)),0)</f>
        <v>0</v>
      </c>
      <c r="F69" s="383">
        <f t="array" ref="F69">IFERROR(AVERAGE(IF(YEAR(Livraison)=A69,Retard_loyer)),0)</f>
        <v>0</v>
      </c>
      <c r="G69" s="383">
        <f t="array" ref="G69">IFERROR(AVERAGE(IF(YEAR(Livraison)=A69,Retard_VEFA)),0)</f>
        <v>0</v>
      </c>
      <c r="I69" s="241" t="s">
        <v>982</v>
      </c>
      <c r="J69" s="241"/>
      <c r="K69" s="241"/>
      <c r="L69" s="241"/>
      <c r="M69" s="241"/>
      <c r="N69" s="241"/>
      <c r="O69" s="241"/>
    </row>
    <row r="70" spans="1:15">
      <c r="A70" s="583">
        <v>2011</v>
      </c>
      <c r="B70" s="382">
        <f t="array" ref="B70">IFERROR((AVERAGEIF(Prog,A70,Retard_loyer)),0)</f>
        <v>6.9142857142857137</v>
      </c>
      <c r="C70" s="382">
        <f t="shared" si="14"/>
        <v>0</v>
      </c>
      <c r="D70" s="383">
        <f t="array" ref="D70">IFERROR(AVERAGE(IF(YEAR(OS)=A70,Retard_loyer)),0)</f>
        <v>4.3600000000000003</v>
      </c>
      <c r="E70" s="383">
        <f t="array" ref="E70">IFERROR(AVERAGE(IF(YEAR(OS)=A70,Retard_VEFA)),0)</f>
        <v>0</v>
      </c>
      <c r="F70" s="383">
        <f t="array" ref="F70">IFERROR(AVERAGE(IF(YEAR(Livraison)=A70,Retard_loyer)),0)</f>
        <v>0</v>
      </c>
      <c r="G70" s="383">
        <f t="array" ref="G70">IFERROR(AVERAGE(IF(YEAR(Livraison)=A70,Retard_VEFA)),0)</f>
        <v>0</v>
      </c>
      <c r="I70" s="241"/>
      <c r="J70" s="241"/>
      <c r="K70" s="241"/>
      <c r="L70" s="241"/>
      <c r="M70" s="241"/>
      <c r="N70" s="241"/>
      <c r="O70" s="241"/>
    </row>
    <row r="71" spans="1:15">
      <c r="A71" s="583">
        <v>2012</v>
      </c>
      <c r="B71" s="382">
        <f t="array" ref="B71">IFERROR((AVERAGEIF(Prog,A71,Retard_loyer)),0)</f>
        <v>14.375</v>
      </c>
      <c r="C71" s="382">
        <f t="shared" si="14"/>
        <v>0</v>
      </c>
      <c r="D71" s="383">
        <f t="array" ref="D71">IFERROR(AVERAGE(IF(YEAR(OS)=A71,Retard_loyer)),0)</f>
        <v>10.85</v>
      </c>
      <c r="E71" s="383">
        <f t="array" ref="E71">IFERROR(AVERAGE(IF(YEAR(OS)=A71,Retard_VEFA)),0)</f>
        <v>0</v>
      </c>
      <c r="F71" s="383">
        <f t="array" ref="F71">IFERROR(AVERAGE(IF(YEAR(Livraison)=A71,Retard_loyer)),0)</f>
        <v>0</v>
      </c>
      <c r="G71" s="383">
        <f t="array" ref="G71">IFERROR(AVERAGE(IF(YEAR(Livraison)=A71,Retard_VEFA)),0)</f>
        <v>0</v>
      </c>
      <c r="I71" s="241"/>
      <c r="J71" s="241"/>
      <c r="K71" s="241"/>
      <c r="L71" s="241"/>
      <c r="M71" s="241"/>
      <c r="N71" s="241"/>
      <c r="O71" s="241"/>
    </row>
    <row r="72" spans="1:15">
      <c r="A72" s="583">
        <v>2013</v>
      </c>
      <c r="B72" s="382">
        <f t="array" ref="B72">IFERROR((AVERAGEIF(Prog,A72,Retard_loyer)),0)</f>
        <v>11.677777777777777</v>
      </c>
      <c r="C72" s="382">
        <f t="shared" si="14"/>
        <v>0</v>
      </c>
      <c r="D72" s="383">
        <f t="array" ref="D72">IFERROR(AVERAGE(IF(YEAR(OS)=A72,Retard_loyer)),0)</f>
        <v>14.375</v>
      </c>
      <c r="E72" s="383">
        <f t="array" ref="E72">IFERROR(AVERAGE(IF(YEAR(OS)=A72,Retard_VEFA)),0)</f>
        <v>0</v>
      </c>
      <c r="F72" s="383">
        <f t="array" ref="F72">IFERROR(AVERAGE(IF(YEAR(Livraison)=A72,Retard_loyer)),0)</f>
        <v>5.3999999999999995</v>
      </c>
      <c r="G72" s="383">
        <f t="array" ref="G72">IFERROR(AVERAGE(IF(YEAR(Livraison)=A72,Retard_VEFA)),0)</f>
        <v>0</v>
      </c>
      <c r="I72" s="241"/>
      <c r="J72" s="241"/>
      <c r="K72" s="241"/>
      <c r="L72" s="241"/>
      <c r="M72" s="241"/>
      <c r="N72" s="241"/>
      <c r="O72" s="241"/>
    </row>
    <row r="73" spans="1:15">
      <c r="A73" s="583">
        <v>2014</v>
      </c>
      <c r="B73" s="382">
        <f t="array" ref="B73">IFERROR((AVERAGEIF(Prog,A73,Retard_loyer)),0)</f>
        <v>4.3722222222222227</v>
      </c>
      <c r="C73" s="382">
        <f t="shared" si="14"/>
        <v>0</v>
      </c>
      <c r="D73" s="383">
        <f t="array" ref="D73">IFERROR(AVERAGE(IF(YEAR(OS)=A73,Retard_loyer)),0)</f>
        <v>14.166666666666666</v>
      </c>
      <c r="E73" s="383">
        <f>IFERROR(AVERAGE(IF(YEAR(OS)=A73,Retard_VEFA)),0)</f>
        <v>0</v>
      </c>
      <c r="F73" s="383">
        <f t="array" ref="F73">IFERROR(AVERAGE(IF(YEAR(Livraison)=A73,Retard_loyer)),0)</f>
        <v>7.0185185185185182</v>
      </c>
      <c r="G73" s="383">
        <f t="array" ref="G73">IFERROR(AVERAGE(IF(YEAR(Livraison)=A73,Retard_VEFA)),0)</f>
        <v>0</v>
      </c>
      <c r="H73" s="241"/>
      <c r="I73" s="241"/>
      <c r="J73" s="241"/>
      <c r="K73" s="241"/>
      <c r="L73" s="241"/>
      <c r="M73" s="241"/>
      <c r="N73" s="241"/>
      <c r="O73" s="241"/>
    </row>
    <row r="74" spans="1:15">
      <c r="A74" s="583">
        <v>2015</v>
      </c>
      <c r="B74" s="382">
        <f t="array" ref="B74">IFERROR((AVERAGEIF(Prog,A74,Retard_loyer)),0)</f>
        <v>4.666666666666667</v>
      </c>
      <c r="C74" s="382">
        <f t="shared" si="14"/>
        <v>0</v>
      </c>
      <c r="D74" s="383">
        <f t="array" ref="D74">IFERROR(AVERAGE(IF(YEAR(OS)=A74,Retard_loyer)),0)</f>
        <v>3.62</v>
      </c>
      <c r="E74" s="383">
        <f t="array" ref="E74">IFERROR(AVERAGE(IF(YEAR(OS)=A74,Retard_VEFA)),0)</f>
        <v>0</v>
      </c>
      <c r="F74" s="383">
        <f t="array" ref="F74">IFERROR(AVERAGE(IF(YEAR(Livraison)=A74,Retard_loyer)),0)</f>
        <v>9.65</v>
      </c>
      <c r="G74" s="383">
        <f t="array" ref="G74">IFERROR(AVERAGE(IF(YEAR(Livraison)=A74,Retard_VEFA)),0)</f>
        <v>0</v>
      </c>
      <c r="H74" s="241"/>
      <c r="I74" s="241"/>
      <c r="J74" s="241"/>
      <c r="K74" s="241"/>
      <c r="L74" s="241"/>
      <c r="M74" s="241"/>
      <c r="N74" s="241"/>
      <c r="O74" s="241"/>
    </row>
    <row r="75" spans="1:15">
      <c r="A75" s="583">
        <v>2016</v>
      </c>
      <c r="B75" s="382">
        <f t="array" ref="B75">IFERROR((AVERAGEIF(Prog,A75,Retard_loyer)),0)</f>
        <v>2.95</v>
      </c>
      <c r="C75" s="382">
        <f t="shared" si="14"/>
        <v>0</v>
      </c>
      <c r="D75" s="383">
        <f t="array" ref="D75">IFERROR(AVERAGE(IF(YEAR(OS)=A75,Retard_loyer)),0)</f>
        <v>4.6000000000000005</v>
      </c>
      <c r="E75" s="383">
        <f t="array" ref="E75">IFERROR(AVERAGE(IF(YEAR(OS)=A75,Retard_VEFA)),0)</f>
        <v>0</v>
      </c>
      <c r="F75" s="383">
        <f t="array" ref="F75">IFERROR(AVERAGE(IF(YEAR(Livraison)=A75,Retard_loyer)),0)</f>
        <v>13.120833333333335</v>
      </c>
      <c r="G75" s="383">
        <f t="array" ref="G75">IFERROR(AVERAGE(IF(YEAR(Livraison)=A75,Retard_VEFA)),0)</f>
        <v>0</v>
      </c>
      <c r="H75" s="241"/>
      <c r="I75" s="241"/>
      <c r="J75" s="241"/>
      <c r="K75" s="241"/>
      <c r="L75" s="241"/>
      <c r="M75" s="241"/>
      <c r="N75" s="241"/>
      <c r="O75" s="241"/>
    </row>
    <row r="76" spans="1:15">
      <c r="A76" s="583">
        <v>2017</v>
      </c>
      <c r="B76" s="387">
        <f t="array" ref="B76">IFERROR((AVERAGEIF(Prog,A76,Retard_loyer)),0)</f>
        <v>0</v>
      </c>
      <c r="C76" s="387">
        <f t="shared" si="14"/>
        <v>0</v>
      </c>
      <c r="D76" s="388">
        <f t="array" ref="D76">IFERROR(AVERAGE(IF(YEAR(OS)=A76,Retard_loyer)),0)</f>
        <v>4.4515151515151521</v>
      </c>
      <c r="E76" s="388">
        <f t="array" ref="E76">IFERROR(AVERAGE(IF(YEAR(OS)=A76,Retard_VEFA)),0)</f>
        <v>0</v>
      </c>
      <c r="F76" s="388">
        <f t="array" ref="F76">IFERROR(AVERAGE(IF(YEAR(Livraison)=A76,Retard_loyer)),0)</f>
        <v>15.474074074074075</v>
      </c>
      <c r="G76" s="388">
        <f t="array" ref="G76">IFERROR(AVERAGE(IF(YEAR(Livraison)=A76,Retard_VEFA)),0)</f>
        <v>0</v>
      </c>
      <c r="H76" s="241"/>
      <c r="I76" s="241"/>
      <c r="J76" s="241"/>
      <c r="K76" s="241"/>
      <c r="L76" s="241"/>
      <c r="M76" s="241"/>
      <c r="N76" s="241"/>
      <c r="O76" s="241"/>
    </row>
    <row r="77" spans="1:15">
      <c r="A77" s="583">
        <v>2018</v>
      </c>
      <c r="B77" s="659">
        <f t="array" ref="B77">IFERROR((AVERAGEIF(Prog,A77,Retard_loyer)),0)</f>
        <v>3.333333333333333</v>
      </c>
      <c r="C77" s="660"/>
      <c r="D77" s="661">
        <f t="array" ref="D77">IFERROR(AVERAGE(IF(YEAR(OS)=A77,Retard_loyer)),0)</f>
        <v>0</v>
      </c>
      <c r="E77" s="661">
        <f t="array" ref="E77">IFERROR(AVERAGE(IF(YEAR(OS)=A77,Retard_VEFA)),0)</f>
        <v>0</v>
      </c>
      <c r="F77" s="975">
        <f t="array" ref="F77">IFERROR(AVERAGE(IF(YEAR(Livraison)=A77,Retard_loyer)),0)</f>
        <v>3.8380952380952382</v>
      </c>
      <c r="G77" s="661">
        <f t="array" ref="G77">IFERROR(AVERAGE(IF(YEAR(Livraison)=A77,Retard_VEFA)),0)</f>
        <v>0</v>
      </c>
      <c r="H77" s="241"/>
      <c r="I77" s="241"/>
      <c r="J77" s="241"/>
      <c r="K77" s="241"/>
      <c r="L77" s="241"/>
      <c r="M77" s="241"/>
      <c r="N77" s="241"/>
      <c r="O77" s="241"/>
    </row>
    <row r="78" spans="1:15" s="32" customFormat="1">
      <c r="A78" s="400">
        <v>2019</v>
      </c>
      <c r="B78" s="659">
        <f t="array" ref="B78">IFERROR((AVERAGEIF(Prog,A78,Retard_loyer)),0)</f>
        <v>1.0333333333333334</v>
      </c>
      <c r="C78" s="660"/>
      <c r="D78" s="661">
        <f t="array" ref="D78">IFERROR(AVERAGE(IF(YEAR(OS)=A78,Retard_loyer)),0)</f>
        <v>2.8888888888888888</v>
      </c>
      <c r="E78" s="812"/>
      <c r="F78" s="662">
        <f t="array" ref="F78">IFERROR(AVERAGE(IF(YEAR(Livraison)=A78,Retard_loyer)),0)</f>
        <v>3.1377777777777784</v>
      </c>
      <c r="G78" s="812"/>
      <c r="H78" s="814"/>
      <c r="I78" s="814"/>
      <c r="J78" s="814"/>
      <c r="K78" s="814"/>
      <c r="L78" s="814"/>
      <c r="M78" s="814"/>
      <c r="N78" s="814"/>
      <c r="O78" s="814"/>
    </row>
    <row r="79" spans="1:15" ht="15.75" thickBot="1">
      <c r="A79" s="386">
        <v>2020</v>
      </c>
      <c r="B79" s="389">
        <f t="array" ref="B79">IFERROR((AVERAGEIF(Prog,A79,Retard_loyer)),0)</f>
        <v>5.3333333333333339</v>
      </c>
      <c r="C79" s="645"/>
      <c r="D79" s="390">
        <f t="array" ref="D79">IFERROR(AVERAGE(IF(YEAR(OS)=A79,Retard_loyer)),0)</f>
        <v>1.0333333333333334</v>
      </c>
      <c r="E79" s="813"/>
      <c r="F79" s="390">
        <f t="array" ref="F79">IFERROR(AVERAGE(IF(YEAR(Livraison)=A79,Retard_loyer)),0)</f>
        <v>3.6583333333333332</v>
      </c>
      <c r="G79" s="813"/>
      <c r="H79" s="241"/>
      <c r="I79" s="241"/>
      <c r="J79" s="241"/>
      <c r="K79" s="241"/>
      <c r="L79" s="241"/>
      <c r="M79" s="241"/>
      <c r="N79" s="241"/>
      <c r="O79" s="241"/>
    </row>
    <row r="80" spans="1:15" ht="15.75" thickBot="1">
      <c r="A80" s="243"/>
      <c r="B80" s="241"/>
      <c r="C80" s="241"/>
      <c r="D80" s="241"/>
      <c r="E80" s="241"/>
      <c r="F80" s="241"/>
      <c r="G80" s="241"/>
      <c r="H80" s="241"/>
      <c r="I80" s="241"/>
      <c r="J80" s="241"/>
      <c r="K80" s="241"/>
      <c r="L80" s="241"/>
      <c r="M80" s="241"/>
    </row>
    <row r="81" spans="1:13">
      <c r="A81" s="379" t="s">
        <v>688</v>
      </c>
      <c r="B81" s="380"/>
      <c r="C81" s="380"/>
      <c r="D81" s="252"/>
      <c r="E81" s="252"/>
      <c r="F81" s="252"/>
      <c r="G81" s="252"/>
      <c r="H81" s="252"/>
      <c r="I81" s="252"/>
      <c r="J81" s="252"/>
      <c r="K81" s="252"/>
      <c r="L81" s="252"/>
      <c r="M81" s="252"/>
    </row>
    <row r="82" spans="1:13" ht="15.75" thickBot="1">
      <c r="A82" s="243"/>
      <c r="B82" s="241"/>
      <c r="C82" s="241"/>
      <c r="D82" s="241"/>
      <c r="E82" s="241"/>
      <c r="F82" s="241"/>
      <c r="G82" s="241"/>
      <c r="H82" s="241"/>
      <c r="I82" s="241"/>
      <c r="J82" s="241"/>
      <c r="K82" s="241"/>
      <c r="L82" s="241"/>
      <c r="M82" s="241"/>
    </row>
    <row r="83" spans="1:13" s="628" customFormat="1" ht="26.25" thickBot="1">
      <c r="A83" s="625"/>
      <c r="B83" s="626" t="s">
        <v>466</v>
      </c>
      <c r="C83" s="626" t="s">
        <v>469</v>
      </c>
      <c r="D83" s="626" t="s">
        <v>468</v>
      </c>
      <c r="E83" s="627"/>
      <c r="F83" s="627"/>
      <c r="G83" s="627"/>
      <c r="H83" s="627"/>
      <c r="I83" s="627"/>
      <c r="J83" s="627"/>
      <c r="K83" s="627"/>
      <c r="L83" s="627"/>
      <c r="M83" s="627"/>
    </row>
    <row r="84" spans="1:13">
      <c r="A84" s="582">
        <v>2010</v>
      </c>
      <c r="B84" s="387">
        <f t="shared" ref="B84:B92" si="15">IFERROR((SUMPRODUCT((Prog=A84)*Fonds_propres)),0)</f>
        <v>72193</v>
      </c>
      <c r="C84" s="388">
        <f t="shared" ref="C84:C92" si="16">IFERROR((SUMPRODUCT((YEAR(OS)=A84)*Fonds_propres)),0)</f>
        <v>0</v>
      </c>
      <c r="D84" s="388">
        <f t="shared" ref="D84:D92" si="17">IFERROR((SUMPRODUCT((YEAR(Livraison)=A84)*Fonds_propres)),0)</f>
        <v>0</v>
      </c>
      <c r="E84" s="241"/>
      <c r="F84" s="241"/>
      <c r="G84" s="241"/>
      <c r="H84" s="241"/>
      <c r="I84" s="241"/>
      <c r="J84" s="241"/>
      <c r="K84" s="241"/>
      <c r="L84" s="241"/>
      <c r="M84" s="241"/>
    </row>
    <row r="85" spans="1:13">
      <c r="A85" s="583">
        <v>2011</v>
      </c>
      <c r="B85" s="387">
        <f t="shared" si="15"/>
        <v>253357.88</v>
      </c>
      <c r="C85" s="388">
        <f t="shared" si="16"/>
        <v>1409</v>
      </c>
      <c r="D85" s="388">
        <f t="shared" si="17"/>
        <v>0</v>
      </c>
      <c r="E85" s="241"/>
      <c r="F85" s="241"/>
      <c r="G85" s="241"/>
      <c r="H85" s="241"/>
      <c r="I85" s="241"/>
      <c r="J85" s="241"/>
      <c r="K85" s="241"/>
      <c r="L85" s="241"/>
      <c r="M85" s="241"/>
    </row>
    <row r="86" spans="1:13">
      <c r="A86" s="583">
        <v>2012</v>
      </c>
      <c r="B86" s="387">
        <f t="shared" si="15"/>
        <v>963974.11</v>
      </c>
      <c r="C86" s="388">
        <f t="shared" si="16"/>
        <v>324141.88</v>
      </c>
      <c r="D86" s="388">
        <f t="shared" si="17"/>
        <v>0</v>
      </c>
      <c r="E86" s="532"/>
      <c r="F86" s="241"/>
      <c r="G86" s="241"/>
      <c r="H86" s="241"/>
      <c r="I86" s="241"/>
      <c r="J86" s="241"/>
      <c r="K86" s="241"/>
      <c r="L86" s="241"/>
      <c r="M86" s="241"/>
    </row>
    <row r="87" spans="1:13">
      <c r="A87" s="583">
        <v>2013</v>
      </c>
      <c r="B87" s="387">
        <f t="shared" si="15"/>
        <v>796685</v>
      </c>
      <c r="C87" s="388">
        <f t="shared" si="16"/>
        <v>963974.11</v>
      </c>
      <c r="D87" s="388">
        <f t="shared" si="17"/>
        <v>1409</v>
      </c>
      <c r="E87" s="241"/>
      <c r="F87" s="241"/>
      <c r="G87" s="241"/>
      <c r="H87" s="241"/>
      <c r="I87" s="241"/>
      <c r="J87" s="241"/>
      <c r="K87" s="241"/>
      <c r="L87" s="241"/>
      <c r="M87" s="241"/>
    </row>
    <row r="88" spans="1:13">
      <c r="A88" s="583">
        <v>2014</v>
      </c>
      <c r="B88" s="387">
        <f t="shared" si="15"/>
        <v>353323.717966553</v>
      </c>
      <c r="C88" s="388">
        <f t="shared" si="16"/>
        <v>796685</v>
      </c>
      <c r="D88" s="388">
        <f t="shared" si="17"/>
        <v>498508.88</v>
      </c>
      <c r="E88" s="241"/>
      <c r="F88" s="241"/>
      <c r="G88" s="241"/>
      <c r="H88" s="241"/>
      <c r="I88" s="241"/>
      <c r="J88" s="241"/>
      <c r="K88" s="241"/>
      <c r="L88" s="241"/>
      <c r="M88" s="241"/>
    </row>
    <row r="89" spans="1:13">
      <c r="A89" s="583">
        <v>2015</v>
      </c>
      <c r="B89" s="387">
        <f t="shared" si="15"/>
        <v>9793.0299999999988</v>
      </c>
      <c r="C89" s="388">
        <f t="shared" si="16"/>
        <v>43453.51</v>
      </c>
      <c r="D89" s="388">
        <f t="shared" si="17"/>
        <v>365519.54</v>
      </c>
      <c r="E89" s="241"/>
      <c r="F89" s="241"/>
      <c r="G89" s="241"/>
      <c r="H89" s="241"/>
      <c r="I89" s="241"/>
      <c r="J89" s="241"/>
      <c r="K89" s="241"/>
      <c r="L89" s="241"/>
      <c r="M89" s="241"/>
    </row>
    <row r="90" spans="1:13">
      <c r="A90" s="583">
        <v>2016</v>
      </c>
      <c r="B90" s="387">
        <f t="shared" si="15"/>
        <v>0</v>
      </c>
      <c r="C90" s="388">
        <f t="shared" si="16"/>
        <v>23117</v>
      </c>
      <c r="D90" s="388">
        <f t="shared" si="17"/>
        <v>411836.57</v>
      </c>
      <c r="E90" s="264"/>
      <c r="F90" s="241"/>
      <c r="G90" s="241"/>
      <c r="H90" s="241"/>
      <c r="I90" s="241"/>
      <c r="J90" s="241"/>
      <c r="K90" s="241"/>
      <c r="L90" s="241"/>
      <c r="M90" s="241"/>
    </row>
    <row r="91" spans="1:13">
      <c r="A91" s="583">
        <v>2017</v>
      </c>
      <c r="B91" s="387">
        <f t="shared" si="15"/>
        <v>0</v>
      </c>
      <c r="C91" s="388">
        <f t="shared" si="16"/>
        <v>296546.23796655296</v>
      </c>
      <c r="D91" s="388">
        <f t="shared" si="17"/>
        <v>808936</v>
      </c>
      <c r="E91" s="241"/>
      <c r="F91" s="241"/>
      <c r="G91" s="241"/>
      <c r="H91" s="241"/>
      <c r="I91" s="241"/>
      <c r="J91" s="241"/>
      <c r="K91" s="241"/>
      <c r="L91" s="241"/>
      <c r="M91" s="241"/>
    </row>
    <row r="92" spans="1:13">
      <c r="A92" s="385">
        <v>2018</v>
      </c>
      <c r="B92" s="387">
        <f t="shared" si="15"/>
        <v>0</v>
      </c>
      <c r="C92" s="388">
        <f t="shared" si="16"/>
        <v>0</v>
      </c>
      <c r="D92" s="388">
        <f t="shared" si="17"/>
        <v>76363.540000000008</v>
      </c>
      <c r="E92" s="241"/>
      <c r="F92" s="241"/>
      <c r="G92" s="241"/>
      <c r="H92" s="241"/>
      <c r="I92" s="241"/>
      <c r="J92" s="241"/>
      <c r="K92" s="241"/>
      <c r="L92" s="241"/>
      <c r="M92" s="241"/>
    </row>
    <row r="93" spans="1:13">
      <c r="A93" s="385">
        <v>2019</v>
      </c>
      <c r="B93" s="387">
        <f>IFERROR((SUMPRODUCT((Prog=A93)*Fonds_propres)),0)</f>
        <v>0</v>
      </c>
      <c r="C93" s="388">
        <f>IFERROR((SUMPRODUCT((YEAR(OS)=A93)*Fonds_propres)),0)</f>
        <v>0</v>
      </c>
      <c r="D93" s="388">
        <f>IFERROR((SUMPRODUCT((YEAR(Livraison)=A93)*Fonds_propres)),0)</f>
        <v>286753.20796655299</v>
      </c>
      <c r="E93" s="241"/>
      <c r="F93" s="241"/>
      <c r="G93" s="241"/>
      <c r="H93" s="241"/>
      <c r="I93" s="241"/>
      <c r="J93" s="241"/>
      <c r="K93" s="241"/>
      <c r="L93" s="241"/>
      <c r="M93" s="241"/>
    </row>
    <row r="94" spans="1:13" ht="15.75" thickBot="1">
      <c r="A94" s="386">
        <v>2020</v>
      </c>
      <c r="B94" s="389">
        <f>IFERROR((SUMPRODUCT((Prog=A94)*Fonds_propres)),0)</f>
        <v>0</v>
      </c>
      <c r="C94" s="390">
        <f>IFERROR((SUMPRODUCT((YEAR(OS)=A94)*Fonds_propres)),0)</f>
        <v>0</v>
      </c>
      <c r="D94" s="390">
        <f>IFERROR((SUMPRODUCT((YEAR(Livraison)=A94)*Fonds_propres)),0)</f>
        <v>0</v>
      </c>
      <c r="E94" s="241"/>
      <c r="F94" s="241"/>
      <c r="G94" s="241"/>
      <c r="H94" s="241"/>
      <c r="I94" s="241"/>
      <c r="J94" s="241"/>
      <c r="K94" s="241"/>
      <c r="L94" s="241"/>
      <c r="M94" s="241"/>
    </row>
    <row r="95" spans="1:13" ht="15.75" thickBot="1">
      <c r="A95" s="381"/>
      <c r="B95" s="241"/>
      <c r="C95" s="241"/>
      <c r="D95" s="241"/>
      <c r="E95" s="241"/>
      <c r="F95" s="241"/>
      <c r="G95" s="241"/>
      <c r="H95" s="241"/>
      <c r="I95" s="241"/>
      <c r="J95" s="241"/>
      <c r="K95" s="241"/>
      <c r="L95" s="241"/>
      <c r="M95" s="241"/>
    </row>
    <row r="96" spans="1:13">
      <c r="A96" s="379" t="s">
        <v>470</v>
      </c>
      <c r="B96" s="380"/>
      <c r="C96" s="380"/>
      <c r="D96" s="252"/>
      <c r="E96" s="252"/>
      <c r="F96" s="252"/>
      <c r="G96" s="252"/>
      <c r="H96" s="252"/>
      <c r="I96" s="252"/>
      <c r="J96" s="252"/>
      <c r="K96" s="252"/>
      <c r="L96" s="252"/>
      <c r="M96" s="252"/>
    </row>
    <row r="97" spans="1:13" ht="15.75" thickBot="1">
      <c r="A97" s="381"/>
      <c r="B97" s="241"/>
      <c r="C97" s="241"/>
      <c r="D97" s="241"/>
      <c r="E97" s="241"/>
      <c r="F97" s="241"/>
      <c r="G97" s="241"/>
      <c r="H97" s="241"/>
      <c r="I97" s="241"/>
      <c r="J97" s="241"/>
      <c r="K97" s="241"/>
      <c r="L97" s="241"/>
      <c r="M97" s="241"/>
    </row>
    <row r="98" spans="1:13" s="399" customFormat="1" ht="30.75" thickBot="1">
      <c r="A98" s="396"/>
      <c r="B98" s="397" t="s">
        <v>466</v>
      </c>
      <c r="C98" s="397" t="s">
        <v>469</v>
      </c>
      <c r="D98" s="397" t="s">
        <v>468</v>
      </c>
      <c r="E98" s="398"/>
      <c r="F98" s="398"/>
      <c r="G98" s="398"/>
      <c r="H98" s="398"/>
      <c r="I98" s="398"/>
      <c r="J98" s="398"/>
      <c r="K98" s="398"/>
      <c r="L98" s="398"/>
      <c r="M98" s="398"/>
    </row>
    <row r="99" spans="1:13">
      <c r="A99" s="582">
        <v>2010</v>
      </c>
      <c r="B99" s="387">
        <f>IFERROR((SUMPRODUCT((Prog=A99)*Loyers)),0)</f>
        <v>0</v>
      </c>
      <c r="C99" s="388">
        <f t="shared" ref="C99:C107" si="18">IFERROR((SUMPRODUCT((YEAR(OS)=A99)*Loyers)),0)</f>
        <v>0</v>
      </c>
      <c r="D99" s="388">
        <f t="shared" ref="D99:D107" si="19">IFERROR((SUMPRODUCT((YEAR(Livraison)=A99)*Loyers)),0)</f>
        <v>0</v>
      </c>
      <c r="E99" s="241"/>
      <c r="F99" s="241"/>
      <c r="G99" s="241"/>
      <c r="H99" s="241"/>
      <c r="I99" s="241"/>
      <c r="J99" s="241"/>
      <c r="K99" s="241"/>
      <c r="L99" s="241"/>
      <c r="M99" s="241"/>
    </row>
    <row r="100" spans="1:13">
      <c r="A100" s="583">
        <v>2011</v>
      </c>
      <c r="B100" s="387">
        <f t="shared" ref="B100:B107" si="20">IFERROR((SUMPRODUCT((Prog=A100)*Loyers)),0)</f>
        <v>0</v>
      </c>
      <c r="C100" s="388">
        <f t="shared" si="18"/>
        <v>0</v>
      </c>
      <c r="D100" s="388">
        <f t="shared" si="19"/>
        <v>0</v>
      </c>
      <c r="E100" s="241"/>
      <c r="F100" s="241"/>
      <c r="G100" s="241"/>
      <c r="H100" s="241"/>
      <c r="I100" s="241"/>
      <c r="J100" s="241"/>
      <c r="K100" s="241"/>
      <c r="L100" s="241"/>
      <c r="M100" s="241"/>
    </row>
    <row r="101" spans="1:13">
      <c r="A101" s="583">
        <v>2012</v>
      </c>
      <c r="B101" s="387">
        <f t="shared" si="20"/>
        <v>0</v>
      </c>
      <c r="C101" s="388">
        <f t="shared" si="18"/>
        <v>0</v>
      </c>
      <c r="D101" s="388">
        <f t="shared" si="19"/>
        <v>0</v>
      </c>
      <c r="E101" s="241"/>
      <c r="F101" s="241"/>
      <c r="G101" s="241"/>
      <c r="H101" s="241"/>
      <c r="I101" s="241"/>
      <c r="J101" s="241"/>
      <c r="K101" s="241"/>
      <c r="L101" s="241"/>
      <c r="M101" s="241"/>
    </row>
    <row r="102" spans="1:13">
      <c r="A102" s="583">
        <v>2013</v>
      </c>
      <c r="B102" s="387">
        <f t="shared" si="20"/>
        <v>0</v>
      </c>
      <c r="C102" s="388">
        <f t="shared" si="18"/>
        <v>0</v>
      </c>
      <c r="D102" s="388">
        <f t="shared" si="19"/>
        <v>0</v>
      </c>
      <c r="E102" s="241"/>
      <c r="F102" s="241"/>
      <c r="G102" s="241"/>
      <c r="H102" s="241"/>
      <c r="I102" s="241"/>
      <c r="J102" s="241"/>
      <c r="K102" s="241"/>
      <c r="L102" s="241"/>
      <c r="M102" s="241"/>
    </row>
    <row r="103" spans="1:13">
      <c r="A103" s="583">
        <v>2014</v>
      </c>
      <c r="B103" s="387">
        <f t="shared" si="20"/>
        <v>0</v>
      </c>
      <c r="C103" s="388">
        <f t="shared" si="18"/>
        <v>0</v>
      </c>
      <c r="D103" s="388">
        <f t="shared" si="19"/>
        <v>0</v>
      </c>
      <c r="E103" s="241"/>
      <c r="F103" s="241"/>
      <c r="G103" s="241"/>
      <c r="H103" s="241"/>
      <c r="I103" s="241"/>
      <c r="J103" s="241"/>
      <c r="K103" s="241"/>
      <c r="L103" s="241"/>
      <c r="M103" s="241"/>
    </row>
    <row r="104" spans="1:13">
      <c r="A104" s="583">
        <v>2015</v>
      </c>
      <c r="B104" s="387">
        <f t="shared" si="20"/>
        <v>0</v>
      </c>
      <c r="C104" s="388">
        <f t="shared" si="18"/>
        <v>0</v>
      </c>
      <c r="D104" s="388">
        <f t="shared" si="19"/>
        <v>0</v>
      </c>
      <c r="E104" s="241"/>
      <c r="F104" s="241"/>
      <c r="G104" s="241"/>
      <c r="H104" s="241"/>
      <c r="I104" s="241"/>
      <c r="J104" s="241"/>
      <c r="K104" s="241"/>
      <c r="L104" s="241"/>
      <c r="M104" s="241"/>
    </row>
    <row r="105" spans="1:13">
      <c r="A105" s="583">
        <v>2016</v>
      </c>
      <c r="B105" s="387">
        <f t="shared" si="20"/>
        <v>0</v>
      </c>
      <c r="C105" s="388">
        <f t="shared" si="18"/>
        <v>0</v>
      </c>
      <c r="D105" s="388">
        <f t="shared" si="19"/>
        <v>0</v>
      </c>
      <c r="E105" s="241"/>
      <c r="F105" s="241"/>
      <c r="G105" s="241"/>
      <c r="H105" s="241"/>
      <c r="I105" s="241"/>
      <c r="J105" s="241"/>
      <c r="K105" s="241"/>
      <c r="L105" s="241"/>
      <c r="M105" s="241"/>
    </row>
    <row r="106" spans="1:13">
      <c r="A106" s="583">
        <v>2017</v>
      </c>
      <c r="B106" s="387">
        <f t="shared" si="20"/>
        <v>0</v>
      </c>
      <c r="C106" s="388">
        <f t="shared" si="18"/>
        <v>0</v>
      </c>
      <c r="D106" s="388">
        <f t="shared" si="19"/>
        <v>0</v>
      </c>
      <c r="E106" s="241"/>
      <c r="F106" s="241"/>
      <c r="G106" s="241"/>
      <c r="H106" s="241"/>
      <c r="I106" s="241"/>
      <c r="J106" s="241"/>
      <c r="K106" s="241"/>
      <c r="L106" s="241"/>
      <c r="M106" s="241"/>
    </row>
    <row r="107" spans="1:13">
      <c r="A107" s="583">
        <v>2018</v>
      </c>
      <c r="B107" s="387">
        <f t="shared" si="20"/>
        <v>0</v>
      </c>
      <c r="C107" s="388">
        <f t="shared" si="18"/>
        <v>0</v>
      </c>
      <c r="D107" s="388">
        <f t="shared" si="19"/>
        <v>0</v>
      </c>
      <c r="E107" s="241"/>
      <c r="F107" s="241"/>
      <c r="G107" s="241"/>
      <c r="H107" s="241"/>
      <c r="I107" s="241"/>
      <c r="J107" s="241"/>
      <c r="K107" s="241"/>
      <c r="L107" s="241"/>
      <c r="M107" s="241"/>
    </row>
    <row r="108" spans="1:13" ht="15.75" thickBot="1">
      <c r="A108" s="386">
        <v>2019</v>
      </c>
      <c r="B108" s="389">
        <f>IFERROR((SUMPRODUCT((Prog=A108)*Loyers)),0)</f>
        <v>0</v>
      </c>
      <c r="C108" s="390">
        <f>IFERROR((SUMPRODUCT((YEAR(OS)=A108)*Loyers)),0)</f>
        <v>0</v>
      </c>
      <c r="D108" s="390">
        <f>IFERROR((SUMPRODUCT((YEAR(Livraison)=A108)*Loyers)),0)</f>
        <v>0</v>
      </c>
      <c r="E108" s="241"/>
      <c r="F108" s="241"/>
      <c r="G108" s="241"/>
      <c r="H108" s="241"/>
      <c r="I108" s="241"/>
      <c r="J108" s="241"/>
      <c r="K108" s="241"/>
      <c r="L108" s="241"/>
      <c r="M108" s="241"/>
    </row>
    <row r="109" spans="1:13" ht="15.75" thickBot="1">
      <c r="A109" s="381"/>
      <c r="B109" s="241"/>
      <c r="C109" s="241"/>
      <c r="D109" s="241"/>
      <c r="E109" s="241"/>
      <c r="F109" s="241"/>
      <c r="G109" s="241"/>
      <c r="H109" s="241"/>
      <c r="I109" s="241"/>
      <c r="J109" s="241"/>
      <c r="K109" s="241"/>
      <c r="L109" s="241"/>
      <c r="M109" s="241"/>
    </row>
    <row r="110" spans="1:13" ht="15.75" thickBot="1">
      <c r="A110" s="260" t="s">
        <v>664</v>
      </c>
      <c r="B110" s="252"/>
      <c r="C110" s="252"/>
      <c r="D110" s="252"/>
      <c r="E110" s="252"/>
      <c r="F110" s="252"/>
      <c r="G110" s="252"/>
      <c r="H110" s="252"/>
      <c r="I110" s="252"/>
      <c r="J110" s="252"/>
      <c r="K110" s="252"/>
      <c r="L110" s="252"/>
      <c r="M110" s="252"/>
    </row>
    <row r="111" spans="1:13">
      <c r="A111" s="243"/>
      <c r="B111" s="241"/>
      <c r="C111" s="241"/>
      <c r="D111" s="241"/>
      <c r="E111" s="241"/>
      <c r="F111" s="241"/>
      <c r="G111" s="241"/>
      <c r="H111" s="241"/>
      <c r="I111" s="241"/>
      <c r="J111" s="241"/>
      <c r="K111" s="282"/>
      <c r="L111" s="241"/>
      <c r="M111" s="242"/>
    </row>
    <row r="112" spans="1:13">
      <c r="A112" s="243"/>
      <c r="B112" s="241"/>
      <c r="C112" s="241"/>
      <c r="D112" s="241"/>
      <c r="E112" s="241"/>
      <c r="F112" s="241"/>
      <c r="G112" s="241"/>
      <c r="H112" s="241"/>
      <c r="I112" s="241"/>
      <c r="J112" s="241"/>
      <c r="K112" s="241"/>
      <c r="L112" s="241"/>
      <c r="M112" s="242"/>
    </row>
    <row r="113" spans="1:13" s="25" customFormat="1">
      <c r="A113" s="273" t="s">
        <v>280</v>
      </c>
      <c r="B113" s="274" t="s">
        <v>419</v>
      </c>
      <c r="C113" s="274"/>
      <c r="D113" s="274"/>
      <c r="E113" s="274"/>
      <c r="F113" s="274"/>
      <c r="G113" s="274"/>
      <c r="H113" s="274"/>
      <c r="I113" s="274"/>
      <c r="J113" s="274"/>
      <c r="K113" s="274"/>
      <c r="L113" s="274"/>
      <c r="M113" s="275"/>
    </row>
    <row r="114" spans="1:13">
      <c r="A114" s="253" t="s">
        <v>281</v>
      </c>
      <c r="B114" s="254">
        <f>SUMPRODUCT((Nlgts&gt;=1)*((Nlgts&lt;=19)*((Nlgts))*(Type&lt;&gt;"Rehab")))</f>
        <v>372</v>
      </c>
      <c r="C114" s="241"/>
      <c r="D114" s="241"/>
      <c r="E114" s="241"/>
      <c r="F114" s="241"/>
      <c r="G114" s="241"/>
      <c r="H114" s="241"/>
      <c r="I114" s="241"/>
      <c r="J114" s="241"/>
      <c r="K114" s="241"/>
      <c r="L114" s="241"/>
      <c r="M114" s="242"/>
    </row>
    <row r="115" spans="1:13">
      <c r="A115" s="334" t="s">
        <v>282</v>
      </c>
      <c r="B115" s="335">
        <f>SUMPRODUCT((Nlgts&gt;=20)*((Nlgts&lt;=39)*((Nlgts))*(Type&lt;&gt;"Rehab")))</f>
        <v>1267</v>
      </c>
      <c r="C115" s="241"/>
      <c r="D115" s="241"/>
      <c r="E115" s="241"/>
      <c r="F115" s="241"/>
      <c r="G115" s="241"/>
      <c r="H115" s="241"/>
      <c r="I115" s="241"/>
      <c r="J115" s="241"/>
      <c r="K115" s="241"/>
      <c r="L115" s="241"/>
      <c r="M115" s="242"/>
    </row>
    <row r="116" spans="1:13">
      <c r="A116" s="255" t="s">
        <v>283</v>
      </c>
      <c r="B116" s="256">
        <f>SUMPRODUCT((Nlgts&gt;=40)*((Nlgts&lt;=59)*((Nlgts)))*(Type&lt;&gt;"Rehab"))</f>
        <v>987</v>
      </c>
      <c r="C116" s="241"/>
      <c r="D116" s="241"/>
      <c r="E116" s="241"/>
      <c r="F116" s="241"/>
      <c r="G116" s="241"/>
      <c r="H116" s="241"/>
      <c r="I116" s="241"/>
      <c r="J116" s="241"/>
      <c r="K116" s="241"/>
      <c r="L116" s="241"/>
      <c r="M116" s="242"/>
    </row>
    <row r="117" spans="1:13">
      <c r="A117" s="257" t="s">
        <v>284</v>
      </c>
      <c r="B117" s="258">
        <f>SUMPRODUCT((Nlgts&gt;=60)*((Nlgts))*(Type&lt;&gt;"Rehab"))</f>
        <v>2144</v>
      </c>
      <c r="C117" s="241"/>
      <c r="D117" s="241"/>
      <c r="E117" s="241"/>
      <c r="F117" s="241"/>
      <c r="G117" s="241"/>
      <c r="H117" s="241"/>
      <c r="I117" s="241"/>
      <c r="J117" s="241"/>
      <c r="K117" s="241"/>
      <c r="L117" s="241"/>
      <c r="M117" s="242"/>
    </row>
    <row r="118" spans="1:13">
      <c r="A118" s="243"/>
      <c r="B118" s="259">
        <f>SUM(B114:B117)</f>
        <v>4770</v>
      </c>
      <c r="C118" s="241"/>
      <c r="D118" s="241"/>
      <c r="E118" s="241"/>
      <c r="F118" s="241"/>
      <c r="G118" s="241"/>
      <c r="H118" s="241"/>
      <c r="I118" s="241"/>
      <c r="J118" s="241"/>
      <c r="K118" s="241"/>
      <c r="L118" s="241"/>
      <c r="M118" s="242"/>
    </row>
    <row r="119" spans="1:13" ht="15.75" thickBot="1">
      <c r="A119" s="249"/>
      <c r="B119" s="250"/>
      <c r="C119" s="250"/>
      <c r="D119" s="250"/>
      <c r="E119" s="250"/>
      <c r="F119" s="250"/>
      <c r="G119" s="250"/>
      <c r="H119" s="250"/>
      <c r="I119" s="250"/>
      <c r="J119" s="250"/>
      <c r="K119" s="250"/>
      <c r="L119" s="241"/>
      <c r="M119" s="242"/>
    </row>
    <row r="120" spans="1:13" ht="15.75" thickBot="1">
      <c r="A120" s="260" t="s">
        <v>424</v>
      </c>
      <c r="B120" s="260"/>
      <c r="C120" s="260"/>
      <c r="D120" s="260"/>
      <c r="E120" s="260"/>
      <c r="F120" s="260"/>
      <c r="G120" s="260"/>
      <c r="H120" s="260"/>
      <c r="I120" s="260"/>
      <c r="J120" s="260"/>
      <c r="K120" s="260"/>
      <c r="L120" s="260"/>
      <c r="M120" s="260"/>
    </row>
    <row r="121" spans="1:13">
      <c r="A121" s="262" t="s">
        <v>56</v>
      </c>
      <c r="B121" s="263" t="s">
        <v>425</v>
      </c>
      <c r="C121" s="394" t="s">
        <v>632</v>
      </c>
      <c r="D121" s="241"/>
      <c r="E121" s="241"/>
      <c r="F121" s="241"/>
      <c r="G121" s="241"/>
      <c r="H121" s="241"/>
      <c r="I121" s="241"/>
      <c r="J121" s="241"/>
      <c r="K121" s="282"/>
      <c r="L121" s="241"/>
      <c r="M121" s="242"/>
    </row>
    <row r="122" spans="1:13">
      <c r="A122" s="243">
        <v>2010</v>
      </c>
      <c r="B122" s="272">
        <f>(SUMPRODUCT(((Prog)=2010)*Px_Foncier))/(SUMPRODUCT((Nlgts)*(Type&lt;&gt;"Rehab")*((Prog)=2010)))</f>
        <v>22486.427017543861</v>
      </c>
      <c r="C122" s="545">
        <f>(SUMPRODUCT(((Prog)=2010)*Px_Foncier))/(SUMPRODUCT((S_TERRAIN)*(Type&lt;&gt;"Rehab")*((Prog)=2010)))</f>
        <v>67.395432747923024</v>
      </c>
      <c r="D122" s="241"/>
      <c r="E122" s="241"/>
      <c r="F122" s="241"/>
      <c r="G122" s="241"/>
      <c r="H122" s="241"/>
      <c r="I122" s="241"/>
      <c r="J122" s="241"/>
      <c r="K122" s="241"/>
      <c r="L122" s="241"/>
      <c r="M122" s="242"/>
    </row>
    <row r="123" spans="1:13">
      <c r="A123" s="243">
        <v>2011</v>
      </c>
      <c r="B123" s="272">
        <f>(SUMPRODUCT(((Prog)=2011)*Px_Foncier))/(SUMPRODUCT((Nlgts)*(Type&lt;&gt;"Rehab")*((Prog)=2011)))</f>
        <v>20083.822761194031</v>
      </c>
      <c r="C123" s="545">
        <f>(SUMPRODUCT(((Prog)=2011)*Px_Foncier))/(SUMPRODUCT((S_TERRAIN)*(Type&lt;&gt;"Rehab")*((Prog)=2011)))</f>
        <v>114.44260290865793</v>
      </c>
      <c r="D123" s="241"/>
      <c r="E123" s="241"/>
      <c r="F123" s="241"/>
      <c r="G123" s="264"/>
      <c r="H123" s="241"/>
      <c r="I123" s="241"/>
      <c r="J123" s="241"/>
      <c r="K123" s="241"/>
      <c r="L123" s="241"/>
      <c r="M123" s="242"/>
    </row>
    <row r="124" spans="1:13">
      <c r="A124" s="243">
        <v>2012</v>
      </c>
      <c r="B124" s="272">
        <f>(SUMPRODUCT(((Prog)=2012)*Px_Foncier))/(SUMPRODUCT((Nlgts)*(Type&lt;&gt;"Rehab")*((Prog)=2012)))</f>
        <v>13425.0975</v>
      </c>
      <c r="C124" s="545">
        <f>(SUMPRODUCT(((Prog)=2012)*Px_Foncier))/(SUMPRODUCT((S_TERRAIN)*(Type&lt;&gt;"Rehab")*((Prog)=2012)))</f>
        <v>89.000541125989542</v>
      </c>
      <c r="D124" s="241"/>
      <c r="E124" s="241"/>
      <c r="F124" s="241"/>
      <c r="G124" s="241"/>
      <c r="H124" s="241"/>
      <c r="I124" s="241"/>
      <c r="J124" s="241"/>
      <c r="K124" s="241"/>
      <c r="L124" s="241"/>
      <c r="M124" s="242"/>
    </row>
    <row r="125" spans="1:13">
      <c r="A125" s="243">
        <v>2013</v>
      </c>
      <c r="B125" s="272">
        <f>(SUMPRODUCT(((Prog)=2013)*Px_Foncier))/(SUMPRODUCT((Nlgts)*(Type&lt;&gt;"Rehab")*((Prog)=2013)))</f>
        <v>13305.622828784119</v>
      </c>
      <c r="C125" s="545">
        <f>(SUMPRODUCT(((Prog)=2013)*Px_Foncier))/(SUMPRODUCT((S_TERRAIN)*(Type&lt;&gt;"Rehab")*((Prog)=2013)))</f>
        <v>62.346417691788943</v>
      </c>
      <c r="D125" s="241"/>
      <c r="E125" s="241"/>
      <c r="F125" s="241"/>
      <c r="G125" s="241"/>
      <c r="H125" s="241"/>
      <c r="I125" s="241"/>
      <c r="J125" s="241"/>
      <c r="K125" s="241"/>
      <c r="L125" s="241"/>
      <c r="M125" s="242"/>
    </row>
    <row r="126" spans="1:13">
      <c r="A126" s="243">
        <v>2014</v>
      </c>
      <c r="B126" s="272">
        <f>(SUMPRODUCT(((Prog)=2014)*Px_Foncier))/(SUMPRODUCT((Nlgts)*(Type&lt;&gt;"Rehab")*((Prog)=2014)))</f>
        <v>16551.254335260117</v>
      </c>
      <c r="C126" s="545">
        <f>(SUMPRODUCT(((Prog)=2014)*Px_Foncier))/(SUMPRODUCT((S_TERRAIN)*(Type&lt;&gt;"Rehab")*((Prog)=2014)))</f>
        <v>150.84643346328102</v>
      </c>
      <c r="D126" s="241"/>
      <c r="E126" s="241"/>
      <c r="F126" s="241"/>
      <c r="G126" s="241"/>
      <c r="H126" s="241"/>
      <c r="I126" s="241"/>
      <c r="J126" s="241"/>
      <c r="K126" s="241"/>
      <c r="L126" s="241"/>
      <c r="M126" s="242"/>
    </row>
    <row r="127" spans="1:13">
      <c r="A127" s="243">
        <v>2015</v>
      </c>
      <c r="B127" s="272">
        <f>(SUMPRODUCT(((Prog)=2015)*Px_Foncier))/(SUMPRODUCT((Nlgts)*(Type&lt;&gt;"Rehab")*((Prog)=2015)))</f>
        <v>13379.85576923077</v>
      </c>
      <c r="C127" s="545">
        <f>(SUMPRODUCT(((Prog)=2015)*Px_Foncier))/(SUMPRODUCT((S_TERRAIN)*(Type&lt;&gt;"Rehab")*((Prog)=2015)))</f>
        <v>86.137299204556001</v>
      </c>
      <c r="D127" s="241"/>
      <c r="E127" s="241"/>
      <c r="F127" s="241"/>
      <c r="G127" s="241"/>
      <c r="H127" s="241"/>
      <c r="I127" s="241"/>
      <c r="J127" s="241"/>
      <c r="K127" s="241"/>
      <c r="L127" s="296"/>
      <c r="M127" s="242"/>
    </row>
    <row r="128" spans="1:13">
      <c r="A128" s="243">
        <v>2016</v>
      </c>
      <c r="B128" s="272">
        <f>(SUMPRODUCT(((Prog)=2016)*Px_Foncier))/(SUMPRODUCT((Nlgts)*(Type&lt;&gt;"Rehab")*((Prog)=2016)))</f>
        <v>11687.575091575092</v>
      </c>
      <c r="C128" s="545">
        <f>(SUMPRODUCT(((Prog)=2016)*Px_Foncier))/(SUMPRODUCT((S_TERRAIN)*(Type&lt;&gt;"Rehab")*((Prog)=2016)))</f>
        <v>94.893766357363788</v>
      </c>
      <c r="D128" s="241"/>
      <c r="E128" s="241"/>
      <c r="F128" s="241"/>
      <c r="G128" s="241"/>
      <c r="H128" s="241"/>
      <c r="I128" s="241"/>
      <c r="J128" s="241"/>
      <c r="K128" s="241"/>
      <c r="L128" s="241"/>
      <c r="M128" s="242"/>
    </row>
    <row r="129" spans="1:13">
      <c r="A129" s="243">
        <v>2017</v>
      </c>
      <c r="B129" s="272">
        <f>(SUMPRODUCT(((Prog)=2017)*Px_Foncier))/(SUMPRODUCT((Nlgts)*(Type&lt;&gt;"Rehab")*((Prog)=2017)))</f>
        <v>7730.4939385820398</v>
      </c>
      <c r="C129" s="545">
        <f>(SUMPRODUCT(((Prog)=2017)*Px_Foncier))/(SUMPRODUCT((S_TERRAIN)*(Type&lt;&gt;"Rehab")*((Prog)=2017)))</f>
        <v>82.424226031016971</v>
      </c>
      <c r="D129" s="241"/>
      <c r="E129" s="241"/>
      <c r="F129" s="241"/>
      <c r="G129" s="241"/>
      <c r="H129" s="241"/>
      <c r="I129" s="241"/>
      <c r="J129" s="241"/>
      <c r="K129" s="241"/>
      <c r="L129" s="241"/>
      <c r="M129" s="242"/>
    </row>
    <row r="130" spans="1:13">
      <c r="A130" s="543">
        <v>2018</v>
      </c>
      <c r="B130" s="544">
        <f>(SUMPRODUCT(((Prog)=2018)*Px_Foncier))/(SUMPRODUCT((Nlgts)*(Type&lt;&gt;"Rehab")*((Prog)=2018)))</f>
        <v>8034.72</v>
      </c>
      <c r="C130" s="545">
        <f>(SUMPRODUCT(((Prog)=2018)*Px_Foncier))/(SUMPRODUCT((S_TERRAIN)*(Type&lt;&gt;"Rehab")*((Prog)=2018)))</f>
        <v>80.306316784182599</v>
      </c>
      <c r="D130" s="241"/>
      <c r="E130" s="241"/>
      <c r="F130" s="241"/>
      <c r="G130" s="241"/>
      <c r="H130" s="241"/>
      <c r="I130" s="241"/>
      <c r="J130" s="241"/>
      <c r="K130" s="241"/>
      <c r="L130" s="241"/>
      <c r="M130" s="242"/>
    </row>
    <row r="131" spans="1:13">
      <c r="A131" s="336">
        <v>2019</v>
      </c>
      <c r="B131" s="337">
        <f>(SUMPRODUCT(((Prog)=2019)*Px_Foncier))/(SUMPRODUCT((Nlgts)*(Type&lt;&gt;"Rehab")*((Prog)=2019)))</f>
        <v>12840.76923076923</v>
      </c>
      <c r="C131" s="545">
        <f>(SUMPRODUCT(((Prog)=2019)*Px_Foncier))/(SUMPRODUCT((S_TERRAIN)*(Type&lt;&gt;"Rehab")*((Prog)=2019)))</f>
        <v>196.94431335535631</v>
      </c>
      <c r="D131" s="241"/>
      <c r="E131" s="241"/>
      <c r="F131" s="241"/>
      <c r="G131" s="241"/>
      <c r="H131" s="241"/>
      <c r="I131" s="241"/>
      <c r="J131" s="241"/>
      <c r="K131" s="241"/>
      <c r="L131" s="241"/>
      <c r="M131" s="242"/>
    </row>
    <row r="132" spans="1:13" ht="15.75" thickBot="1">
      <c r="A132" s="249"/>
      <c r="B132" s="250"/>
      <c r="C132" s="250"/>
      <c r="D132" s="250"/>
      <c r="E132" s="250"/>
      <c r="F132" s="250"/>
      <c r="G132" s="250"/>
      <c r="H132" s="250"/>
      <c r="I132" s="250"/>
      <c r="J132" s="250"/>
      <c r="K132" s="250"/>
      <c r="L132" s="241"/>
      <c r="M132" s="242"/>
    </row>
    <row r="133" spans="1:13" ht="15.75" thickBot="1">
      <c r="A133" s="260" t="s">
        <v>665</v>
      </c>
      <c r="B133" s="260"/>
      <c r="C133" s="260"/>
      <c r="D133" s="260"/>
      <c r="E133" s="260"/>
      <c r="F133" s="260"/>
      <c r="G133" s="260"/>
      <c r="H133" s="260"/>
      <c r="I133" s="260"/>
      <c r="J133" s="261"/>
      <c r="K133" s="261"/>
      <c r="L133" s="261"/>
      <c r="M133" s="261"/>
    </row>
    <row r="134" spans="1:13" ht="15.75" thickBot="1">
      <c r="A134" s="281"/>
      <c r="B134" s="282"/>
      <c r="C134" s="282"/>
      <c r="D134" s="282"/>
      <c r="E134" s="282"/>
      <c r="F134" s="282"/>
      <c r="G134" s="282"/>
      <c r="H134" s="282"/>
      <c r="I134" s="282"/>
      <c r="J134" s="282"/>
      <c r="K134" s="615"/>
      <c r="L134" s="241"/>
      <c r="M134" s="242"/>
    </row>
    <row r="135" spans="1:13" ht="15.75" thickBot="1">
      <c r="A135" s="243"/>
      <c r="B135" s="22" t="e">
        <f>#REF!</f>
        <v>#REF!</v>
      </c>
      <c r="C135" s="22" t="e">
        <f>#REF!</f>
        <v>#REF!</v>
      </c>
      <c r="D135" s="22" t="e">
        <f>#REF!</f>
        <v>#REF!</v>
      </c>
      <c r="E135" s="22" t="e">
        <f>#REF!</f>
        <v>#REF!</v>
      </c>
      <c r="F135" s="22" t="e">
        <f>#REF!</f>
        <v>#REF!</v>
      </c>
      <c r="G135" s="22" t="e">
        <f>#REF!</f>
        <v>#REF!</v>
      </c>
      <c r="H135" s="22" t="e">
        <f>#REF!</f>
        <v>#REF!</v>
      </c>
      <c r="I135" s="22" t="e">
        <f>#REF!</f>
        <v>#REF!</v>
      </c>
      <c r="J135" s="22" t="e">
        <f>#REF!</f>
        <v>#REF!</v>
      </c>
      <c r="K135" s="22" t="e">
        <f>#REF!</f>
        <v>#REF!</v>
      </c>
      <c r="L135" s="22" t="e">
        <f>#REF!</f>
        <v>#REF!</v>
      </c>
      <c r="M135" s="242"/>
    </row>
    <row r="136" spans="1:13">
      <c r="A136" s="269" t="e">
        <f>#REF!</f>
        <v>#REF!</v>
      </c>
      <c r="B136" s="266" t="e">
        <f>#REF!</f>
        <v>#REF!</v>
      </c>
      <c r="C136" s="266" t="e">
        <f>#REF!</f>
        <v>#REF!</v>
      </c>
      <c r="D136" s="266" t="e">
        <f>#REF!</f>
        <v>#REF!</v>
      </c>
      <c r="E136" s="266" t="e">
        <f>#REF!</f>
        <v>#REF!</v>
      </c>
      <c r="F136" s="266" t="e">
        <f>#REF!</f>
        <v>#REF!</v>
      </c>
      <c r="G136" s="266" t="e">
        <f>#REF!</f>
        <v>#REF!</v>
      </c>
      <c r="H136" s="266" t="e">
        <f>#REF!</f>
        <v>#REF!</v>
      </c>
      <c r="I136" s="266" t="e">
        <f>#REF!</f>
        <v>#REF!</v>
      </c>
      <c r="J136" s="266" t="e">
        <f>#REF!</f>
        <v>#REF!</v>
      </c>
      <c r="K136" s="266" t="e">
        <f>#REF!</f>
        <v>#REF!</v>
      </c>
      <c r="L136" s="266" t="e">
        <f>#REF!</f>
        <v>#REF!</v>
      </c>
      <c r="M136" s="242"/>
    </row>
    <row r="137" spans="1:13">
      <c r="A137" s="270" t="e">
        <f>#REF!</f>
        <v>#REF!</v>
      </c>
      <c r="B137" s="267" t="e">
        <f>#REF!</f>
        <v>#REF!</v>
      </c>
      <c r="C137" s="267" t="e">
        <f>#REF!</f>
        <v>#REF!</v>
      </c>
      <c r="D137" s="267" t="e">
        <f>#REF!</f>
        <v>#REF!</v>
      </c>
      <c r="E137" s="267" t="e">
        <f>#REF!</f>
        <v>#REF!</v>
      </c>
      <c r="F137" s="267" t="e">
        <f>#REF!</f>
        <v>#REF!</v>
      </c>
      <c r="G137" s="267" t="e">
        <f>#REF!</f>
        <v>#REF!</v>
      </c>
      <c r="H137" s="267" t="e">
        <f>#REF!</f>
        <v>#REF!</v>
      </c>
      <c r="I137" s="267" t="e">
        <f>#REF!</f>
        <v>#REF!</v>
      </c>
      <c r="J137" s="267" t="e">
        <f>#REF!</f>
        <v>#REF!</v>
      </c>
      <c r="K137" s="267" t="e">
        <f>#REF!</f>
        <v>#REF!</v>
      </c>
      <c r="L137" s="267" t="e">
        <f>#REF!</f>
        <v>#REF!</v>
      </c>
      <c r="M137" s="242"/>
    </row>
    <row r="138" spans="1:13" ht="15.75" thickBot="1">
      <c r="A138" s="271" t="e">
        <f>#REF!</f>
        <v>#REF!</v>
      </c>
      <c r="B138" s="268" t="e">
        <f>#REF!</f>
        <v>#REF!</v>
      </c>
      <c r="C138" s="268" t="e">
        <f>#REF!</f>
        <v>#REF!</v>
      </c>
      <c r="D138" s="268" t="e">
        <f>#REF!</f>
        <v>#REF!</v>
      </c>
      <c r="E138" s="268" t="e">
        <f>#REF!</f>
        <v>#REF!</v>
      </c>
      <c r="F138" s="268" t="e">
        <f>#REF!</f>
        <v>#REF!</v>
      </c>
      <c r="G138" s="268" t="e">
        <f>#REF!</f>
        <v>#REF!</v>
      </c>
      <c r="H138" s="268" t="e">
        <f>#REF!</f>
        <v>#REF!</v>
      </c>
      <c r="I138" s="268" t="e">
        <f>#REF!</f>
        <v>#REF!</v>
      </c>
      <c r="J138" s="268" t="e">
        <f>#REF!</f>
        <v>#REF!</v>
      </c>
      <c r="K138" s="268" t="e">
        <f>#REF!</f>
        <v>#REF!</v>
      </c>
      <c r="L138" s="268" t="e">
        <f>#REF!</f>
        <v>#REF!</v>
      </c>
      <c r="M138" s="242"/>
    </row>
    <row r="139" spans="1:13" ht="15.75" thickBot="1">
      <c r="A139" s="243"/>
      <c r="B139" s="22" t="e">
        <f>#REF!</f>
        <v>#REF!</v>
      </c>
      <c r="C139" s="22" t="e">
        <f>#REF!</f>
        <v>#REF!</v>
      </c>
      <c r="D139" s="22" t="e">
        <f>#REF!</f>
        <v>#REF!</v>
      </c>
      <c r="E139" s="22" t="e">
        <f>#REF!</f>
        <v>#REF!</v>
      </c>
      <c r="F139" s="22" t="e">
        <f>#REF!</f>
        <v>#REF!</v>
      </c>
      <c r="G139" s="22" t="e">
        <f>#REF!</f>
        <v>#REF!</v>
      </c>
      <c r="H139" s="22" t="e">
        <f>#REF!</f>
        <v>#REF!</v>
      </c>
      <c r="I139" s="22" t="e">
        <f>#REF!</f>
        <v>#REF!</v>
      </c>
      <c r="J139" s="22" t="e">
        <f>#REF!</f>
        <v>#REF!</v>
      </c>
      <c r="K139" s="22" t="e">
        <f>#REF!</f>
        <v>#REF!</v>
      </c>
      <c r="L139" s="22" t="e">
        <f>#REF!</f>
        <v>#REF!</v>
      </c>
      <c r="M139" s="242"/>
    </row>
    <row r="140" spans="1:13">
      <c r="A140" s="243"/>
      <c r="B140" s="241"/>
      <c r="C140" s="241"/>
      <c r="D140" s="241"/>
      <c r="E140" s="241"/>
      <c r="F140" s="241"/>
      <c r="G140" s="241"/>
      <c r="H140" s="241"/>
      <c r="I140" s="241"/>
      <c r="J140" s="241"/>
      <c r="K140" s="282"/>
      <c r="L140" s="241"/>
      <c r="M140" s="242"/>
    </row>
    <row r="141" spans="1:13">
      <c r="A141" s="243"/>
      <c r="B141" s="241"/>
      <c r="C141" s="241"/>
      <c r="D141" s="241"/>
      <c r="E141" s="241"/>
      <c r="F141" s="241"/>
      <c r="G141" s="241"/>
      <c r="H141" s="241"/>
      <c r="I141" s="241"/>
      <c r="J141" s="241"/>
      <c r="K141" s="241"/>
      <c r="L141" s="241"/>
      <c r="M141" s="242"/>
    </row>
    <row r="142" spans="1:13">
      <c r="A142" s="243"/>
      <c r="B142" s="241"/>
      <c r="C142" s="241"/>
      <c r="D142" s="241"/>
      <c r="E142" s="241"/>
      <c r="F142" s="241"/>
      <c r="G142" s="241"/>
      <c r="H142" s="241"/>
      <c r="I142" s="241"/>
      <c r="J142" s="241"/>
      <c r="K142" s="241"/>
      <c r="L142" s="241"/>
      <c r="M142" s="292"/>
    </row>
    <row r="143" spans="1:13">
      <c r="A143" s="243"/>
      <c r="B143" s="241"/>
      <c r="C143" s="241"/>
      <c r="D143" s="241"/>
      <c r="E143" s="241"/>
      <c r="F143" s="241"/>
      <c r="G143" s="241"/>
      <c r="H143" s="241"/>
      <c r="I143" s="241"/>
      <c r="J143" s="241"/>
      <c r="K143" s="241"/>
      <c r="L143" s="241"/>
      <c r="M143" s="242"/>
    </row>
    <row r="144" spans="1:13">
      <c r="A144" s="243"/>
      <c r="B144" s="241"/>
      <c r="C144" s="241"/>
      <c r="D144" s="241"/>
      <c r="E144" s="241"/>
      <c r="F144" s="241"/>
      <c r="G144" s="241"/>
      <c r="H144" s="241"/>
      <c r="I144" s="241"/>
      <c r="J144" s="241"/>
      <c r="K144" s="241"/>
      <c r="L144" s="241"/>
      <c r="M144" s="242"/>
    </row>
    <row r="145" spans="1:13">
      <c r="A145" s="243"/>
      <c r="B145" s="241"/>
      <c r="C145" s="241"/>
      <c r="D145" s="241"/>
      <c r="E145" s="241"/>
      <c r="F145" s="241"/>
      <c r="G145" s="241"/>
      <c r="H145" s="241"/>
      <c r="I145" s="241"/>
      <c r="J145" s="241"/>
      <c r="K145" s="241"/>
      <c r="L145" s="241"/>
      <c r="M145" s="242"/>
    </row>
    <row r="146" spans="1:13">
      <c r="A146" s="243"/>
      <c r="B146" s="241"/>
      <c r="C146" s="241"/>
      <c r="D146" s="241"/>
      <c r="E146" s="241"/>
      <c r="F146" s="241"/>
      <c r="G146" s="241"/>
      <c r="H146" s="241"/>
      <c r="I146" s="241"/>
      <c r="J146" s="241"/>
      <c r="K146" s="241"/>
      <c r="L146" s="241"/>
      <c r="M146" s="242"/>
    </row>
    <row r="147" spans="1:13">
      <c r="A147" s="243"/>
      <c r="B147" s="241"/>
      <c r="C147" s="241"/>
      <c r="D147" s="241"/>
      <c r="E147" s="241"/>
      <c r="F147" s="241"/>
      <c r="G147" s="241"/>
      <c r="H147" s="241"/>
      <c r="I147" s="241"/>
      <c r="J147" s="241"/>
      <c r="K147" s="241"/>
      <c r="L147" s="241"/>
      <c r="M147" s="242"/>
    </row>
    <row r="148" spans="1:13">
      <c r="A148" s="243"/>
      <c r="B148" s="241"/>
      <c r="C148" s="241"/>
      <c r="D148" s="241"/>
      <c r="E148" s="241"/>
      <c r="F148" s="241"/>
      <c r="G148" s="241"/>
      <c r="H148" s="241"/>
      <c r="I148" s="241"/>
      <c r="J148" s="241"/>
      <c r="K148" s="241"/>
      <c r="L148" s="241"/>
      <c r="M148" s="242"/>
    </row>
    <row r="149" spans="1:13">
      <c r="A149" s="243"/>
      <c r="B149" s="241"/>
      <c r="C149" s="241"/>
      <c r="D149" s="241"/>
      <c r="E149" s="241"/>
      <c r="F149" s="241"/>
      <c r="G149" s="241"/>
      <c r="H149" s="241"/>
      <c r="I149" s="241"/>
      <c r="J149" s="241"/>
      <c r="K149" s="241"/>
      <c r="L149" s="241"/>
      <c r="M149" s="242"/>
    </row>
    <row r="150" spans="1:13">
      <c r="A150" s="243"/>
      <c r="B150" s="241"/>
      <c r="C150" s="241"/>
      <c r="D150" s="241"/>
      <c r="E150" s="241"/>
      <c r="F150" s="241"/>
      <c r="G150" s="241"/>
      <c r="H150" s="241"/>
      <c r="I150" s="241"/>
      <c r="J150" s="241"/>
      <c r="K150" s="241"/>
      <c r="L150" s="241"/>
      <c r="M150" s="242"/>
    </row>
    <row r="151" spans="1:13">
      <c r="A151" s="243"/>
      <c r="B151" s="241"/>
      <c r="C151" s="241"/>
      <c r="D151" s="241"/>
      <c r="E151" s="241"/>
      <c r="F151" s="241"/>
      <c r="G151" s="241"/>
      <c r="H151" s="241"/>
      <c r="I151" s="241"/>
      <c r="J151" s="241"/>
      <c r="K151" s="241"/>
      <c r="L151" s="241"/>
      <c r="M151" s="242"/>
    </row>
    <row r="152" spans="1:13">
      <c r="A152" s="243"/>
      <c r="B152" s="241"/>
      <c r="C152" s="241"/>
      <c r="D152" s="241"/>
      <c r="E152" s="241"/>
      <c r="F152" s="241"/>
      <c r="G152" s="241"/>
      <c r="H152" s="241"/>
      <c r="I152" s="241"/>
      <c r="J152" s="241"/>
      <c r="K152" s="241"/>
      <c r="L152" s="241"/>
      <c r="M152" s="242"/>
    </row>
    <row r="153" spans="1:13">
      <c r="A153" s="243"/>
      <c r="B153" s="241"/>
      <c r="C153" s="241"/>
      <c r="D153" s="241"/>
      <c r="E153" s="241"/>
      <c r="F153" s="241"/>
      <c r="G153" s="241"/>
      <c r="H153" s="241"/>
      <c r="I153" s="241"/>
      <c r="J153" s="241"/>
      <c r="K153" s="241"/>
      <c r="L153" s="241"/>
      <c r="M153" s="242"/>
    </row>
    <row r="154" spans="1:13">
      <c r="A154" s="243"/>
      <c r="B154" s="241"/>
      <c r="C154" s="241"/>
      <c r="D154" s="241"/>
      <c r="E154" s="241"/>
      <c r="F154" s="241"/>
      <c r="G154" s="241"/>
      <c r="H154" s="241"/>
      <c r="I154" s="241"/>
      <c r="J154" s="241"/>
      <c r="K154" s="241"/>
      <c r="L154" s="241"/>
      <c r="M154" s="242"/>
    </row>
    <row r="155" spans="1:13">
      <c r="A155" s="243"/>
      <c r="B155" s="241"/>
      <c r="C155" s="241"/>
      <c r="D155" s="241"/>
      <c r="E155" s="241"/>
      <c r="F155" s="241"/>
      <c r="G155" s="241"/>
      <c r="H155" s="241"/>
      <c r="I155" s="241"/>
      <c r="J155" s="241"/>
      <c r="K155" s="241"/>
      <c r="L155" s="241"/>
      <c r="M155" s="242"/>
    </row>
    <row r="156" spans="1:13" ht="15.75" thickBot="1">
      <c r="A156" s="249"/>
      <c r="B156" s="250"/>
      <c r="C156" s="250"/>
      <c r="D156" s="250"/>
      <c r="E156" s="250"/>
      <c r="F156" s="250"/>
      <c r="G156" s="250"/>
      <c r="H156" s="250"/>
      <c r="I156" s="250"/>
      <c r="J156" s="250"/>
      <c r="K156" s="250"/>
      <c r="L156" s="241"/>
      <c r="M156" s="242"/>
    </row>
    <row r="157" spans="1:13">
      <c r="A157" s="260" t="s">
        <v>643</v>
      </c>
      <c r="B157" s="260"/>
      <c r="C157" s="260"/>
      <c r="D157" s="260"/>
      <c r="E157" s="260"/>
      <c r="F157" s="260"/>
      <c r="G157" s="260"/>
      <c r="H157" s="260"/>
      <c r="I157" s="260"/>
      <c r="J157" s="261"/>
      <c r="K157" s="261"/>
      <c r="L157" s="261"/>
      <c r="M157" s="261"/>
    </row>
    <row r="158" spans="1:13" ht="15.75" thickBot="1">
      <c r="A158" s="243"/>
      <c r="B158" s="241"/>
      <c r="C158" s="241"/>
      <c r="K158" s="241"/>
      <c r="L158" s="241"/>
      <c r="M158" s="242"/>
    </row>
    <row r="159" spans="1:13" ht="15.75" thickBot="1">
      <c r="A159" s="243"/>
      <c r="B159" s="283">
        <v>2010</v>
      </c>
      <c r="C159" s="283">
        <v>2011</v>
      </c>
      <c r="D159" s="283">
        <v>2012</v>
      </c>
      <c r="E159" s="283">
        <v>2013</v>
      </c>
      <c r="F159" s="283">
        <v>2014</v>
      </c>
      <c r="G159" s="283">
        <v>2015</v>
      </c>
      <c r="H159" s="283">
        <v>2016</v>
      </c>
      <c r="I159" s="283">
        <v>2017</v>
      </c>
      <c r="J159" s="283">
        <v>2018</v>
      </c>
      <c r="K159" s="283">
        <v>2019</v>
      </c>
      <c r="L159" s="294" t="s">
        <v>426</v>
      </c>
      <c r="M159" s="242"/>
    </row>
    <row r="160" spans="1:13">
      <c r="A160" s="779" t="s">
        <v>9</v>
      </c>
      <c r="B160" s="286" t="e">
        <f>#REF!</f>
        <v>#REF!</v>
      </c>
      <c r="C160" s="286" t="e">
        <f>#REF!</f>
        <v>#REF!</v>
      </c>
      <c r="D160" s="286" t="e">
        <f>#REF!</f>
        <v>#REF!</v>
      </c>
      <c r="E160" s="286" t="e">
        <f>#REF!</f>
        <v>#REF!</v>
      </c>
      <c r="F160" s="286" t="e">
        <f>#REF!</f>
        <v>#REF!</v>
      </c>
      <c r="G160" s="286" t="e">
        <f>#REF!</f>
        <v>#REF!</v>
      </c>
      <c r="H160" s="286" t="e">
        <f>#REF!</f>
        <v>#REF!</v>
      </c>
      <c r="I160" s="286" t="e">
        <f>#REF!</f>
        <v>#REF!</v>
      </c>
      <c r="J160" s="286" t="e">
        <f>#REF!</f>
        <v>#REF!</v>
      </c>
      <c r="K160" s="286" t="e">
        <f>#REF!</f>
        <v>#REF!</v>
      </c>
      <c r="L160" s="287" t="e">
        <f>AVERAGE(B160:K160)</f>
        <v>#REF!</v>
      </c>
      <c r="M160" s="242"/>
    </row>
    <row r="161" spans="1:14">
      <c r="A161" s="780" t="s">
        <v>10</v>
      </c>
      <c r="B161" s="284"/>
      <c r="C161" s="284"/>
      <c r="D161" s="284"/>
      <c r="E161" s="284"/>
      <c r="F161" s="284"/>
      <c r="G161" s="284"/>
      <c r="H161" s="284"/>
      <c r="I161" s="284"/>
      <c r="J161" s="284"/>
      <c r="K161" s="284"/>
      <c r="L161" s="288"/>
      <c r="M161" s="242"/>
    </row>
    <row r="162" spans="1:14" ht="15.75" thickBot="1">
      <c r="A162" s="781" t="s">
        <v>333</v>
      </c>
      <c r="B162" s="289"/>
      <c r="C162" s="289"/>
      <c r="D162" s="289"/>
      <c r="E162" s="289"/>
      <c r="F162" s="289"/>
      <c r="G162" s="289"/>
      <c r="H162" s="289"/>
      <c r="I162" s="289"/>
      <c r="J162" s="289"/>
      <c r="K162" s="289"/>
      <c r="L162" s="290"/>
      <c r="M162" s="242"/>
    </row>
    <row r="163" spans="1:14" ht="15.75" thickBot="1">
      <c r="A163" s="243"/>
      <c r="B163" s="285" t="e">
        <f>SUM(B160:B162)</f>
        <v>#REF!</v>
      </c>
      <c r="C163" s="285" t="e">
        <f t="shared" ref="C163:K163" si="21">SUM(C160:C162)</f>
        <v>#REF!</v>
      </c>
      <c r="D163" s="285" t="e">
        <f t="shared" si="21"/>
        <v>#REF!</v>
      </c>
      <c r="E163" s="285" t="e">
        <f t="shared" si="21"/>
        <v>#REF!</v>
      </c>
      <c r="F163" s="285" t="e">
        <f t="shared" si="21"/>
        <v>#REF!</v>
      </c>
      <c r="G163" s="285" t="e">
        <f t="shared" si="21"/>
        <v>#REF!</v>
      </c>
      <c r="H163" s="285" t="e">
        <f t="shared" si="21"/>
        <v>#REF!</v>
      </c>
      <c r="I163" s="285" t="e">
        <f t="shared" si="21"/>
        <v>#REF!</v>
      </c>
      <c r="J163" s="285" t="e">
        <f t="shared" si="21"/>
        <v>#REF!</v>
      </c>
      <c r="K163" s="285" t="e">
        <f t="shared" si="21"/>
        <v>#REF!</v>
      </c>
      <c r="L163" s="291" t="e">
        <f>L160</f>
        <v>#REF!</v>
      </c>
      <c r="M163" s="293">
        <f>COUNTA(B163:J163)</f>
        <v>9</v>
      </c>
    </row>
    <row r="164" spans="1:14">
      <c r="A164" s="243"/>
      <c r="B164" s="241"/>
      <c r="C164" s="241"/>
      <c r="L164" s="241"/>
      <c r="M164" s="242"/>
    </row>
    <row r="165" spans="1:14">
      <c r="A165" s="243"/>
      <c r="B165" s="241"/>
      <c r="C165" s="241"/>
      <c r="M165" s="242"/>
    </row>
    <row r="166" spans="1:14">
      <c r="A166" s="243"/>
      <c r="B166" s="241"/>
      <c r="C166" s="241"/>
      <c r="M166" s="242"/>
    </row>
    <row r="167" spans="1:14">
      <c r="A167" s="243"/>
      <c r="B167" s="241"/>
      <c r="C167" s="241"/>
      <c r="M167" s="242"/>
    </row>
    <row r="168" spans="1:14">
      <c r="A168" s="243"/>
      <c r="B168" s="241"/>
      <c r="C168" s="241"/>
      <c r="M168" s="242"/>
    </row>
    <row r="169" spans="1:14">
      <c r="A169" s="243"/>
      <c r="B169" s="241"/>
      <c r="C169" s="241"/>
      <c r="M169" s="242"/>
    </row>
    <row r="170" spans="1:14">
      <c r="A170" s="243"/>
      <c r="B170" s="241"/>
      <c r="C170" s="241"/>
      <c r="M170" s="242"/>
      <c r="N170" s="527">
        <f>16885-13233</f>
        <v>3652</v>
      </c>
    </row>
    <row r="171" spans="1:14">
      <c r="A171" s="243"/>
      <c r="B171" s="241"/>
      <c r="C171" s="241"/>
      <c r="M171" s="242"/>
      <c r="N171" s="527">
        <f>N170*400</f>
        <v>1460800</v>
      </c>
    </row>
    <row r="172" spans="1:14">
      <c r="A172" s="243"/>
      <c r="B172" s="241"/>
      <c r="C172" s="241"/>
      <c r="M172" s="242"/>
    </row>
    <row r="173" spans="1:14">
      <c r="A173" s="243"/>
      <c r="B173" s="241"/>
      <c r="C173" s="241"/>
      <c r="M173" s="242"/>
    </row>
    <row r="174" spans="1:14">
      <c r="A174" s="243"/>
      <c r="B174" s="241"/>
      <c r="C174" s="241"/>
      <c r="M174" s="242"/>
    </row>
    <row r="175" spans="1:14">
      <c r="A175" s="243"/>
      <c r="B175" s="241"/>
      <c r="C175" s="241"/>
      <c r="M175" s="242"/>
    </row>
    <row r="176" spans="1:14">
      <c r="A176" s="243"/>
      <c r="B176" s="241"/>
      <c r="C176" s="241"/>
      <c r="M176" s="242"/>
    </row>
    <row r="177" spans="1:13">
      <c r="A177" s="243"/>
      <c r="B177" s="241"/>
      <c r="C177" s="241"/>
      <c r="M177" s="242"/>
    </row>
    <row r="178" spans="1:13">
      <c r="A178" s="243"/>
      <c r="B178" s="241"/>
      <c r="C178" s="241"/>
      <c r="M178" s="242"/>
    </row>
    <row r="179" spans="1:13" ht="15.75" thickBot="1">
      <c r="A179" s="249"/>
      <c r="B179" s="250"/>
      <c r="C179" s="250"/>
      <c r="D179" s="250"/>
      <c r="E179" s="250"/>
      <c r="F179" s="250"/>
      <c r="G179" s="250"/>
      <c r="H179" s="250"/>
      <c r="I179" s="250"/>
      <c r="J179" s="250"/>
      <c r="K179" s="250"/>
      <c r="L179" s="250"/>
      <c r="M179" s="251"/>
    </row>
    <row r="180" spans="1:13">
      <c r="A180" s="260" t="s">
        <v>487</v>
      </c>
      <c r="B180" s="260"/>
      <c r="C180" s="260"/>
      <c r="D180" s="260"/>
      <c r="E180" s="260"/>
      <c r="F180" s="260"/>
      <c r="G180" s="260"/>
      <c r="H180" s="260"/>
      <c r="I180" s="260"/>
      <c r="J180" s="261"/>
      <c r="K180" s="261"/>
      <c r="L180" s="261"/>
      <c r="M180" s="261"/>
    </row>
    <row r="182" spans="1:13" s="399" customFormat="1" ht="30.75" customHeight="1">
      <c r="A182" s="25" t="s">
        <v>431</v>
      </c>
      <c r="B182" s="25" t="s">
        <v>488</v>
      </c>
      <c r="C182" s="6"/>
      <c r="D182" s="418" t="s">
        <v>489</v>
      </c>
      <c r="M182" s="419" t="s">
        <v>490</v>
      </c>
    </row>
    <row r="183" spans="1:13">
      <c r="A183" s="1">
        <v>2010</v>
      </c>
      <c r="B183" s="322"/>
      <c r="D183" s="415"/>
      <c r="M183" s="415"/>
    </row>
    <row r="184" spans="1:13">
      <c r="A184" s="1">
        <v>2011</v>
      </c>
      <c r="B184" s="322"/>
      <c r="D184" s="416"/>
      <c r="M184" s="416"/>
    </row>
    <row r="185" spans="1:13">
      <c r="A185" s="1">
        <v>2012</v>
      </c>
      <c r="B185" s="322"/>
      <c r="D185" s="415"/>
      <c r="M185" s="415"/>
    </row>
    <row r="186" spans="1:13">
      <c r="A186" s="1">
        <v>2013</v>
      </c>
      <c r="B186" s="320" t="e">
        <f>(SUMPRODUCT((YEAR(Livraison)=2013)*PRP))/(SUMPRODUCT((Nlgts)*(Type&lt;&gt;"Rehab")*(Type&lt;&gt;"PLS")*((YEAR(Livraison)=2013))))</f>
        <v>#REF!</v>
      </c>
      <c r="D186" s="414" t="e">
        <f>(SUMPRODUCT((YEAR(Livraison)=2013)*PRP))/(SUMPRODUCT((SF)*(Type&lt;&gt;"Rehab")*(Type&lt;&gt;"PLS")*((YEAR(Livraison)=2013))))</f>
        <v>#REF!</v>
      </c>
      <c r="M186" s="414">
        <f>(SUMPRODUCT((YEAR(Livraison)=2013)*SF))/(SUMPRODUCT((Nlgts)*(Type&lt;&gt;"Rehab")*(Type&lt;&gt;"PLS")*((YEAR(Livraison)=2013))))</f>
        <v>83.375857142857129</v>
      </c>
    </row>
    <row r="187" spans="1:13">
      <c r="A187" s="1">
        <v>2014</v>
      </c>
      <c r="B187" s="320" t="e">
        <f>(SUMPRODUCT((YEAR(Livraison)=2014)*PRP))/(SUMPRODUCT((Nlgts)*(Type&lt;&gt;"Rehab")*(Type&lt;&gt;"PLS")*((YEAR(Livraison)=2014))))</f>
        <v>#REF!</v>
      </c>
      <c r="C187" s="33" t="e">
        <f>(Tableau1[[#This Row],[AU LOGEMENT]]-B186)/B186</f>
        <v>#REF!</v>
      </c>
      <c r="D187" s="413" t="e">
        <f>(SUMPRODUCT((YEAR(Livraison)=2014)*PRP))/(SUMPRODUCT((SF)*(Type&lt;&gt;"Rehab")*(Type&lt;&gt;"PLS")*((YEAR(Livraison)=2014))))</f>
        <v>#REF!</v>
      </c>
      <c r="E187" s="33" t="e">
        <f>(D187-D186)/D186</f>
        <v>#REF!</v>
      </c>
      <c r="M187" s="413">
        <f>(SUMPRODUCT((YEAR(Livraison)=2014)*SF))/(SUMPRODUCT((Nlgts)*(Type&lt;&gt;"Rehab")*(Type&lt;&gt;"PLS")*((YEAR(Livraison)=2014))))</f>
        <v>73.881858407079662</v>
      </c>
    </row>
    <row r="188" spans="1:13">
      <c r="A188" s="1">
        <v>2015</v>
      </c>
      <c r="B188" s="320" t="e">
        <f>(SUMPRODUCT((YEAR(Livraison)=2015)*PRP))/(SUMPRODUCT((Nlgts)*(Type&lt;&gt;"Rehab")*(Type&lt;&gt;"PLS")*((YEAR(Livraison)=2015))))</f>
        <v>#REF!</v>
      </c>
      <c r="C188" s="33" t="e">
        <f>(Tableau1[[#This Row],[AU LOGEMENT]]-B187)/B187</f>
        <v>#REF!</v>
      </c>
      <c r="D188" s="414" t="e">
        <f>(SUMPRODUCT((YEAR(Livraison)=2015)*PRP))/(SUMPRODUCT((SF)*(Type&lt;&gt;"Rehab")*(Type&lt;&gt;"PLS")*((YEAR(Livraison)=2015))))</f>
        <v>#REF!</v>
      </c>
      <c r="E188" s="33" t="e">
        <f>(D188-D187)/D187</f>
        <v>#REF!</v>
      </c>
      <c r="M188" s="414">
        <f>(SUMPRODUCT((YEAR(Livraison)=2015)*SF))/(SUMPRODUCT((Nlgts)*(Type&lt;&gt;"Rehab")*(Type&lt;&gt;"PLS")*((YEAR(Livraison)=2015))))</f>
        <v>80.460580110497233</v>
      </c>
    </row>
    <row r="189" spans="1:13">
      <c r="A189" s="1">
        <v>2016</v>
      </c>
      <c r="B189" s="320" t="e">
        <f>(SUMPRODUCT((YEAR(Livraison)=2016)*PRP))/(SUMPRODUCT((Nlgts)*(Type&lt;&gt;"Rehab")*(Type&lt;&gt;"PLS")*((YEAR(Livraison)=2016))))</f>
        <v>#REF!</v>
      </c>
      <c r="C189" s="33" t="e">
        <f>(Tableau1[[#This Row],[AU LOGEMENT]]-B188)/B188</f>
        <v>#REF!</v>
      </c>
      <c r="D189" s="413" t="e">
        <f>(SUMPRODUCT((YEAR(Livraison)=2016)*PRP))/(SUMPRODUCT((SF)*(Type&lt;&gt;"Rehab")*(Type&lt;&gt;"PLS")*((YEAR(Livraison)=2016))))</f>
        <v>#REF!</v>
      </c>
      <c r="E189" s="33" t="e">
        <f>(D189-D188)/D188</f>
        <v>#REF!</v>
      </c>
      <c r="M189" s="413">
        <f>(SUMPRODUCT((YEAR(Livraison)=2016)*SF))/(SUMPRODUCT((Nlgts)*(Type&lt;&gt;"Rehab")*(Type&lt;&gt;"PLS")*((YEAR(Livraison)=2016))))</f>
        <v>83.099508196721303</v>
      </c>
    </row>
    <row r="190" spans="1:13">
      <c r="A190" s="1">
        <v>2017</v>
      </c>
      <c r="B190" s="320" t="e">
        <f>(SUMPRODUCT((YEAR(Livraison)=2017)*PRP))/(SUMPRODUCT((Nlgts)*(Type&lt;&gt;"Rehab")*(Type&lt;&gt;"PLS")*((YEAR(Livraison)=2017))))</f>
        <v>#REF!</v>
      </c>
      <c r="C190" s="33" t="e">
        <f>(Tableau1[[#This Row],[AU LOGEMENT]]-B189)/B189</f>
        <v>#REF!</v>
      </c>
      <c r="D190" s="414" t="e">
        <f>(SUMPRODUCT((YEAR(Livraison)=2017)*PRP))/(SUMPRODUCT((SF)*(Type&lt;&gt;"Rehab")*(Type&lt;&gt;"PLS")*((YEAR(Livraison)=2017))))</f>
        <v>#REF!</v>
      </c>
      <c r="E190" s="33" t="e">
        <f>(D190-D189)/D189</f>
        <v>#REF!</v>
      </c>
      <c r="M190" s="414">
        <f>(SUMPRODUCT((YEAR(Livraison)=2017)*SF))/(SUMPRODUCT((Nlgts)*(Type&lt;&gt;"Rehab")*(Type&lt;&gt;"PLS")*((YEAR(Livraison)=2017))))</f>
        <v>84.900485930735954</v>
      </c>
    </row>
    <row r="191" spans="1:13">
      <c r="A191" s="1">
        <v>2018</v>
      </c>
      <c r="B191" s="320" t="e">
        <f>(SUMPRODUCT((YEAR(Livraison)=2018)*PRP))/(SUMPRODUCT((Nlgts)*(Type&lt;&gt;"Rehab")*(Type&lt;&gt;"PLS")*((YEAR(Livraison)=2018))))</f>
        <v>#REF!</v>
      </c>
      <c r="C191" s="33" t="e">
        <f>(Tableau1[[#This Row],[AU LOGEMENT]]-B190)/B190</f>
        <v>#REF!</v>
      </c>
      <c r="D191" s="413" t="e">
        <f>(SUMPRODUCT((YEAR(Livraison)=2018)*PRP))/(SUMPRODUCT((SF)*(Type&lt;&gt;"Rehab")*(Type&lt;&gt;"PLS")*((YEAR(Livraison)=2018))))</f>
        <v>#REF!</v>
      </c>
      <c r="E191" s="33" t="e">
        <f>(D191-D190)/D190</f>
        <v>#REF!</v>
      </c>
      <c r="M191" s="413">
        <f>(SUMPRODUCT((YEAR(Livraison)=2018)*SF))/(SUMPRODUCT((Nlgts)*(Type&lt;&gt;"Rehab")*(Type&lt;&gt;"PLS")*((YEAR(Livraison)=2018))))</f>
        <v>83.959083333333325</v>
      </c>
    </row>
    <row r="192" spans="1:13">
      <c r="A192" s="321">
        <v>2019</v>
      </c>
      <c r="B192" s="322" t="e">
        <f>(SUMPRODUCT((YEAR(Livraison)=2019)*PRP))/(SUMPRODUCT((Nlgts)*(Type&lt;&gt;"Rehab")*(Type&lt;&gt;"PLS")*((YEAR(Livraison)=2019))))</f>
        <v>#REF!</v>
      </c>
      <c r="D192" s="416" t="e">
        <f>(SUMPRODUCT((YEAR(Livraison)=2019)*PRP))/(SUMPRODUCT((SF)*(Type&lt;&gt;"Rehab")*(Type&lt;&gt;"PLS")*((YEAR(Livraison)=2019))))</f>
        <v>#REF!</v>
      </c>
      <c r="M192" s="416">
        <f>(SUMPRODUCT((YEAR(Livraison)=2019)*SF))/(SUMPRODUCT((Nlgts)*(Type&lt;&gt;"Rehab")*(Type&lt;&gt;"PLS")*((YEAR(Livraison)=2019))))</f>
        <v>93.78438559322035</v>
      </c>
    </row>
    <row r="193" spans="1:13">
      <c r="A193" s="321">
        <v>2020</v>
      </c>
      <c r="B193" s="322" t="e">
        <f>(SUMPRODUCT((YEAR(Livraison)=2020)*PRP))/(SUMPRODUCT((Nlgts)*(Type&lt;&gt;"Rehab")*(Type&lt;&gt;"PLS")*((YEAR(Livraison)=2020))))</f>
        <v>#REF!</v>
      </c>
      <c r="D193" s="415" t="e">
        <f>(SUMPRODUCT((YEAR(Livraison)=2020)*PRP))/(SUMPRODUCT((SF)*(Type&lt;&gt;"Rehab")*(Type&lt;&gt;"PLS")*((YEAR(Livraison)=2020))))</f>
        <v>#REF!</v>
      </c>
      <c r="M193" s="415">
        <f>(SUMPRODUCT((YEAR(Livraison)=2020)*SF))/(SUMPRODUCT((Nlgts)*(Type&lt;&gt;"Rehab")*(Type&lt;&gt;"PLS")*((YEAR(Livraison)=2020))))</f>
        <v>75.270567375886529</v>
      </c>
    </row>
    <row r="194" spans="1:13">
      <c r="A194" s="321">
        <v>2021</v>
      </c>
      <c r="B194" s="322" t="e">
        <f>(SUMPRODUCT((YEAR(Livraison)=2021)*PRP))/(SUMPRODUCT((Nlgts)*(Type&lt;&gt;"Rehab")*(Type&lt;&gt;"PLS")*((YEAR(Livraison)=2021))))</f>
        <v>#REF!</v>
      </c>
      <c r="D194" s="416" t="e">
        <f>(SUMPRODUCT((YEAR(Livraison)=2021)*PRP))/(SUMPRODUCT((SF)*(Type&lt;&gt;"Rehab")*(Type&lt;&gt;"PLS")*((YEAR(Livraison)=2021))))</f>
        <v>#REF!</v>
      </c>
      <c r="M194" s="416">
        <f>(SUMPRODUCT((YEAR(Livraison)=2021)*SF))/(SUMPRODUCT((Nlgts)*(Type&lt;&gt;"Rehab")*(Type&lt;&gt;"PLS")*((YEAR(Livraison)=2021))))</f>
        <v>83.902088888888898</v>
      </c>
    </row>
    <row r="196" spans="1:13" ht="15.75">
      <c r="B196" s="391"/>
      <c r="C196" s="391"/>
    </row>
    <row r="207" spans="1:13">
      <c r="A207" s="3" t="s">
        <v>77</v>
      </c>
      <c r="B207" t="s">
        <v>638</v>
      </c>
      <c r="C207" t="s">
        <v>708</v>
      </c>
      <c r="D207" t="s">
        <v>710</v>
      </c>
      <c r="E207" t="s">
        <v>425</v>
      </c>
    </row>
    <row r="208" spans="1:13">
      <c r="A208" s="4">
        <v>2010</v>
      </c>
      <c r="B208" s="681">
        <v>7486326</v>
      </c>
      <c r="C208" s="681">
        <v>4348.96</v>
      </c>
      <c r="D208" s="681">
        <v>57</v>
      </c>
      <c r="E208" s="527" t="e">
        <f>GETPIVOTDATA("Somme de PRP TTC  ",$A$207,"Prog",2010)/GETPIVOTDATA("Somme de N",$A$207,"Prog",2010)</f>
        <v>#REF!</v>
      </c>
    </row>
    <row r="209" spans="1:5">
      <c r="A209" s="4">
        <v>2011</v>
      </c>
      <c r="B209" s="681">
        <v>23896051.879999999</v>
      </c>
      <c r="C209" s="681">
        <v>11732.91</v>
      </c>
      <c r="D209" s="681">
        <v>134</v>
      </c>
      <c r="E209" s="527" t="e">
        <f>GETPIVOTDATA("Somme de PRP TTC  ",$A$207,"Prog",2011)/GETPIVOTDATA("Somme de N",$A$207,"Prog",2011)</f>
        <v>#REF!</v>
      </c>
    </row>
    <row r="210" spans="1:5">
      <c r="A210" s="4">
        <v>2012</v>
      </c>
      <c r="B210" s="681">
        <v>59951795.609999999</v>
      </c>
      <c r="C210" s="681">
        <v>29884.35</v>
      </c>
      <c r="D210" s="681">
        <v>400</v>
      </c>
      <c r="E210" s="527" t="e">
        <f>GETPIVOTDATA("Somme de PRP TTC  ",$A$207,"Prog",2012)/GETPIVOTDATA("Somme de N",$A$207,"Prog",2012)</f>
        <v>#REF!</v>
      </c>
    </row>
    <row r="211" spans="1:5">
      <c r="A211" s="4">
        <v>2013</v>
      </c>
      <c r="B211" s="681">
        <v>71331632.700000003</v>
      </c>
      <c r="C211" s="681">
        <v>33832.069999999992</v>
      </c>
      <c r="D211" s="681">
        <v>403</v>
      </c>
      <c r="E211" s="527" t="e">
        <f>GETPIVOTDATA("Somme de PRP TTC  ",$A$207,"Prog",2013)/GETPIVOTDATA("Somme de N",$A$207,"Prog",2013)</f>
        <v>#REF!</v>
      </c>
    </row>
    <row r="212" spans="1:5">
      <c r="A212" s="4">
        <v>2014</v>
      </c>
      <c r="B212" s="681">
        <v>30021915.414999999</v>
      </c>
      <c r="C212" s="681">
        <v>14606.800000000001</v>
      </c>
      <c r="D212" s="681">
        <v>173</v>
      </c>
      <c r="E212" s="527" t="e">
        <f>GETPIVOTDATA("Somme de PRP TTC  ",$A$207,"Prog",2014)/GETPIVOTDATA("Somme de N",$A$207,"Prog",2014)</f>
        <v>#REF!</v>
      </c>
    </row>
    <row r="213" spans="1:5">
      <c r="A213" s="4">
        <v>2015</v>
      </c>
      <c r="B213" s="681">
        <v>31963601.890000001</v>
      </c>
      <c r="C213" s="681">
        <v>16427.300000000003</v>
      </c>
      <c r="D213" s="681">
        <v>208</v>
      </c>
      <c r="E213" s="527" t="e">
        <f>GETPIVOTDATA("Somme de PRP TTC  ",$A$207,"Prog",2015)/GETPIVOTDATA("Somme de N",$A$207,"Prog",2015)</f>
        <v>#REF!</v>
      </c>
    </row>
    <row r="214" spans="1:5">
      <c r="A214" s="4">
        <v>2016</v>
      </c>
      <c r="B214" s="681">
        <v>43984017.200000003</v>
      </c>
      <c r="C214" s="681">
        <v>19291.957999999999</v>
      </c>
      <c r="D214" s="681">
        <v>295</v>
      </c>
      <c r="E214" s="527" t="e">
        <f>GETPIVOTDATA("Somme de PRP TTC  ",$A$207,"Prog",2016)/GETPIVOTDATA("Somme de N",$A$207,"Prog",2016)</f>
        <v>#REF!</v>
      </c>
    </row>
    <row r="215" spans="1:5">
      <c r="A215" s="4">
        <v>2017</v>
      </c>
      <c r="B215" s="681">
        <v>46878279.909999996</v>
      </c>
      <c r="C215" s="681">
        <v>20824.510000000002</v>
      </c>
      <c r="D215" s="681">
        <v>422</v>
      </c>
      <c r="E215" s="527" t="e">
        <f>GETPIVOTDATA("Somme de PRP TTC  ",$A$207,"Prog",2017)/GETPIVOTDATA("Somme de N",$A$207,"Prog",2017)</f>
        <v>#REF!</v>
      </c>
    </row>
    <row r="216" spans="1:5">
      <c r="A216" s="4">
        <v>2018</v>
      </c>
      <c r="B216" s="681">
        <v>43115995.590000004</v>
      </c>
      <c r="C216" s="681">
        <v>16233.4</v>
      </c>
      <c r="D216" s="681">
        <v>275</v>
      </c>
      <c r="E216" s="527" t="e">
        <f>GETPIVOTDATA("Somme de PRP TTC  ",$A$207,"Prog",2018)/GETPIVOTDATA("Somme de N",$A$207,"Prog",2018)</f>
        <v>#REF!</v>
      </c>
    </row>
    <row r="217" spans="1:5">
      <c r="A217" s="4">
        <v>2019</v>
      </c>
      <c r="B217" s="681">
        <v>0</v>
      </c>
      <c r="C217" s="681">
        <v>15602.064999999999</v>
      </c>
      <c r="D217" s="681">
        <v>288</v>
      </c>
      <c r="E217" s="527"/>
    </row>
    <row r="218" spans="1:5">
      <c r="A218" s="4">
        <v>2020</v>
      </c>
      <c r="B218" s="681">
        <v>0</v>
      </c>
      <c r="C218" s="681">
        <v>2237</v>
      </c>
      <c r="D218" s="681">
        <v>376</v>
      </c>
      <c r="E218" s="527"/>
    </row>
    <row r="219" spans="1:5">
      <c r="A219" s="4">
        <v>2021</v>
      </c>
      <c r="B219" s="681">
        <v>0</v>
      </c>
      <c r="C219" s="681"/>
      <c r="D219" s="681">
        <v>294</v>
      </c>
      <c r="E219" s="527"/>
    </row>
    <row r="220" spans="1:5">
      <c r="A220" s="4" t="s">
        <v>754</v>
      </c>
      <c r="B220" s="681">
        <v>0</v>
      </c>
      <c r="C220" s="681">
        <v>5270.34</v>
      </c>
      <c r="D220" s="681">
        <v>332</v>
      </c>
    </row>
    <row r="221" spans="1:5">
      <c r="A221" s="4" t="s">
        <v>531</v>
      </c>
      <c r="B221" s="681">
        <v>0</v>
      </c>
      <c r="C221" s="681"/>
      <c r="D221" s="681">
        <v>75</v>
      </c>
    </row>
    <row r="222" spans="1:5">
      <c r="A222" s="4">
        <v>2022</v>
      </c>
      <c r="B222" s="681">
        <v>0</v>
      </c>
      <c r="C222" s="681"/>
      <c r="D222" s="681">
        <v>426</v>
      </c>
    </row>
    <row r="223" spans="1:5">
      <c r="A223" s="4" t="s">
        <v>799</v>
      </c>
      <c r="B223" s="681">
        <v>0</v>
      </c>
      <c r="C223" s="681"/>
      <c r="D223" s="681">
        <v>10</v>
      </c>
    </row>
    <row r="224" spans="1:5">
      <c r="A224" s="4" t="s">
        <v>528</v>
      </c>
      <c r="B224" s="681">
        <v>0</v>
      </c>
      <c r="C224" s="681"/>
      <c r="D224" s="681">
        <v>95</v>
      </c>
    </row>
    <row r="225" spans="1:4">
      <c r="A225" s="4" t="s">
        <v>78</v>
      </c>
      <c r="B225" s="17">
        <v>358629616.19500005</v>
      </c>
      <c r="C225" s="17">
        <v>190291.663</v>
      </c>
      <c r="D225" s="17">
        <v>4263</v>
      </c>
    </row>
    <row r="237" spans="1:4" ht="173.25">
      <c r="A237" s="417" t="s">
        <v>486</v>
      </c>
    </row>
    <row r="239" spans="1:4" ht="15.75">
      <c r="A239" s="391" t="s">
        <v>482</v>
      </c>
      <c r="B239" s="392">
        <v>2014</v>
      </c>
      <c r="C239" s="392">
        <v>2016</v>
      </c>
    </row>
    <row r="240" spans="1:4" ht="15.75">
      <c r="A240" s="391" t="s">
        <v>483</v>
      </c>
      <c r="B240" s="393">
        <v>143500</v>
      </c>
      <c r="C240" s="393">
        <v>145300</v>
      </c>
    </row>
    <row r="241" spans="1:13" ht="15.75">
      <c r="A241" s="391" t="s">
        <v>484</v>
      </c>
      <c r="B241" s="393">
        <v>2158</v>
      </c>
      <c r="C241" s="393">
        <v>2225</v>
      </c>
    </row>
    <row r="242" spans="1:13" ht="16.5" thickBot="1">
      <c r="A242" s="391"/>
      <c r="B242" s="393"/>
      <c r="C242" s="393"/>
    </row>
    <row r="243" spans="1:13">
      <c r="A243" s="260" t="s">
        <v>671</v>
      </c>
      <c r="B243" s="260"/>
      <c r="C243" s="260"/>
      <c r="D243" s="260"/>
      <c r="E243" s="260"/>
      <c r="F243" s="260"/>
      <c r="G243" s="260"/>
      <c r="H243" s="260"/>
      <c r="I243" s="260"/>
      <c r="J243" s="261"/>
      <c r="K243" s="261"/>
      <c r="L243" s="261"/>
      <c r="M243" s="261"/>
    </row>
    <row r="244" spans="1:13" ht="15.75">
      <c r="A244" s="527">
        <v>3922</v>
      </c>
      <c r="B244" s="527">
        <f>'Données initiales'!I141</f>
        <v>0</v>
      </c>
      <c r="C244" s="393"/>
    </row>
    <row r="245" spans="1:13">
      <c r="B245" s="214" t="s">
        <v>42</v>
      </c>
      <c r="C245" s="214" t="s">
        <v>669</v>
      </c>
      <c r="F245" s="992" t="s">
        <v>672</v>
      </c>
      <c r="G245" s="992"/>
      <c r="H245" s="992"/>
    </row>
    <row r="246" spans="1:13">
      <c r="A246" s="32" t="s">
        <v>667</v>
      </c>
      <c r="B246" s="527">
        <f>A244-(B247+B248+B249)</f>
        <v>1898</v>
      </c>
      <c r="C246" s="527">
        <f>B244-C247-C248-C249</f>
        <v>-60</v>
      </c>
      <c r="G246" s="214" t="s">
        <v>42</v>
      </c>
      <c r="H246" s="214" t="s">
        <v>669</v>
      </c>
    </row>
    <row r="247" spans="1:13">
      <c r="A247" s="32" t="s">
        <v>668</v>
      </c>
      <c r="B247" s="527">
        <f>SUMPRODUCT((Nlgts)*((Avancement="Tvx")))</f>
        <v>692</v>
      </c>
      <c r="C247" s="527">
        <f>COUNTIF(Avancement,"Tvx")</f>
        <v>15</v>
      </c>
      <c r="F247" s="32" t="s">
        <v>667</v>
      </c>
      <c r="G247" s="527">
        <f>A244-B249-G248-G249</f>
        <v>1898</v>
      </c>
      <c r="H247" s="527">
        <f>C246</f>
        <v>-60</v>
      </c>
    </row>
    <row r="248" spans="1:13">
      <c r="A248" s="32" t="s">
        <v>140</v>
      </c>
      <c r="B248" s="527">
        <f>SUMPRODUCT((Nlgts)*((Avancement="GPA")))</f>
        <v>361</v>
      </c>
      <c r="C248" s="527">
        <f>COUNTIF(Avancement,"GPA")</f>
        <v>11</v>
      </c>
      <c r="F248" s="32" t="s">
        <v>668</v>
      </c>
      <c r="G248" s="527">
        <f>SUMPRODUCT((Nlgts)*((Avancement="Tvx")))</f>
        <v>692</v>
      </c>
      <c r="H248" s="527">
        <f>COUNTIF(Avancement,"Tvx")</f>
        <v>15</v>
      </c>
    </row>
    <row r="249" spans="1:13">
      <c r="A249" s="32" t="s">
        <v>670</v>
      </c>
      <c r="B249" s="527">
        <f>SUMPRODUCT((Nlgts)*((Avancement="Patrimoine")))</f>
        <v>971</v>
      </c>
      <c r="C249" s="527">
        <f>COUNTIF(Avancement,"Patrimoine")</f>
        <v>34</v>
      </c>
      <c r="F249" s="32" t="s">
        <v>140</v>
      </c>
      <c r="G249" s="527">
        <f>SUMPRODUCT((Nlgts)*((Avancement="GPA")))</f>
        <v>361</v>
      </c>
      <c r="H249" s="527">
        <f>COUNTIF(Avancement,"GPA")</f>
        <v>11</v>
      </c>
    </row>
    <row r="250" spans="1:13">
      <c r="B250" s="620">
        <f>SUM(B246:B249)</f>
        <v>3922</v>
      </c>
      <c r="C250" s="620">
        <f>SUM(C246:C249)</f>
        <v>0</v>
      </c>
      <c r="F250" s="32"/>
      <c r="G250" s="620">
        <f>SUM(G247:G249)</f>
        <v>2951</v>
      </c>
      <c r="H250" s="620">
        <f>SUM(H247:H249)</f>
        <v>-34</v>
      </c>
      <c r="J250" s="559"/>
    </row>
    <row r="251" spans="1:13">
      <c r="A251" s="32"/>
      <c r="B251" s="620"/>
      <c r="C251" s="620"/>
      <c r="G251" s="214" t="s">
        <v>42</v>
      </c>
      <c r="H251" s="214" t="s">
        <v>669</v>
      </c>
    </row>
    <row r="252" spans="1:13">
      <c r="A252" s="32"/>
      <c r="B252" s="620"/>
      <c r="C252" s="620"/>
      <c r="F252" s="32" t="s">
        <v>673</v>
      </c>
      <c r="G252" s="621">
        <f>G250-G253-G254</f>
        <v>1467</v>
      </c>
      <c r="H252" s="621">
        <f>H250-H253-H254</f>
        <v>-64</v>
      </c>
    </row>
    <row r="253" spans="1:13">
      <c r="A253" s="32"/>
      <c r="B253" s="620"/>
      <c r="C253" s="620"/>
      <c r="F253" s="32" t="s">
        <v>511</v>
      </c>
      <c r="G253" s="621">
        <v>834</v>
      </c>
      <c r="H253" s="621">
        <v>13</v>
      </c>
    </row>
    <row r="254" spans="1:13">
      <c r="B254" s="620"/>
      <c r="C254" s="620"/>
      <c r="F254" s="32" t="s">
        <v>674</v>
      </c>
      <c r="G254" s="621">
        <v>650</v>
      </c>
      <c r="H254" s="621">
        <f>COUNTIF(Type,"Rehab")</f>
        <v>17</v>
      </c>
    </row>
    <row r="255" spans="1:13">
      <c r="B255" s="620"/>
      <c r="C255" s="620"/>
      <c r="F255" s="32"/>
      <c r="G255" s="620">
        <f>SUM(G252:G254)</f>
        <v>2951</v>
      </c>
      <c r="H255" s="620">
        <f>SUM(H252:H254)</f>
        <v>-34</v>
      </c>
    </row>
    <row r="256" spans="1:13">
      <c r="B256" s="620"/>
      <c r="C256" s="620"/>
      <c r="F256" s="32"/>
      <c r="G256" s="620"/>
      <c r="H256" s="620"/>
    </row>
    <row r="257" spans="1:13">
      <c r="B257" s="620"/>
      <c r="C257" s="620"/>
      <c r="F257" s="32"/>
      <c r="G257" s="620"/>
      <c r="H257" s="620"/>
    </row>
    <row r="258" spans="1:13" ht="15.75" thickBot="1"/>
    <row r="259" spans="1:13">
      <c r="A259" s="260" t="s">
        <v>491</v>
      </c>
      <c r="B259" s="260"/>
      <c r="C259" s="260"/>
      <c r="D259" s="260"/>
      <c r="E259" s="260"/>
      <c r="F259" s="260"/>
      <c r="G259" s="260"/>
      <c r="H259" s="260"/>
      <c r="I259" s="260"/>
      <c r="J259" s="261"/>
      <c r="K259" s="261"/>
      <c r="L259" s="261"/>
      <c r="M259" s="261"/>
    </row>
    <row r="261" spans="1:13" ht="15.75" thickBot="1"/>
    <row r="262" spans="1:13">
      <c r="A262" s="260" t="s">
        <v>706</v>
      </c>
      <c r="B262" s="260"/>
      <c r="C262" s="260"/>
      <c r="D262" s="260"/>
      <c r="E262" s="260"/>
      <c r="F262" s="260"/>
      <c r="G262" s="260"/>
      <c r="H262" s="260"/>
      <c r="I262" s="260"/>
      <c r="J262" s="261"/>
      <c r="K262" s="261"/>
      <c r="L262" s="261"/>
      <c r="M262" s="261"/>
    </row>
    <row r="264" spans="1:13" ht="15.75" thickBot="1"/>
    <row r="265" spans="1:13">
      <c r="A265" s="260" t="s">
        <v>978</v>
      </c>
      <c r="B265" s="260"/>
      <c r="C265" s="260"/>
      <c r="D265" s="260"/>
      <c r="E265" s="260"/>
      <c r="F265" s="260"/>
      <c r="G265" s="260"/>
      <c r="H265" s="260"/>
      <c r="I265" s="260"/>
      <c r="J265" s="261"/>
      <c r="K265" s="261"/>
      <c r="L265" s="261"/>
      <c r="M265" s="261"/>
    </row>
    <row r="268" spans="1:13">
      <c r="A268" t="s">
        <v>979</v>
      </c>
      <c r="B268" t="s">
        <v>980</v>
      </c>
    </row>
    <row r="269" spans="1:13">
      <c r="A269">
        <v>2013</v>
      </c>
      <c r="B269" s="1008">
        <f t="array" ref="B269">IFERROR(AVERAGE(IF(YEAR(Dde_prêt)=A269,Délai_prêt)),0)</f>
        <v>0.64523809523809528</v>
      </c>
    </row>
    <row r="270" spans="1:13">
      <c r="A270">
        <v>2014</v>
      </c>
      <c r="B270" s="1008">
        <f t="array" ref="B270">IFERROR(AVERAGE(IF(YEAR(Dde_prêt)=A270,Délai_prêt)),0)</f>
        <v>3.3333333333333333E-2</v>
      </c>
    </row>
    <row r="271" spans="1:13">
      <c r="A271">
        <v>2015</v>
      </c>
      <c r="B271" s="1008">
        <f t="array" ref="B271">IFERROR(AVERAGE(IF(YEAR(Dde_prêt)=A271,Délai_prêt)),0)</f>
        <v>0.84285714285714286</v>
      </c>
    </row>
    <row r="272" spans="1:13">
      <c r="A272">
        <v>2016</v>
      </c>
      <c r="B272" s="1008">
        <f t="array" ref="B272">IFERROR(AVERAGE(IF(YEAR(Dde_prêt)=A272,Délai_prêt)),0)</f>
        <v>0.64166666666666672</v>
      </c>
    </row>
    <row r="273" spans="1:2">
      <c r="A273">
        <v>2017</v>
      </c>
      <c r="B273" s="1008">
        <f t="array" ref="B273">IFERROR(AVERAGE(IF(YEAR(Dde_prêt)=A273,Délai_prêt)),0)</f>
        <v>1.2761904761904759</v>
      </c>
    </row>
    <row r="274" spans="1:2">
      <c r="A274">
        <v>2018</v>
      </c>
      <c r="B274" s="1008">
        <f t="array" ref="B274">IFERROR(AVERAGE(IF(YEAR(Dde_prêt)=A274,Délai_prêt)),0)</f>
        <v>3.9727272727272731</v>
      </c>
    </row>
    <row r="278" spans="1:2">
      <c r="A278" t="s">
        <v>473</v>
      </c>
    </row>
    <row r="279" spans="1:2">
      <c r="A279" t="s">
        <v>475</v>
      </c>
    </row>
    <row r="280" spans="1:2">
      <c r="A280" t="s">
        <v>474</v>
      </c>
    </row>
    <row r="281" spans="1:2">
      <c r="A281" t="s">
        <v>476</v>
      </c>
    </row>
    <row r="282" spans="1:2">
      <c r="A282" t="s">
        <v>478</v>
      </c>
    </row>
    <row r="283" spans="1:2">
      <c r="A283" t="s">
        <v>479</v>
      </c>
    </row>
    <row r="284" spans="1:2">
      <c r="A284" t="s">
        <v>480</v>
      </c>
    </row>
    <row r="285" spans="1:2">
      <c r="A285" t="s">
        <v>481</v>
      </c>
    </row>
  </sheetData>
  <mergeCells count="4">
    <mergeCell ref="B67:C67"/>
    <mergeCell ref="D67:E67"/>
    <mergeCell ref="F67:G67"/>
    <mergeCell ref="F245:H245"/>
  </mergeCells>
  <pageMargins left="0.70866141732283472" right="0.70866141732283472" top="0.74803149606299213" bottom="0.74803149606299213" header="0.31496062992125984" footer="0.31496062992125984"/>
  <pageSetup paperSize="9" scale="150" orientation="landscape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8E61D"/>
    <pageSetUpPr fitToPage="1"/>
  </sheetPr>
  <dimension ref="A1:XCZ244"/>
  <sheetViews>
    <sheetView tabSelected="1" view="pageBreakPreview" zoomScale="70" zoomScaleNormal="70" zoomScaleSheetLayoutView="70" workbookViewId="0">
      <pane xSplit="1" ySplit="1" topLeftCell="BL2" activePane="bottomRight" state="frozen"/>
      <selection pane="topRight" activeCell="B1" sqref="B1"/>
      <selection pane="bottomLeft" activeCell="A2" sqref="A2"/>
      <selection pane="bottomRight" activeCell="IL7" sqref="IL7"/>
    </sheetView>
  </sheetViews>
  <sheetFormatPr baseColWidth="10" defaultColWidth="11.42578125" defaultRowHeight="15" outlineLevelCol="1"/>
  <cols>
    <col min="1" max="1" width="38.7109375" style="713" customWidth="1"/>
    <col min="2" max="2" width="19.42578125" style="713" hidden="1" customWidth="1"/>
    <col min="3" max="3" width="14.42578125" style="13" hidden="1" customWidth="1"/>
    <col min="4" max="4" width="7.28515625" style="13" hidden="1" customWidth="1"/>
    <col min="5" max="5" width="18.140625" style="13" hidden="1" customWidth="1"/>
    <col min="6" max="6" width="11.28515625" style="13" hidden="1" customWidth="1"/>
    <col min="7" max="8" width="7.28515625" style="13" hidden="1" customWidth="1"/>
    <col min="9" max="9" width="18.85546875" style="13" hidden="1" customWidth="1"/>
    <col min="10" max="10" width="15" style="13" hidden="1" customWidth="1"/>
    <col min="11" max="11" width="18.7109375" style="13" hidden="1" customWidth="1"/>
    <col min="12" max="12" width="7.28515625" style="233" hidden="1" customWidth="1" outlineLevel="1"/>
    <col min="13" max="14" width="7.28515625" style="153" hidden="1" customWidth="1" outlineLevel="1"/>
    <col min="15" max="15" width="12" style="153" hidden="1" customWidth="1" outlineLevel="1"/>
    <col min="16" max="16" width="7.28515625" style="13" hidden="1" customWidth="1" outlineLevel="1"/>
    <col min="17" max="17" width="15.85546875" style="13" hidden="1" customWidth="1" outlineLevel="1"/>
    <col min="18" max="18" width="17.7109375" style="13" hidden="1" customWidth="1" outlineLevel="1"/>
    <col min="19" max="19" width="10.7109375" style="13" hidden="1" customWidth="1" outlineLevel="1"/>
    <col min="20" max="21" width="7.28515625" style="13" hidden="1" customWidth="1" outlineLevel="1"/>
    <col min="22" max="22" width="15.28515625" style="13" hidden="1" customWidth="1" outlineLevel="1"/>
    <col min="23" max="24" width="7.28515625" style="13" hidden="1" customWidth="1" outlineLevel="1"/>
    <col min="25" max="25" width="10.7109375" style="13" hidden="1" customWidth="1" outlineLevel="1"/>
    <col min="26" max="26" width="9.5703125" style="13" hidden="1" customWidth="1" outlineLevel="1"/>
    <col min="27" max="29" width="7.28515625" style="13" hidden="1" customWidth="1" outlineLevel="1"/>
    <col min="30" max="30" width="7.28515625" style="13" hidden="1" customWidth="1" collapsed="1"/>
    <col min="31" max="32" width="11.42578125" style="13" hidden="1" customWidth="1" collapsed="1"/>
    <col min="33" max="33" width="29.140625" style="13" hidden="1" customWidth="1"/>
    <col min="34" max="34" width="11.85546875" style="13" hidden="1" customWidth="1" collapsed="1"/>
    <col min="35" max="36" width="11.85546875" style="13" hidden="1" customWidth="1"/>
    <col min="37" max="37" width="13.42578125" style="657" hidden="1" customWidth="1"/>
    <col min="38" max="38" width="16.28515625" style="138" hidden="1" customWidth="1" outlineLevel="1"/>
    <col min="39" max="39" width="16.28515625" style="880" hidden="1" customWidth="1" outlineLevel="1"/>
    <col min="40" max="43" width="10.5703125" style="13" hidden="1" customWidth="1" outlineLevel="1"/>
    <col min="44" max="49" width="15.5703125" style="13" hidden="1" customWidth="1" outlineLevel="1"/>
    <col min="50" max="50" width="15.5703125" style="110" hidden="1" customWidth="1" outlineLevel="1"/>
    <col min="51" max="51" width="15.5703125" style="24" hidden="1" customWidth="1" outlineLevel="1"/>
    <col min="52" max="58" width="15.5703125" style="13" hidden="1" customWidth="1" outlineLevel="1"/>
    <col min="59" max="60" width="15.5703125" style="13" hidden="1" customWidth="1"/>
    <col min="61" max="63" width="21.5703125" style="138" hidden="1" customWidth="1"/>
    <col min="64" max="64" width="20.5703125" style="138" customWidth="1" outlineLevel="1"/>
    <col min="65" max="66" width="18.42578125" style="138" customWidth="1" outlineLevel="1"/>
    <col min="67" max="67" width="18.42578125" style="961" hidden="1" customWidth="1" outlineLevel="1"/>
    <col min="68" max="68" width="18.42578125" style="138" hidden="1" customWidth="1" outlineLevel="1"/>
    <col min="69" max="73" width="21.42578125" style="138" hidden="1" customWidth="1" outlineLevel="1"/>
    <col min="74" max="74" width="40.140625" style="138" hidden="1" customWidth="1" outlineLevel="1"/>
    <col min="75" max="89" width="23.7109375" style="138" hidden="1" customWidth="1" outlineLevel="1"/>
    <col min="90" max="94" width="23.7109375" style="139" hidden="1" customWidth="1" outlineLevel="1"/>
    <col min="95" max="95" width="23.7109375" style="13" hidden="1" customWidth="1" outlineLevel="1"/>
    <col min="96" max="97" width="23.7109375" style="506" hidden="1" customWidth="1" outlineLevel="1"/>
    <col min="98" max="98" width="23.7109375" style="25" hidden="1" customWidth="1" outlineLevel="1"/>
    <col min="99" max="99" width="23.7109375" style="13" hidden="1" customWidth="1" outlineLevel="1"/>
    <col min="100" max="100" width="23.7109375" style="506" hidden="1" customWidth="1" outlineLevel="1"/>
    <col min="101" max="101" width="23.7109375" style="13" hidden="1" customWidth="1" outlineLevel="1"/>
    <col min="102" max="102" width="23.7109375" style="506" hidden="1" customWidth="1" outlineLevel="1"/>
    <col min="103" max="107" width="23.7109375" style="13" hidden="1" customWidth="1" outlineLevel="1"/>
    <col min="108" max="109" width="23.7109375" style="506" hidden="1" customWidth="1" outlineLevel="1"/>
    <col min="110" max="111" width="23.7109375" style="13" hidden="1" customWidth="1" outlineLevel="1"/>
    <col min="112" max="112" width="23.7109375" style="506" hidden="1" customWidth="1" outlineLevel="1"/>
    <col min="113" max="114" width="23.7109375" style="506" hidden="1" customWidth="1"/>
    <col min="115" max="115" width="23.7109375" style="13" hidden="1" customWidth="1"/>
    <col min="116" max="116" width="23.7109375" style="506" hidden="1" customWidth="1"/>
    <col min="117" max="117" width="23.7109375" style="13" hidden="1" customWidth="1"/>
    <col min="118" max="118" width="27.140625" style="13" hidden="1" customWidth="1"/>
    <col min="119" max="119" width="30.28515625" style="13" hidden="1" customWidth="1"/>
    <col min="120" max="120" width="14.85546875" style="13" hidden="1" customWidth="1"/>
    <col min="121" max="121" width="27.28515625" style="176" hidden="1" customWidth="1"/>
    <col min="122" max="122" width="25.42578125" style="13" hidden="1" customWidth="1"/>
    <col min="123" max="124" width="30.7109375" style="506" hidden="1" customWidth="1"/>
    <col min="125" max="125" width="30.7109375" style="25" hidden="1" customWidth="1"/>
    <col min="126" max="127" width="30.7109375" style="506" hidden="1" customWidth="1"/>
    <col min="128" max="128" width="30.7109375" style="13" hidden="1" customWidth="1"/>
    <col min="129" max="130" width="30.7109375" style="506" hidden="1" customWidth="1"/>
    <col min="131" max="131" width="30.7109375" style="13" hidden="1" customWidth="1"/>
    <col min="132" max="133" width="30.7109375" style="506" hidden="1" customWidth="1"/>
    <col min="134" max="134" width="30.7109375" style="13" hidden="1" customWidth="1"/>
    <col min="135" max="136" width="30.7109375" style="506" hidden="1" customWidth="1"/>
    <col min="137" max="137" width="30.7109375" style="13" hidden="1" customWidth="1"/>
    <col min="138" max="139" width="30.7109375" style="506" hidden="1" customWidth="1"/>
    <col min="140" max="140" width="30.7109375" style="13" hidden="1" customWidth="1"/>
    <col min="141" max="141" width="30.7109375" style="510" hidden="1" customWidth="1"/>
    <col min="142" max="142" width="36.42578125" style="510" hidden="1" customWidth="1"/>
    <col min="143" max="143" width="14.85546875" style="15" hidden="1" customWidth="1"/>
    <col min="144" max="144" width="27.140625" style="510" hidden="1" customWidth="1"/>
    <col min="145" max="145" width="25" style="510" hidden="1" customWidth="1"/>
    <col min="146" max="146" width="27.140625" style="510" hidden="1" customWidth="1"/>
    <col min="147" max="149" width="27.7109375" style="13" hidden="1" customWidth="1"/>
    <col min="150" max="150" width="25.28515625" style="138" hidden="1" customWidth="1"/>
    <col min="151" max="151" width="31" style="13" hidden="1" customWidth="1"/>
    <col min="152" max="152" width="12" style="13" hidden="1" customWidth="1"/>
    <col min="153" max="153" width="38.140625" style="13" hidden="1" customWidth="1"/>
    <col min="154" max="154" width="27.85546875" style="13" hidden="1" customWidth="1"/>
    <col min="155" max="155" width="17.28515625" style="13" hidden="1" customWidth="1"/>
    <col min="156" max="156" width="32" style="13" hidden="1" customWidth="1"/>
    <col min="157" max="157" width="22.28515625" style="13" hidden="1" customWidth="1"/>
    <col min="158" max="158" width="35" style="307" hidden="1" customWidth="1"/>
    <col min="159" max="159" width="14.85546875" style="13" hidden="1" customWidth="1"/>
    <col min="160" max="160" width="13.5703125" style="13" hidden="1" customWidth="1"/>
    <col min="161" max="161" width="18.7109375" style="13" hidden="1" customWidth="1"/>
    <col min="162" max="162" width="19" style="13" hidden="1" customWidth="1"/>
    <col min="163" max="168" width="30.7109375" style="525" hidden="1" customWidth="1"/>
    <col min="169" max="169" width="30.7109375" style="15" hidden="1" customWidth="1"/>
    <col min="170" max="170" width="23.5703125" style="15" hidden="1" customWidth="1"/>
    <col min="171" max="171" width="48.42578125" style="761" hidden="1" customWidth="1"/>
    <col min="172" max="172" width="57" style="15" hidden="1" customWidth="1"/>
    <col min="173" max="175" width="9.42578125" style="13" hidden="1" customWidth="1" outlineLevel="1"/>
    <col min="176" max="176" width="13.28515625" style="13" hidden="1" customWidth="1" outlineLevel="1"/>
    <col min="177" max="177" width="11.42578125" style="13" hidden="1" customWidth="1" outlineLevel="1"/>
    <col min="178" max="178" width="13.5703125" style="13" hidden="1" customWidth="1" outlineLevel="1"/>
    <col min="179" max="180" width="14" style="13" hidden="1" customWidth="1" outlineLevel="1"/>
    <col min="181" max="181" width="11.7109375" style="13" hidden="1" customWidth="1"/>
    <col min="182" max="183" width="13.42578125" style="13" hidden="1" customWidth="1"/>
    <col min="184" max="184" width="11.7109375" style="13" hidden="1" customWidth="1"/>
    <col min="185" max="185" width="12.85546875" style="13" hidden="1" customWidth="1"/>
    <col min="186" max="186" width="12.42578125" style="13" hidden="1" customWidth="1"/>
    <col min="187" max="187" width="9.42578125" style="13" hidden="1" customWidth="1"/>
    <col min="188" max="188" width="20.85546875" style="13" hidden="1" customWidth="1"/>
    <col min="189" max="189" width="21.140625" style="13" hidden="1" customWidth="1"/>
    <col min="190" max="190" width="12.140625" style="13" hidden="1" customWidth="1"/>
    <col min="191" max="193" width="9.42578125" style="13" hidden="1" customWidth="1"/>
    <col min="194" max="195" width="27" style="551" hidden="1" customWidth="1" outlineLevel="1"/>
    <col min="196" max="196" width="22.85546875" style="25" hidden="1" customWidth="1" outlineLevel="1"/>
    <col min="197" max="197" width="18" style="13" hidden="1" customWidth="1" outlineLevel="1"/>
    <col min="198" max="198" width="29.5703125" style="25" hidden="1" customWidth="1" outlineLevel="1"/>
    <col min="199" max="199" width="11.42578125" style="13" hidden="1" customWidth="1" outlineLevel="1"/>
    <col min="200" max="200" width="12" style="13" hidden="1" customWidth="1" outlineLevel="1"/>
    <col min="201" max="201" width="29.28515625" style="13" hidden="1" customWidth="1" outlineLevel="1"/>
    <col min="202" max="202" width="20.42578125" style="13" hidden="1" customWidth="1" outlineLevel="1"/>
    <col min="203" max="203" width="12.5703125" style="13" hidden="1" customWidth="1" outlineLevel="1"/>
    <col min="204" max="204" width="20.85546875" style="13" hidden="1" customWidth="1" outlineLevel="1"/>
    <col min="205" max="205" width="16.28515625" style="13" hidden="1" customWidth="1" outlineLevel="1"/>
    <col min="206" max="206" width="18.5703125" style="13" hidden="1" customWidth="1" outlineLevel="1"/>
    <col min="207" max="207" width="12.42578125" style="571" hidden="1" customWidth="1" outlineLevel="1"/>
    <col min="208" max="208" width="19.5703125" style="13" hidden="1" customWidth="1" outlineLevel="1"/>
    <col min="209" max="209" width="16.7109375" style="48" hidden="1" customWidth="1" outlineLevel="1"/>
    <col min="210" max="210" width="15.5703125" style="48" hidden="1" customWidth="1" outlineLevel="1"/>
    <col min="211" max="211" width="11" style="48" hidden="1" customWidth="1" outlineLevel="1"/>
    <col min="212" max="212" width="15.28515625" style="48" hidden="1" customWidth="1" outlineLevel="1"/>
    <col min="213" max="213" width="16.28515625" style="48" hidden="1" customWidth="1" outlineLevel="1"/>
    <col min="214" max="214" width="16.5703125" style="48" hidden="1" customWidth="1" outlineLevel="1"/>
    <col min="215" max="215" width="14.140625" style="48" hidden="1" customWidth="1" outlineLevel="1"/>
    <col min="216" max="216" width="17.140625" style="48" hidden="1" customWidth="1" outlineLevel="1"/>
    <col min="217" max="217" width="15" style="13" hidden="1" customWidth="1" outlineLevel="1"/>
    <col min="218" max="218" width="18" style="13" hidden="1" customWidth="1" outlineLevel="1"/>
    <col min="219" max="219" width="15.5703125" style="13" hidden="1" customWidth="1" outlineLevel="1"/>
    <col min="220" max="220" width="13.140625" style="13" hidden="1" customWidth="1" outlineLevel="1"/>
    <col min="221" max="223" width="15.5703125" style="13" hidden="1" customWidth="1" outlineLevel="1"/>
    <col min="224" max="224" width="24.7109375" style="13" hidden="1" customWidth="1" outlineLevel="1"/>
    <col min="225" max="225" width="20.140625" style="13" hidden="1" customWidth="1" outlineLevel="1"/>
    <col min="226" max="226" width="23.85546875" style="25" hidden="1" customWidth="1" outlineLevel="1"/>
    <col min="227" max="227" width="18.7109375" style="13" hidden="1" customWidth="1" outlineLevel="1"/>
    <col min="228" max="228" width="24.85546875" style="13" hidden="1" customWidth="1" outlineLevel="1"/>
    <col min="229" max="230" width="43.5703125" style="13" hidden="1" customWidth="1" outlineLevel="1"/>
    <col min="231" max="231" width="21.5703125" style="13" hidden="1" customWidth="1" outlineLevel="1"/>
    <col min="232" max="232" width="31.7109375" style="13" hidden="1" customWidth="1" outlineLevel="1"/>
    <col min="233" max="233" width="18.7109375" style="13" hidden="1" customWidth="1" outlineLevel="1"/>
    <col min="234" max="234" width="44.28515625" style="13" hidden="1" customWidth="1" outlineLevel="1"/>
    <col min="235" max="235" width="28" style="13" hidden="1" customWidth="1" outlineLevel="1"/>
    <col min="236" max="236" width="12.42578125" style="13" hidden="1" customWidth="1" outlineLevel="1"/>
    <col min="237" max="240" width="28" style="13" hidden="1" customWidth="1" outlineLevel="1"/>
    <col min="241" max="241" width="11.42578125" style="15" collapsed="1"/>
    <col min="242" max="244" width="11.42578125" style="15"/>
    <col min="245" max="245" width="32.42578125" style="15" bestFit="1" customWidth="1"/>
    <col min="246" max="246" width="29.140625" style="15" bestFit="1" customWidth="1"/>
    <col min="247" max="16384" width="11.42578125" style="15"/>
  </cols>
  <sheetData>
    <row r="1" spans="1:246" s="474" customFormat="1" ht="57.75" customHeight="1">
      <c r="A1" s="444" t="s">
        <v>0</v>
      </c>
      <c r="B1" s="445" t="s">
        <v>800</v>
      </c>
      <c r="C1" s="444" t="s">
        <v>1</v>
      </c>
      <c r="D1" s="444" t="s">
        <v>91</v>
      </c>
      <c r="E1" s="444" t="s">
        <v>56</v>
      </c>
      <c r="F1" s="444" t="s">
        <v>2</v>
      </c>
      <c r="G1" s="445" t="s">
        <v>6</v>
      </c>
      <c r="H1" s="445" t="s">
        <v>259</v>
      </c>
      <c r="I1" s="445" t="s">
        <v>258</v>
      </c>
      <c r="J1" s="445" t="s">
        <v>252</v>
      </c>
      <c r="K1" s="445" t="s">
        <v>253</v>
      </c>
      <c r="L1" s="446" t="s">
        <v>11</v>
      </c>
      <c r="M1" s="447" t="s">
        <v>44</v>
      </c>
      <c r="N1" s="447" t="s">
        <v>7</v>
      </c>
      <c r="O1" s="447" t="s">
        <v>8</v>
      </c>
      <c r="P1" s="446" t="s">
        <v>153</v>
      </c>
      <c r="Q1" s="446" t="s">
        <v>177</v>
      </c>
      <c r="R1" s="446" t="s">
        <v>176</v>
      </c>
      <c r="S1" s="446" t="s">
        <v>207</v>
      </c>
      <c r="T1" s="446" t="s">
        <v>179</v>
      </c>
      <c r="U1" s="446" t="s">
        <v>178</v>
      </c>
      <c r="V1" s="446" t="s">
        <v>168</v>
      </c>
      <c r="W1" s="446" t="s">
        <v>188</v>
      </c>
      <c r="X1" s="446" t="s">
        <v>185</v>
      </c>
      <c r="Y1" s="446" t="s">
        <v>155</v>
      </c>
      <c r="Z1" s="446" t="s">
        <v>802</v>
      </c>
      <c r="AA1" s="446" t="s">
        <v>151</v>
      </c>
      <c r="AB1" s="446" t="s">
        <v>96</v>
      </c>
      <c r="AC1" s="446" t="s">
        <v>97</v>
      </c>
      <c r="AD1" s="444" t="s">
        <v>104</v>
      </c>
      <c r="AE1" s="673" t="s">
        <v>3</v>
      </c>
      <c r="AF1" s="673" t="s">
        <v>709</v>
      </c>
      <c r="AG1" s="444" t="s">
        <v>9</v>
      </c>
      <c r="AH1" s="444" t="s">
        <v>10</v>
      </c>
      <c r="AI1" s="445" t="s">
        <v>333</v>
      </c>
      <c r="AJ1" s="445" t="s">
        <v>530</v>
      </c>
      <c r="AK1" s="690" t="s">
        <v>932</v>
      </c>
      <c r="AL1" s="448" t="s">
        <v>105</v>
      </c>
      <c r="AM1" s="874" t="s">
        <v>937</v>
      </c>
      <c r="AN1" s="444" t="s">
        <v>98</v>
      </c>
      <c r="AO1" s="445" t="s">
        <v>929</v>
      </c>
      <c r="AP1" s="445" t="s">
        <v>930</v>
      </c>
      <c r="AQ1" s="445" t="s">
        <v>931</v>
      </c>
      <c r="AR1" s="445" t="s">
        <v>180</v>
      </c>
      <c r="AS1" s="445" t="s">
        <v>181</v>
      </c>
      <c r="AT1" s="445" t="s">
        <v>182</v>
      </c>
      <c r="AU1" s="445" t="s">
        <v>183</v>
      </c>
      <c r="AV1" s="445" t="s">
        <v>184</v>
      </c>
      <c r="AW1" s="444" t="s">
        <v>127</v>
      </c>
      <c r="AX1" s="449" t="s">
        <v>154</v>
      </c>
      <c r="AY1" s="450" t="s">
        <v>175</v>
      </c>
      <c r="AZ1" s="445" t="s">
        <v>156</v>
      </c>
      <c r="BA1" s="445" t="s">
        <v>437</v>
      </c>
      <c r="BB1" s="444" t="s">
        <v>99</v>
      </c>
      <c r="BC1" s="606" t="s">
        <v>662</v>
      </c>
      <c r="BD1" s="606" t="s">
        <v>858</v>
      </c>
      <c r="BE1" s="606" t="s">
        <v>715</v>
      </c>
      <c r="BF1" s="606" t="s">
        <v>875</v>
      </c>
      <c r="BG1" s="451" t="s">
        <v>233</v>
      </c>
      <c r="BH1" s="451" t="s">
        <v>234</v>
      </c>
      <c r="BI1" s="452" t="s">
        <v>4</v>
      </c>
      <c r="BJ1" s="453" t="s">
        <v>240</v>
      </c>
      <c r="BK1" s="866" t="s">
        <v>927</v>
      </c>
      <c r="BL1" s="454" t="s">
        <v>121</v>
      </c>
      <c r="BM1" s="455" t="s">
        <v>138</v>
      </c>
      <c r="BN1" s="1006" t="s">
        <v>981</v>
      </c>
      <c r="BO1" s="952" t="s">
        <v>956</v>
      </c>
      <c r="BP1" s="456" t="s">
        <v>820</v>
      </c>
      <c r="BQ1" s="456" t="s">
        <v>843</v>
      </c>
      <c r="BR1" s="457" t="s">
        <v>819</v>
      </c>
      <c r="BS1" s="457" t="s">
        <v>842</v>
      </c>
      <c r="BT1" s="457" t="s">
        <v>659</v>
      </c>
      <c r="BU1" s="457" t="s">
        <v>407</v>
      </c>
      <c r="BV1" s="457" t="s">
        <v>658</v>
      </c>
      <c r="BW1" s="457" t="s">
        <v>660</v>
      </c>
      <c r="BX1" s="457" t="s">
        <v>844</v>
      </c>
      <c r="BY1" s="456" t="s">
        <v>199</v>
      </c>
      <c r="BZ1" s="456" t="s">
        <v>143</v>
      </c>
      <c r="CA1" s="456" t="s">
        <v>778</v>
      </c>
      <c r="CB1" s="456" t="s">
        <v>776</v>
      </c>
      <c r="CC1" s="456" t="s">
        <v>777</v>
      </c>
      <c r="CD1" s="456" t="s">
        <v>616</v>
      </c>
      <c r="CE1" s="456" t="s">
        <v>779</v>
      </c>
      <c r="CF1" s="456" t="s">
        <v>780</v>
      </c>
      <c r="CG1" s="456" t="s">
        <v>781</v>
      </c>
      <c r="CH1" s="456" t="s">
        <v>615</v>
      </c>
      <c r="CI1" s="456" t="s">
        <v>782</v>
      </c>
      <c r="CJ1" s="456" t="s">
        <v>783</v>
      </c>
      <c r="CK1" s="456" t="s">
        <v>784</v>
      </c>
      <c r="CL1" s="456" t="s">
        <v>614</v>
      </c>
      <c r="CM1" s="456" t="s">
        <v>785</v>
      </c>
      <c r="CN1" s="456" t="s">
        <v>786</v>
      </c>
      <c r="CO1" s="456" t="s">
        <v>787</v>
      </c>
      <c r="CP1" s="456" t="s">
        <v>617</v>
      </c>
      <c r="CQ1" s="596" t="s">
        <v>541</v>
      </c>
      <c r="CR1" s="597" t="s">
        <v>548</v>
      </c>
      <c r="CS1" s="598" t="s">
        <v>549</v>
      </c>
      <c r="CT1" s="599" t="s">
        <v>550</v>
      </c>
      <c r="CU1" s="600" t="s">
        <v>542</v>
      </c>
      <c r="CV1" s="598" t="s">
        <v>543</v>
      </c>
      <c r="CW1" s="596" t="s">
        <v>544</v>
      </c>
      <c r="CX1" s="597" t="s">
        <v>545</v>
      </c>
      <c r="CY1" s="596" t="s">
        <v>546</v>
      </c>
      <c r="CZ1" s="596" t="s">
        <v>547</v>
      </c>
      <c r="DA1" s="471" t="s">
        <v>551</v>
      </c>
      <c r="DB1" s="470" t="s">
        <v>552</v>
      </c>
      <c r="DC1" s="470" t="s">
        <v>547</v>
      </c>
      <c r="DD1" s="764" t="s">
        <v>553</v>
      </c>
      <c r="DE1" s="765" t="s">
        <v>554</v>
      </c>
      <c r="DF1" s="470" t="s">
        <v>547</v>
      </c>
      <c r="DG1" s="623" t="s">
        <v>540</v>
      </c>
      <c r="DH1" s="623" t="s">
        <v>5</v>
      </c>
      <c r="DI1" s="601" t="s">
        <v>555</v>
      </c>
      <c r="DJ1" s="602" t="s">
        <v>556</v>
      </c>
      <c r="DK1" s="603" t="s">
        <v>547</v>
      </c>
      <c r="DL1" s="601" t="s">
        <v>557</v>
      </c>
      <c r="DM1" s="667" t="s">
        <v>221</v>
      </c>
      <c r="DN1" s="459" t="s">
        <v>534</v>
      </c>
      <c r="DO1" s="459" t="s">
        <v>533</v>
      </c>
      <c r="DP1" s="603" t="s">
        <v>558</v>
      </c>
      <c r="DQ1" s="460" t="s">
        <v>268</v>
      </c>
      <c r="DR1" s="458" t="s">
        <v>267</v>
      </c>
      <c r="DS1" s="508" t="s">
        <v>559</v>
      </c>
      <c r="DT1" s="507" t="s">
        <v>560</v>
      </c>
      <c r="DU1" s="472" t="s">
        <v>547</v>
      </c>
      <c r="DV1" s="508" t="s">
        <v>561</v>
      </c>
      <c r="DW1" s="507" t="s">
        <v>562</v>
      </c>
      <c r="DX1" s="472" t="s">
        <v>547</v>
      </c>
      <c r="DY1" s="508" t="s">
        <v>563</v>
      </c>
      <c r="DZ1" s="507" t="s">
        <v>564</v>
      </c>
      <c r="EA1" s="472" t="s">
        <v>547</v>
      </c>
      <c r="EB1" s="508" t="s">
        <v>939</v>
      </c>
      <c r="EC1" s="507" t="s">
        <v>940</v>
      </c>
      <c r="ED1" s="472" t="s">
        <v>547</v>
      </c>
      <c r="EE1" s="508" t="s">
        <v>941</v>
      </c>
      <c r="EF1" s="507" t="s">
        <v>942</v>
      </c>
      <c r="EG1" s="472" t="s">
        <v>547</v>
      </c>
      <c r="EH1" s="508" t="s">
        <v>565</v>
      </c>
      <c r="EI1" s="507" t="s">
        <v>566</v>
      </c>
      <c r="EJ1" s="472" t="s">
        <v>547</v>
      </c>
      <c r="EK1" s="508" t="s">
        <v>567</v>
      </c>
      <c r="EL1" s="507" t="s">
        <v>568</v>
      </c>
      <c r="EM1" s="472" t="s">
        <v>547</v>
      </c>
      <c r="EN1" s="507" t="s">
        <v>569</v>
      </c>
      <c r="EO1" s="507" t="s">
        <v>570</v>
      </c>
      <c r="EP1" s="507" t="s">
        <v>571</v>
      </c>
      <c r="EQ1" s="507" t="s">
        <v>626</v>
      </c>
      <c r="ER1" s="670" t="s">
        <v>679</v>
      </c>
      <c r="ES1" s="651" t="s">
        <v>680</v>
      </c>
      <c r="ET1" s="903" t="s">
        <v>946</v>
      </c>
      <c r="EU1" s="458" t="s">
        <v>905</v>
      </c>
      <c r="EV1" s="458" t="s">
        <v>236</v>
      </c>
      <c r="EW1" s="458" t="s">
        <v>262</v>
      </c>
      <c r="EX1" s="458" t="s">
        <v>636</v>
      </c>
      <c r="EY1" s="744" t="s">
        <v>692</v>
      </c>
      <c r="EZ1" s="745" t="s">
        <v>675</v>
      </c>
      <c r="FA1" s="669" t="s">
        <v>676</v>
      </c>
      <c r="FB1" s="459" t="s">
        <v>430</v>
      </c>
      <c r="FC1" s="646" t="s">
        <v>677</v>
      </c>
      <c r="FD1" s="459" t="s">
        <v>261</v>
      </c>
      <c r="FE1" s="458" t="s">
        <v>269</v>
      </c>
      <c r="FF1" s="458" t="s">
        <v>323</v>
      </c>
      <c r="FG1" s="523" t="s">
        <v>572</v>
      </c>
      <c r="FH1" s="523" t="s">
        <v>573</v>
      </c>
      <c r="FI1" s="523" t="s">
        <v>432</v>
      </c>
      <c r="FJ1" s="523" t="s">
        <v>625</v>
      </c>
      <c r="FK1" s="523" t="s">
        <v>689</v>
      </c>
      <c r="FL1" s="523" t="s">
        <v>690</v>
      </c>
      <c r="FM1" s="473" t="s">
        <v>574</v>
      </c>
      <c r="FN1" s="473" t="s">
        <v>310</v>
      </c>
      <c r="FO1" s="473" t="s">
        <v>812</v>
      </c>
      <c r="FP1" s="473" t="s">
        <v>575</v>
      </c>
      <c r="FQ1" s="458" t="s">
        <v>257</v>
      </c>
      <c r="FR1" s="458" t="s">
        <v>451</v>
      </c>
      <c r="FS1" s="458" t="s">
        <v>244</v>
      </c>
      <c r="FT1" s="458" t="s">
        <v>249</v>
      </c>
      <c r="FU1" s="458" t="s">
        <v>260</v>
      </c>
      <c r="FV1" s="458" t="s">
        <v>235</v>
      </c>
      <c r="FW1" s="458" t="s">
        <v>222</v>
      </c>
      <c r="FX1" s="461" t="s">
        <v>663</v>
      </c>
      <c r="FY1" s="461" t="s">
        <v>223</v>
      </c>
      <c r="FZ1" s="461" t="s">
        <v>224</v>
      </c>
      <c r="GA1" s="461" t="s">
        <v>829</v>
      </c>
      <c r="GB1" s="461" t="s">
        <v>225</v>
      </c>
      <c r="GC1" s="461" t="s">
        <v>226</v>
      </c>
      <c r="GD1" s="461" t="s">
        <v>649</v>
      </c>
      <c r="GE1" s="461" t="s">
        <v>237</v>
      </c>
      <c r="GF1" s="461" t="s">
        <v>494</v>
      </c>
      <c r="GG1" s="462" t="s">
        <v>634</v>
      </c>
      <c r="GH1" s="461" t="s">
        <v>408</v>
      </c>
      <c r="GI1" s="461" t="s">
        <v>477</v>
      </c>
      <c r="GJ1" s="461" t="s">
        <v>247</v>
      </c>
      <c r="GK1" s="461" t="s">
        <v>295</v>
      </c>
      <c r="GL1" s="547" t="s">
        <v>633</v>
      </c>
      <c r="GM1" s="978" t="s">
        <v>977</v>
      </c>
      <c r="GN1" s="463" t="s">
        <v>150</v>
      </c>
      <c r="GO1" s="682" t="s">
        <v>711</v>
      </c>
      <c r="GP1" s="897" t="s">
        <v>944</v>
      </c>
      <c r="GQ1" s="464" t="s">
        <v>55</v>
      </c>
      <c r="GR1" s="464" t="s">
        <v>108</v>
      </c>
      <c r="GS1" s="572" t="s">
        <v>840</v>
      </c>
      <c r="GT1" s="576" t="s">
        <v>642</v>
      </c>
      <c r="GU1" s="574" t="s">
        <v>109</v>
      </c>
      <c r="GV1" s="463" t="s">
        <v>79</v>
      </c>
      <c r="GW1" s="463" t="s">
        <v>11</v>
      </c>
      <c r="GX1" s="463" t="s">
        <v>12</v>
      </c>
      <c r="GY1" s="566" t="s">
        <v>110</v>
      </c>
      <c r="GZ1" s="463" t="s">
        <v>721</v>
      </c>
      <c r="HA1" s="465" t="s">
        <v>167</v>
      </c>
      <c r="HB1" s="467" t="s">
        <v>164</v>
      </c>
      <c r="HC1" s="465" t="s">
        <v>135</v>
      </c>
      <c r="HD1" s="463" t="s">
        <v>973</v>
      </c>
      <c r="HE1" s="682" t="s">
        <v>967</v>
      </c>
      <c r="HF1" s="465" t="s">
        <v>128</v>
      </c>
      <c r="HG1" s="466" t="s">
        <v>80</v>
      </c>
      <c r="HH1" s="468" t="s">
        <v>186</v>
      </c>
      <c r="HI1" s="469" t="s">
        <v>125</v>
      </c>
      <c r="HJ1" s="469" t="s">
        <v>102</v>
      </c>
      <c r="HK1" s="466" t="s">
        <v>103</v>
      </c>
      <c r="HL1" s="469" t="s">
        <v>111</v>
      </c>
      <c r="HM1" s="466" t="s">
        <v>113</v>
      </c>
      <c r="HN1" s="468" t="s">
        <v>149</v>
      </c>
      <c r="HO1" s="469" t="s">
        <v>137</v>
      </c>
      <c r="HP1" s="469" t="s">
        <v>112</v>
      </c>
      <c r="HQ1" s="465" t="s">
        <v>115</v>
      </c>
      <c r="HR1" s="897" t="s">
        <v>943</v>
      </c>
      <c r="HS1" s="897" t="s">
        <v>947</v>
      </c>
      <c r="HT1" s="897" t="s">
        <v>949</v>
      </c>
      <c r="HU1" s="923">
        <v>43830</v>
      </c>
      <c r="HV1" s="897" t="s">
        <v>966</v>
      </c>
      <c r="HW1" s="897" t="s">
        <v>945</v>
      </c>
      <c r="HX1" s="897" t="s">
        <v>950</v>
      </c>
      <c r="HY1" s="897" t="s">
        <v>948</v>
      </c>
      <c r="HZ1" s="897" t="s">
        <v>957</v>
      </c>
      <c r="IA1" s="465" t="s">
        <v>134</v>
      </c>
      <c r="IB1" s="753" t="s">
        <v>810</v>
      </c>
      <c r="IC1" s="467" t="s">
        <v>808</v>
      </c>
      <c r="ID1" s="467" t="s">
        <v>809</v>
      </c>
      <c r="IE1" s="467" t="s">
        <v>668</v>
      </c>
      <c r="IF1" s="467" t="s">
        <v>309</v>
      </c>
    </row>
    <row r="2" spans="1:246" ht="20.100000000000001" customHeight="1">
      <c r="A2" s="8" t="s">
        <v>123</v>
      </c>
      <c r="B2" s="39"/>
      <c r="C2" s="8" t="s">
        <v>62</v>
      </c>
      <c r="D2" s="8" t="s">
        <v>94</v>
      </c>
      <c r="E2" s="8">
        <v>2010</v>
      </c>
      <c r="F2" s="8" t="s">
        <v>124</v>
      </c>
      <c r="G2" s="8" t="s">
        <v>16</v>
      </c>
      <c r="H2" s="671"/>
      <c r="I2" s="8" t="s">
        <v>193</v>
      </c>
      <c r="J2" s="39" t="s">
        <v>100</v>
      </c>
      <c r="K2" s="39"/>
      <c r="L2" s="374" t="s">
        <v>527</v>
      </c>
      <c r="M2" s="425"/>
      <c r="N2" s="425"/>
      <c r="O2" s="425"/>
      <c r="P2" s="161">
        <v>9556</v>
      </c>
      <c r="Q2" s="161">
        <v>407560.68000000005</v>
      </c>
      <c r="R2" s="161">
        <v>222180</v>
      </c>
      <c r="S2" s="161">
        <f>Q2/AE2</f>
        <v>15094.840000000002</v>
      </c>
      <c r="T2" s="161">
        <f>Q2/P2</f>
        <v>42.649715362076186</v>
      </c>
      <c r="U2" s="161">
        <f>R2/P2</f>
        <v>23.250313938886563</v>
      </c>
      <c r="V2" s="161">
        <f>R2/AL2</f>
        <v>100.42124674573334</v>
      </c>
      <c r="W2" s="161">
        <f>R2/AE2</f>
        <v>8228.8888888888887</v>
      </c>
      <c r="X2" s="161">
        <f>P2/AE2</f>
        <v>353.92592592592592</v>
      </c>
      <c r="Y2" s="162"/>
      <c r="Z2" s="733">
        <f t="shared" ref="Z2:Z33" si="0">10000*AE2/P2</f>
        <v>28.25449979070741</v>
      </c>
      <c r="AA2" s="162" t="s">
        <v>169</v>
      </c>
      <c r="AB2" s="164"/>
      <c r="AC2" s="164"/>
      <c r="AD2" s="8" t="s">
        <v>10</v>
      </c>
      <c r="AE2" s="674">
        <f t="shared" ref="AE2:AE33" si="1">SUM(AG2:AJ2)</f>
        <v>27</v>
      </c>
      <c r="AF2" s="674">
        <f t="shared" ref="AF2:AF33" si="2">AE2-AJ2</f>
        <v>27</v>
      </c>
      <c r="AG2" s="776"/>
      <c r="AH2" s="769">
        <v>27</v>
      </c>
      <c r="AI2" s="536"/>
      <c r="AJ2" s="536"/>
      <c r="AK2" s="43">
        <v>2176.829999999999</v>
      </c>
      <c r="AL2" s="426">
        <v>2212.4799999999991</v>
      </c>
      <c r="AM2" s="875">
        <f t="shared" ref="AM2:AM33" si="3">AK2/AE2</f>
        <v>80.623333333333292</v>
      </c>
      <c r="AN2" s="10">
        <f t="shared" ref="AN2:AN33" si="4">AL2/AE2</f>
        <v>81.943703703703676</v>
      </c>
      <c r="AO2" s="43">
        <v>4.9800000000000004</v>
      </c>
      <c r="AP2" s="43">
        <v>4.9000000000000004</v>
      </c>
      <c r="AQ2" s="43">
        <v>401.69</v>
      </c>
      <c r="AR2" s="61"/>
      <c r="AS2" s="61">
        <v>0.22</v>
      </c>
      <c r="AT2" s="61">
        <v>0.3</v>
      </c>
      <c r="AU2" s="61">
        <v>0.3</v>
      </c>
      <c r="AV2" s="61">
        <v>0.19</v>
      </c>
      <c r="AW2" s="10">
        <v>1400</v>
      </c>
      <c r="AX2" s="59"/>
      <c r="AY2" s="61">
        <f>AX2/P2</f>
        <v>0</v>
      </c>
      <c r="AZ2" s="43">
        <v>3</v>
      </c>
      <c r="BA2" s="42" t="s">
        <v>439</v>
      </c>
      <c r="BB2" s="769" t="s">
        <v>101</v>
      </c>
      <c r="BC2" s="42"/>
      <c r="BD2" s="42"/>
      <c r="BE2" s="42"/>
      <c r="BF2" s="42"/>
      <c r="BG2" s="88"/>
      <c r="BH2" s="143">
        <v>40816</v>
      </c>
      <c r="BI2" s="159">
        <v>40491</v>
      </c>
      <c r="BJ2" s="75"/>
      <c r="BK2" s="867"/>
      <c r="BL2" s="770"/>
      <c r="BM2" s="771"/>
      <c r="BN2" s="820"/>
      <c r="BO2" s="820"/>
      <c r="BP2" s="85"/>
      <c r="BQ2" s="85"/>
      <c r="BR2" s="224">
        <v>41307</v>
      </c>
      <c r="BS2" s="224">
        <f t="shared" ref="BS2:BS35" si="5">DATE(YEAR(BR2),MONTH(BR2)+24,DAY(BR2))</f>
        <v>42037</v>
      </c>
      <c r="BT2" s="224"/>
      <c r="BU2" s="224" t="str">
        <f t="shared" ref="BU2:BU11" si="6">IF(FA2&gt;BS2,"oui","non")</f>
        <v>non</v>
      </c>
      <c r="BV2" s="605">
        <f t="shared" ref="BV2:BV10" si="7">DATEDIF(FA2,BS2,"M")</f>
        <v>18</v>
      </c>
      <c r="BW2" s="605">
        <f>BV2*FD2</f>
        <v>199818</v>
      </c>
      <c r="BX2" s="605">
        <f t="shared" ref="BX2:BX33" si="8">BT2-BW2</f>
        <v>-199818</v>
      </c>
      <c r="BY2" s="696"/>
      <c r="BZ2" s="697"/>
      <c r="CA2" s="696"/>
      <c r="CB2" s="696"/>
      <c r="CC2" s="696"/>
      <c r="CD2" s="698"/>
      <c r="CE2" s="698"/>
      <c r="CF2" s="698"/>
      <c r="CG2" s="698"/>
      <c r="CH2" s="698"/>
      <c r="CI2" s="698"/>
      <c r="CJ2" s="698"/>
      <c r="CK2" s="698"/>
      <c r="CL2" s="698"/>
      <c r="CM2" s="698"/>
      <c r="CN2" s="698"/>
      <c r="CO2" s="698"/>
      <c r="CP2" s="698"/>
      <c r="CQ2" s="95"/>
      <c r="CR2" s="88"/>
      <c r="CS2" s="88"/>
      <c r="CT2" s="475" t="str">
        <f t="shared" ref="CT2:CT43" si="9">IF(AND(CR2&gt;0,CS2&gt;0),CS2-CR2,"0")</f>
        <v>0</v>
      </c>
      <c r="CU2" s="95"/>
      <c r="CV2" s="95"/>
      <c r="CW2" s="475" t="str">
        <f t="shared" ref="CW2:CW43" si="10">IF(AND(CU2&gt;0,CV2&gt;0),CV2-CU2,"0")</f>
        <v>0</v>
      </c>
      <c r="CX2" s="97"/>
      <c r="CY2" s="95"/>
      <c r="CZ2" s="475" t="str">
        <f t="shared" ref="CZ2:CZ43" si="11">IF(AND(CX2&gt;0,CY2&gt;0),CY2-CX2,"0")</f>
        <v>0</v>
      </c>
      <c r="DA2" s="97"/>
      <c r="DB2" s="95"/>
      <c r="DC2" s="475" t="str">
        <f t="shared" ref="DC2:DC43" si="12">IF(AND(DA2&gt;0,DB2&gt;0),DB2-DA2,"0")</f>
        <v>0</v>
      </c>
      <c r="DD2" s="97"/>
      <c r="DE2" s="514"/>
      <c r="DF2" s="475" t="str">
        <f t="shared" ref="DF2:DF43" si="13">IF(AND(DD2&gt;0,DE2&gt;0),DE2-DD2,"0")</f>
        <v>0</v>
      </c>
      <c r="DG2" s="440"/>
      <c r="DH2" s="178"/>
      <c r="DI2" s="95"/>
      <c r="DJ2" s="178"/>
      <c r="DK2" s="475" t="str">
        <f t="shared" ref="DK2:DK35" si="14">IF(AND(DI2&gt;0,DJ2&gt;0),DJ2-DI2,"0")</f>
        <v>0</v>
      </c>
      <c r="DL2" s="95"/>
      <c r="DM2" s="330">
        <v>40721</v>
      </c>
      <c r="DN2" s="323">
        <v>2011</v>
      </c>
      <c r="DO2" s="433">
        <f t="shared" ref="DO2:DO33" si="15">(DATEDIF(BI2,DM2,"d"))/30</f>
        <v>7.666666666666667</v>
      </c>
      <c r="DP2" s="475" t="str">
        <f t="shared" ref="DP2:DP33" si="16">IF(AND(DL2&gt;0,DM2&gt;0),DM2-DL2,"0")</f>
        <v>0</v>
      </c>
      <c r="DQ2" s="97">
        <v>15</v>
      </c>
      <c r="DR2" s="97">
        <f t="shared" ref="DR2:DR33" si="17">DATEDIF(DM2,ER2,"M")</f>
        <v>24</v>
      </c>
      <c r="DS2" s="237"/>
      <c r="DT2" s="236"/>
      <c r="DU2" s="616" t="str">
        <f t="shared" ref="DU2:DU33" si="18">IF(AND(DS2&gt;0,DT2&gt;0),DT2-DS2,"0")</f>
        <v>0</v>
      </c>
      <c r="DV2" s="633"/>
      <c r="DW2" s="555"/>
      <c r="DX2" s="556" t="str">
        <f t="shared" ref="DX2:DX33" si="19">IF(AND(DV2&gt;0,DW2&gt;0),DW2-DV2,"0")</f>
        <v>0</v>
      </c>
      <c r="DY2" s="198"/>
      <c r="DZ2" s="237"/>
      <c r="EA2" s="616" t="str">
        <f t="shared" ref="EA2:EA33" si="20">IF(AND(DY2&gt;0,DZ2&gt;0),DZ2-DY2,"0")</f>
        <v>0</v>
      </c>
      <c r="EB2" s="236"/>
      <c r="EC2" s="237"/>
      <c r="ED2" s="616" t="str">
        <f t="shared" ref="ED2:ED33" si="21">IF(AND(EB2&gt;0,EC2&gt;0),EC2-EB2,"0")</f>
        <v>0</v>
      </c>
      <c r="EE2" s="297"/>
      <c r="EF2" s="297"/>
      <c r="EG2" s="616" t="str">
        <f t="shared" ref="EG2:EG33" si="22">IF(AND(EE2&gt;0,EF2&gt;0),EF2-EE2,"0")</f>
        <v>0</v>
      </c>
      <c r="EH2" s="297"/>
      <c r="EI2" s="237"/>
      <c r="EJ2" s="616" t="str">
        <f t="shared" ref="EJ2:EJ33" si="23">IF(AND(EH2&gt;0,EI2&gt;0),EI2-EH2,"0")</f>
        <v>0</v>
      </c>
      <c r="EK2" s="298"/>
      <c r="EL2" s="298"/>
      <c r="EM2" s="616" t="str">
        <f t="shared" ref="EM2:EM33" si="24">IF(AND(EK2&gt;0,EL2&gt;0),EL2-EK2,"0")</f>
        <v>0</v>
      </c>
      <c r="EN2" s="298"/>
      <c r="EO2" s="298"/>
      <c r="EP2" s="298"/>
      <c r="EQ2" s="534">
        <f t="shared" ref="EQ2:EQ33" si="25">DATE(YEAR(DM2),MONTH(DM2)+DQ2,DAY(DM2))</f>
        <v>41179</v>
      </c>
      <c r="ER2" s="333">
        <v>41464</v>
      </c>
      <c r="ES2" s="643">
        <f t="shared" ref="ES2:ES33" si="26">(DATEDIF(EQ2,ER2,"d"))/30</f>
        <v>9.5</v>
      </c>
      <c r="ET2" s="928"/>
      <c r="EU2" s="533"/>
      <c r="EV2" s="87">
        <v>41606</v>
      </c>
      <c r="EW2" s="95" t="s">
        <v>107</v>
      </c>
      <c r="EX2" s="89">
        <v>41481</v>
      </c>
      <c r="EY2" s="441"/>
      <c r="EZ2" s="746">
        <f t="shared" ref="EZ2:EZ35" si="27">DATE(YEAR(EQ2),MONTH(EQ2)+1,DAY(EQ2))</f>
        <v>41209</v>
      </c>
      <c r="FA2" s="333">
        <v>41481</v>
      </c>
      <c r="FB2" s="442">
        <v>2013</v>
      </c>
      <c r="FC2" s="641">
        <f t="shared" ref="FC2:FC33" si="28">(DATEDIF(EZ2,FA2,"d"))/30</f>
        <v>9.0666666666666664</v>
      </c>
      <c r="FD2" s="632">
        <v>11101</v>
      </c>
      <c r="FE2" s="178">
        <f t="shared" ref="FE2:FE33" si="29">FD2*FC2</f>
        <v>100649.06666666667</v>
      </c>
      <c r="FF2" s="98"/>
      <c r="FG2" s="498"/>
      <c r="FH2" s="624">
        <f t="shared" ref="FH2:FH11" si="30">HQ2</f>
        <v>1409</v>
      </c>
      <c r="FI2" s="502"/>
      <c r="FJ2" s="502"/>
      <c r="FK2" s="502"/>
      <c r="FL2" s="664">
        <f t="shared" ref="FL2:FL26" si="31">FK2/GN2</f>
        <v>0</v>
      </c>
      <c r="FM2" s="499"/>
      <c r="FN2" s="511" t="s">
        <v>597</v>
      </c>
      <c r="FO2" s="499"/>
      <c r="FP2" s="499"/>
      <c r="FQ2" s="95"/>
      <c r="FR2" s="95"/>
      <c r="FS2" s="95"/>
      <c r="FT2" s="95"/>
      <c r="FU2" s="95"/>
      <c r="FV2" s="88"/>
      <c r="FW2" s="87">
        <f t="shared" ref="FW2:FW12" si="32">DATE(YEAR(ER2)+1,MONTH(ER2),DAY(ER2))</f>
        <v>41829</v>
      </c>
      <c r="FX2" s="609">
        <v>51423</v>
      </c>
      <c r="FY2" s="87" t="s">
        <v>107</v>
      </c>
      <c r="FZ2" s="87"/>
      <c r="GA2" s="87"/>
      <c r="GB2" s="87">
        <v>41926</v>
      </c>
      <c r="GC2" s="87" t="s">
        <v>227</v>
      </c>
      <c r="GD2" s="87"/>
      <c r="GE2" s="87" t="s">
        <v>136</v>
      </c>
      <c r="GF2" s="87" t="s">
        <v>136</v>
      </c>
      <c r="GG2" s="87"/>
      <c r="GH2" s="87"/>
      <c r="GI2" s="87"/>
      <c r="GJ2" s="150">
        <v>42114</v>
      </c>
      <c r="GK2" s="150">
        <v>42424</v>
      </c>
      <c r="GL2" s="741"/>
      <c r="GM2" s="979">
        <f t="shared" ref="GM2:GM35" si="33">GS2+GV2+HA2+HQ2+GZ2+HF2+HD2+HE2</f>
        <v>3574937</v>
      </c>
      <c r="GN2" s="772">
        <f t="shared" ref="GN2:GN43" si="34">GS2+GV2+HA2+HQ2+GZ2+HF2+HD2+HE2</f>
        <v>3574937</v>
      </c>
      <c r="GO2" s="683">
        <f t="shared" ref="GO2:GO33" si="35">GN2</f>
        <v>3574937</v>
      </c>
      <c r="GP2" s="909">
        <f t="shared" ref="GP2:GP35" si="36">HA2+HB2+HF2</f>
        <v>1362028</v>
      </c>
      <c r="GQ2" s="35">
        <f t="shared" ref="GQ2:GQ33" si="37">GN2/AL2</f>
        <v>1615.8053406132492</v>
      </c>
      <c r="GR2" s="35">
        <f t="shared" ref="GR2:GR33" si="38">GN2/AE2</f>
        <v>132405.07407407407</v>
      </c>
      <c r="GS2" s="14">
        <v>0</v>
      </c>
      <c r="GT2" s="577"/>
      <c r="GU2" s="19">
        <f t="shared" ref="GU2:GU33" si="39">GS2/AE2</f>
        <v>0</v>
      </c>
      <c r="GV2" s="11">
        <f t="shared" ref="GV2:GV31" si="40">+GW2+GX2</f>
        <v>2306000</v>
      </c>
      <c r="GW2" s="12">
        <v>511146</v>
      </c>
      <c r="GX2" s="12">
        <v>1794854</v>
      </c>
      <c r="GY2" s="567">
        <f t="shared" ref="GY2:GY33" si="41">GV2/AE2</f>
        <v>85407.407407407401</v>
      </c>
      <c r="GZ2" s="11"/>
      <c r="HA2" s="14">
        <v>1267528</v>
      </c>
      <c r="HB2" s="52">
        <v>94500</v>
      </c>
      <c r="HC2" s="28">
        <f t="shared" ref="HC2:HC33" si="42">HA2/GN2</f>
        <v>0.35455953489530023</v>
      </c>
      <c r="HD2" s="68"/>
      <c r="HE2" s="68"/>
      <c r="HF2" s="14"/>
      <c r="HG2" s="35">
        <f t="shared" ref="HG2:HG33" si="43">HA2/AE2</f>
        <v>46945.481481481482</v>
      </c>
      <c r="HH2" s="35">
        <f t="shared" ref="HH2:HH33" si="44">(GS2+HA2)/AE2</f>
        <v>46945.481481481482</v>
      </c>
      <c r="HI2" s="27">
        <v>1734704.6581725003</v>
      </c>
      <c r="HJ2" s="27">
        <v>660000</v>
      </c>
      <c r="HK2" s="19">
        <f>(GS2+HA2+HJ2)/AE2</f>
        <v>71389.925925925927</v>
      </c>
      <c r="HL2" s="27">
        <v>767026.95965000009</v>
      </c>
      <c r="HM2" s="19">
        <f t="shared" ref="HM2:HM33" si="45">(GS2+HA2+HJ2+HL2)/AE2</f>
        <v>99798.331838888887</v>
      </c>
      <c r="HN2" s="36">
        <f t="shared" ref="HN2:HN38" si="46">(GS2+HA2+HJ2+HL2)/(HI2+GN2-HO2)</f>
        <v>0.52964624417787332</v>
      </c>
      <c r="HO2" s="27">
        <v>222180</v>
      </c>
      <c r="HP2" s="27"/>
      <c r="HQ2" s="11">
        <v>1409</v>
      </c>
      <c r="HR2" s="898"/>
      <c r="HS2" s="907">
        <f t="shared" ref="HS2:HS33" si="47">HR2/GN2</f>
        <v>0</v>
      </c>
      <c r="HT2" s="915">
        <f t="shared" ref="HT2:HT33" si="48">GN2-HR2</f>
        <v>3574937</v>
      </c>
      <c r="HU2" s="898">
        <f t="shared" ref="HU2:HU43" ca="1" si="49">IF(ET2&lt;DATEDIF(TODAY(),$HU$1,"M"),HT2,(HT2/ET2*DATEDIF(TODAY(),$HU$1,"M")))</f>
        <v>3574937</v>
      </c>
      <c r="HV2" s="898"/>
      <c r="HW2" s="898"/>
      <c r="HX2" s="898">
        <f t="shared" ref="HX2:HX43" si="50">GP2-HW2</f>
        <v>1362028</v>
      </c>
      <c r="HY2" s="908">
        <f t="shared" ref="HY2:HY43" si="51">HW2/GP2</f>
        <v>0</v>
      </c>
      <c r="HZ2" s="908"/>
      <c r="IA2" s="29">
        <f>GN2+HI2</f>
        <v>5309641.6581725003</v>
      </c>
      <c r="IB2" s="752"/>
      <c r="IC2" s="73">
        <f>426301.21+11420</f>
        <v>437721.21</v>
      </c>
      <c r="ID2" s="73">
        <f>261273.86985+1146090</f>
        <v>1407363.8698499999</v>
      </c>
      <c r="IE2" s="73">
        <v>2693678.6460500001</v>
      </c>
      <c r="IF2" s="73">
        <f>151570+563521</f>
        <v>715091</v>
      </c>
    </row>
    <row r="3" spans="1:246" ht="20.100000000000001" customHeight="1">
      <c r="A3" s="8" t="s">
        <v>746</v>
      </c>
      <c r="B3" s="39"/>
      <c r="C3" s="8" t="s">
        <v>82</v>
      </c>
      <c r="D3" s="8" t="s">
        <v>94</v>
      </c>
      <c r="E3" s="8">
        <v>2011</v>
      </c>
      <c r="F3" s="8" t="s">
        <v>85</v>
      </c>
      <c r="G3" s="39" t="s">
        <v>88</v>
      </c>
      <c r="H3" s="671"/>
      <c r="I3" s="39" t="s">
        <v>193</v>
      </c>
      <c r="J3" s="39"/>
      <c r="K3" s="39"/>
      <c r="L3" s="199"/>
      <c r="M3" s="227"/>
      <c r="N3" s="227"/>
      <c r="O3" s="227"/>
      <c r="P3" s="161">
        <v>4531</v>
      </c>
      <c r="Q3" s="161">
        <f>R3</f>
        <v>799078</v>
      </c>
      <c r="R3" s="161">
        <v>799078</v>
      </c>
      <c r="S3" s="161">
        <f>Q3/AE3</f>
        <v>34742.521739130432</v>
      </c>
      <c r="T3" s="161">
        <f>Q3/P3</f>
        <v>176.35797837122047</v>
      </c>
      <c r="U3" s="161">
        <f>R3/P3</f>
        <v>176.35797837122047</v>
      </c>
      <c r="V3" s="161">
        <f>R3/AL3</f>
        <v>416.95086825847386</v>
      </c>
      <c r="W3" s="161">
        <f>R3/AE3</f>
        <v>34742.521739130432</v>
      </c>
      <c r="X3" s="161">
        <f>P3/AE3</f>
        <v>197</v>
      </c>
      <c r="Y3" s="162"/>
      <c r="Z3" s="733">
        <f t="shared" si="0"/>
        <v>50.761421319796952</v>
      </c>
      <c r="AA3" s="162" t="s">
        <v>173</v>
      </c>
      <c r="AB3" s="162"/>
      <c r="AC3" s="162"/>
      <c r="AD3" s="39" t="s">
        <v>9</v>
      </c>
      <c r="AE3" s="674">
        <f t="shared" si="1"/>
        <v>23</v>
      </c>
      <c r="AF3" s="674">
        <f t="shared" si="2"/>
        <v>23</v>
      </c>
      <c r="AG3" s="39">
        <v>23</v>
      </c>
      <c r="AH3" s="377"/>
      <c r="AI3" s="377"/>
      <c r="AJ3" s="377"/>
      <c r="AK3" s="43">
        <v>1916.48</v>
      </c>
      <c r="AL3" s="422">
        <v>1916.48</v>
      </c>
      <c r="AM3" s="875">
        <f t="shared" si="3"/>
        <v>83.325217391304349</v>
      </c>
      <c r="AN3" s="43">
        <f t="shared" si="4"/>
        <v>83.325217391304349</v>
      </c>
      <c r="AO3" s="43">
        <v>6.14</v>
      </c>
      <c r="AP3" s="43">
        <v>6.14</v>
      </c>
      <c r="AQ3" s="43">
        <v>511.38</v>
      </c>
      <c r="AR3" s="43"/>
      <c r="AS3" s="43"/>
      <c r="AT3" s="43"/>
      <c r="AU3" s="43"/>
      <c r="AV3" s="43"/>
      <c r="AW3" s="43"/>
      <c r="AX3" s="59"/>
      <c r="AY3" s="61">
        <f>AX3/P3</f>
        <v>0</v>
      </c>
      <c r="AZ3" s="43">
        <v>2.5</v>
      </c>
      <c r="BA3" s="42" t="s">
        <v>439</v>
      </c>
      <c r="BB3" s="42" t="s">
        <v>101</v>
      </c>
      <c r="BC3" s="687">
        <v>3772000</v>
      </c>
      <c r="BD3" s="687">
        <f>BC3/AK3</f>
        <v>1968.1916847553848</v>
      </c>
      <c r="BE3" s="552">
        <f>BC3/AL3</f>
        <v>1968.1916847553848</v>
      </c>
      <c r="BF3" s="552">
        <f>BC3/AE3</f>
        <v>164000</v>
      </c>
      <c r="BG3" s="39"/>
      <c r="BH3" s="143">
        <v>40816</v>
      </c>
      <c r="BI3" s="159">
        <v>40730</v>
      </c>
      <c r="BJ3" s="75"/>
      <c r="BK3" s="867"/>
      <c r="BL3" s="85"/>
      <c r="BM3" s="820"/>
      <c r="BN3" s="820"/>
      <c r="BO3" s="820"/>
      <c r="BP3" s="85"/>
      <c r="BQ3" s="85"/>
      <c r="BR3" s="224">
        <v>41309</v>
      </c>
      <c r="BS3" s="224">
        <f t="shared" si="5"/>
        <v>42039</v>
      </c>
      <c r="BT3" s="224"/>
      <c r="BU3" s="224" t="str">
        <f t="shared" si="6"/>
        <v>non</v>
      </c>
      <c r="BV3" s="605">
        <f t="shared" si="7"/>
        <v>18</v>
      </c>
      <c r="BW3" s="605">
        <f>IF((BV3*FD3)&lt;0,"0",BV3*FD3)</f>
        <v>218088</v>
      </c>
      <c r="BX3" s="605">
        <f t="shared" si="8"/>
        <v>-218088</v>
      </c>
      <c r="BY3" s="696"/>
      <c r="BZ3" s="696"/>
      <c r="CA3" s="696"/>
      <c r="CB3" s="696"/>
      <c r="CC3" s="696"/>
      <c r="CD3" s="698"/>
      <c r="CE3" s="698"/>
      <c r="CF3" s="698"/>
      <c r="CG3" s="698"/>
      <c r="CH3" s="698"/>
      <c r="CI3" s="698"/>
      <c r="CJ3" s="698"/>
      <c r="CK3" s="698"/>
      <c r="CL3" s="698"/>
      <c r="CM3" s="698"/>
      <c r="CN3" s="698"/>
      <c r="CO3" s="698"/>
      <c r="CP3" s="698"/>
      <c r="CQ3" s="95"/>
      <c r="CR3" s="95"/>
      <c r="CS3" s="95"/>
      <c r="CT3" s="475" t="str">
        <f t="shared" si="9"/>
        <v>0</v>
      </c>
      <c r="CU3" s="95"/>
      <c r="CV3" s="95"/>
      <c r="CW3" s="475" t="str">
        <f t="shared" si="10"/>
        <v>0</v>
      </c>
      <c r="CX3" s="95"/>
      <c r="CY3" s="95"/>
      <c r="CZ3" s="475" t="str">
        <f t="shared" si="11"/>
        <v>0</v>
      </c>
      <c r="DA3" s="95"/>
      <c r="DB3" s="95"/>
      <c r="DC3" s="475" t="str">
        <f t="shared" si="12"/>
        <v>0</v>
      </c>
      <c r="DD3" s="97"/>
      <c r="DE3" s="514"/>
      <c r="DF3" s="475" t="str">
        <f t="shared" si="13"/>
        <v>0</v>
      </c>
      <c r="DG3" s="440"/>
      <c r="DH3" s="178"/>
      <c r="DI3" s="95"/>
      <c r="DJ3" s="178"/>
      <c r="DK3" s="475" t="str">
        <f t="shared" si="14"/>
        <v>0</v>
      </c>
      <c r="DL3" s="95"/>
      <c r="DM3" s="330">
        <v>40898</v>
      </c>
      <c r="DN3" s="323">
        <v>2011</v>
      </c>
      <c r="DO3" s="433">
        <f t="shared" si="15"/>
        <v>5.6</v>
      </c>
      <c r="DP3" s="475" t="str">
        <f t="shared" si="16"/>
        <v>0</v>
      </c>
      <c r="DQ3" s="97">
        <v>16</v>
      </c>
      <c r="DR3" s="97">
        <f t="shared" si="17"/>
        <v>18</v>
      </c>
      <c r="DS3" s="237"/>
      <c r="DT3" s="236"/>
      <c r="DU3" s="616" t="str">
        <f t="shared" si="18"/>
        <v>0</v>
      </c>
      <c r="DV3" s="633"/>
      <c r="DW3" s="555"/>
      <c r="DX3" s="556" t="str">
        <f t="shared" si="19"/>
        <v>0</v>
      </c>
      <c r="DY3" s="198"/>
      <c r="DZ3" s="237"/>
      <c r="EA3" s="616" t="str">
        <f t="shared" si="20"/>
        <v>0</v>
      </c>
      <c r="EB3" s="237"/>
      <c r="EC3" s="237"/>
      <c r="ED3" s="616" t="str">
        <f t="shared" si="21"/>
        <v>0</v>
      </c>
      <c r="EE3" s="237"/>
      <c r="EF3" s="237"/>
      <c r="EG3" s="616" t="str">
        <f t="shared" si="22"/>
        <v>0</v>
      </c>
      <c r="EH3" s="237"/>
      <c r="EI3" s="237"/>
      <c r="EJ3" s="616" t="str">
        <f t="shared" si="23"/>
        <v>0</v>
      </c>
      <c r="EK3" s="237"/>
      <c r="EL3" s="237"/>
      <c r="EM3" s="616" t="str">
        <f t="shared" si="24"/>
        <v>0</v>
      </c>
      <c r="EN3" s="237"/>
      <c r="EO3" s="237"/>
      <c r="EP3" s="237"/>
      <c r="EQ3" s="534">
        <f t="shared" si="25"/>
        <v>41385</v>
      </c>
      <c r="ER3" s="333">
        <v>41473</v>
      </c>
      <c r="ES3" s="643">
        <f t="shared" si="26"/>
        <v>2.9333333333333331</v>
      </c>
      <c r="ET3" s="928"/>
      <c r="EU3" s="533"/>
      <c r="EV3" s="87">
        <v>41470</v>
      </c>
      <c r="EW3" s="95" t="s">
        <v>107</v>
      </c>
      <c r="EX3" s="98">
        <v>41486</v>
      </c>
      <c r="EY3" s="533"/>
      <c r="EZ3" s="746">
        <f t="shared" si="27"/>
        <v>41415</v>
      </c>
      <c r="FA3" s="333">
        <v>41486</v>
      </c>
      <c r="FB3" s="442">
        <v>2013</v>
      </c>
      <c r="FC3" s="637">
        <f t="shared" si="28"/>
        <v>2.3666666666666667</v>
      </c>
      <c r="FD3" s="632">
        <v>12116</v>
      </c>
      <c r="FE3" s="178">
        <f t="shared" si="29"/>
        <v>28674.533333333333</v>
      </c>
      <c r="FF3" s="98"/>
      <c r="FG3" s="498"/>
      <c r="FH3" s="624">
        <f t="shared" si="30"/>
        <v>0</v>
      </c>
      <c r="FI3" s="502"/>
      <c r="FJ3" s="502"/>
      <c r="FK3" s="502"/>
      <c r="FL3" s="664">
        <f t="shared" si="31"/>
        <v>0</v>
      </c>
      <c r="FM3" s="499"/>
      <c r="FN3" s="511"/>
      <c r="FO3" s="499"/>
      <c r="FP3" s="499"/>
      <c r="FQ3" s="95"/>
      <c r="FR3" s="95"/>
      <c r="FS3" s="95"/>
      <c r="FT3" s="95"/>
      <c r="FU3" s="95"/>
      <c r="FV3" s="88"/>
      <c r="FW3" s="95">
        <f t="shared" si="32"/>
        <v>41838</v>
      </c>
      <c r="FX3" s="609">
        <v>0</v>
      </c>
      <c r="FY3" s="95" t="s">
        <v>107</v>
      </c>
      <c r="FZ3" s="95"/>
      <c r="GA3" s="95"/>
      <c r="GB3" s="95"/>
      <c r="GC3" s="140" t="s">
        <v>228</v>
      </c>
      <c r="GD3" s="140"/>
      <c r="GE3" s="140" t="s">
        <v>107</v>
      </c>
      <c r="GF3" s="87">
        <v>42664</v>
      </c>
      <c r="GG3" s="87"/>
      <c r="GH3" s="150"/>
      <c r="GI3" s="150"/>
      <c r="GJ3" s="150" t="s">
        <v>107</v>
      </c>
      <c r="GK3" s="150" t="s">
        <v>107</v>
      </c>
      <c r="GL3" s="741"/>
      <c r="GM3" s="979">
        <f t="shared" si="33"/>
        <v>4024614</v>
      </c>
      <c r="GN3" s="772">
        <f t="shared" si="34"/>
        <v>4024614</v>
      </c>
      <c r="GO3" s="683">
        <f t="shared" si="35"/>
        <v>4024614</v>
      </c>
      <c r="GP3" s="909">
        <f t="shared" si="36"/>
        <v>239587</v>
      </c>
      <c r="GQ3" s="35">
        <f t="shared" si="37"/>
        <v>2100.0031307396894</v>
      </c>
      <c r="GR3" s="35">
        <f t="shared" si="38"/>
        <v>174983.21739130435</v>
      </c>
      <c r="GS3" s="14">
        <v>1191366</v>
      </c>
      <c r="GT3" s="577"/>
      <c r="GU3" s="35">
        <f t="shared" si="39"/>
        <v>51798.521739130432</v>
      </c>
      <c r="GV3" s="53">
        <f t="shared" si="40"/>
        <v>2593661</v>
      </c>
      <c r="GW3" s="67">
        <v>592565</v>
      </c>
      <c r="GX3" s="67">
        <v>2001096</v>
      </c>
      <c r="GY3" s="567">
        <f t="shared" si="41"/>
        <v>112767.86956521739</v>
      </c>
      <c r="GZ3" s="53">
        <v>0</v>
      </c>
      <c r="HA3" s="52">
        <v>239587</v>
      </c>
      <c r="HB3" s="52"/>
      <c r="HC3" s="28">
        <f t="shared" si="42"/>
        <v>5.9530429502059078E-2</v>
      </c>
      <c r="HD3" s="68"/>
      <c r="HE3" s="68"/>
      <c r="HF3" s="52">
        <v>0</v>
      </c>
      <c r="HG3" s="35">
        <f t="shared" si="43"/>
        <v>10416.826086956522</v>
      </c>
      <c r="HH3" s="35">
        <f t="shared" si="44"/>
        <v>62215.34782608696</v>
      </c>
      <c r="HI3" s="70">
        <v>0</v>
      </c>
      <c r="HJ3" s="70">
        <v>0</v>
      </c>
      <c r="HK3" s="35" t="e">
        <f>(#REF!+#REF!+HJ3)/AE3</f>
        <v>#REF!</v>
      </c>
      <c r="HL3" s="70">
        <v>0</v>
      </c>
      <c r="HM3" s="35">
        <f t="shared" si="45"/>
        <v>62215.34782608696</v>
      </c>
      <c r="HN3" s="36">
        <f t="shared" si="46"/>
        <v>0.3555503707933233</v>
      </c>
      <c r="HO3" s="70"/>
      <c r="HP3" s="70"/>
      <c r="HQ3" s="53">
        <v>0</v>
      </c>
      <c r="HR3" s="898"/>
      <c r="HS3" s="907">
        <f t="shared" si="47"/>
        <v>0</v>
      </c>
      <c r="HT3" s="915">
        <f t="shared" si="48"/>
        <v>4024614</v>
      </c>
      <c r="HU3" s="898">
        <f t="shared" ca="1" si="49"/>
        <v>4024614</v>
      </c>
      <c r="HV3" s="898"/>
      <c r="HW3" s="898"/>
      <c r="HX3" s="898">
        <f t="shared" si="50"/>
        <v>239587</v>
      </c>
      <c r="HY3" s="908">
        <f t="shared" si="51"/>
        <v>0</v>
      </c>
      <c r="HZ3" s="908"/>
      <c r="IA3" s="73">
        <f>GN3+HI3</f>
        <v>4024614</v>
      </c>
      <c r="IB3" s="752"/>
      <c r="IC3" s="73"/>
      <c r="ID3" s="73"/>
      <c r="IE3" s="73"/>
      <c r="IF3" s="73"/>
    </row>
    <row r="4" spans="1:246" ht="20.100000000000001" customHeight="1">
      <c r="A4" s="8" t="s">
        <v>933</v>
      </c>
      <c r="B4" s="297"/>
      <c r="C4" s="8" t="s">
        <v>21</v>
      </c>
      <c r="D4" s="8" t="s">
        <v>92</v>
      </c>
      <c r="E4" s="8">
        <v>2011</v>
      </c>
      <c r="F4" s="8" t="s">
        <v>87</v>
      </c>
      <c r="G4" s="8"/>
      <c r="H4" s="671"/>
      <c r="I4" s="39" t="s">
        <v>193</v>
      </c>
      <c r="J4" s="39"/>
      <c r="K4" s="39"/>
      <c r="L4" s="199"/>
      <c r="M4" s="425"/>
      <c r="N4" s="425"/>
      <c r="O4" s="425"/>
      <c r="P4" s="161">
        <v>5169</v>
      </c>
      <c r="Q4" s="161">
        <v>830607</v>
      </c>
      <c r="R4" s="161">
        <v>830607</v>
      </c>
      <c r="S4" s="161">
        <f>Q4/(AE4+AE34)</f>
        <v>6198.559701492537</v>
      </c>
      <c r="T4" s="161">
        <f>Q4/P4</f>
        <v>160.69007544979686</v>
      </c>
      <c r="U4" s="161">
        <f>R4/P4</f>
        <v>160.69007544979686</v>
      </c>
      <c r="V4" s="161">
        <f>R4/(AL4+AL34)</f>
        <v>68.054538214603497</v>
      </c>
      <c r="W4" s="161">
        <f>R4/(AE4+AE34)</f>
        <v>6198.559701492537</v>
      </c>
      <c r="X4" s="161">
        <f>P4/(AE4+AE34)</f>
        <v>38.57462686567164</v>
      </c>
      <c r="Y4" s="162"/>
      <c r="Z4" s="733">
        <f t="shared" si="0"/>
        <v>98.665118978525825</v>
      </c>
      <c r="AA4" s="162" t="s">
        <v>152</v>
      </c>
      <c r="AB4" s="164"/>
      <c r="AC4" s="164"/>
      <c r="AD4" s="8" t="s">
        <v>9</v>
      </c>
      <c r="AE4" s="674">
        <f t="shared" si="1"/>
        <v>51</v>
      </c>
      <c r="AF4" s="674">
        <f t="shared" si="2"/>
        <v>51</v>
      </c>
      <c r="AG4" s="8">
        <v>51</v>
      </c>
      <c r="AH4" s="776"/>
      <c r="AI4" s="377"/>
      <c r="AJ4" s="377"/>
      <c r="AK4" s="43">
        <v>4165.7300000000005</v>
      </c>
      <c r="AL4" s="426">
        <v>4837.3599999999997</v>
      </c>
      <c r="AM4" s="875">
        <f t="shared" si="3"/>
        <v>81.680980392156869</v>
      </c>
      <c r="AN4" s="10">
        <f t="shared" si="4"/>
        <v>94.850196078431367</v>
      </c>
      <c r="AO4" s="43">
        <v>6.89</v>
      </c>
      <c r="AP4" s="43">
        <v>5.93</v>
      </c>
      <c r="AQ4" s="43">
        <v>562.6</v>
      </c>
      <c r="AR4" s="43"/>
      <c r="AS4" s="43"/>
      <c r="AT4" s="43"/>
      <c r="AU4" s="43"/>
      <c r="AV4" s="43"/>
      <c r="AW4" s="10">
        <v>900</v>
      </c>
      <c r="AX4" s="59">
        <v>0</v>
      </c>
      <c r="AY4" s="61">
        <f>AX4/P4</f>
        <v>0</v>
      </c>
      <c r="AZ4" s="43"/>
      <c r="BA4" s="42" t="s">
        <v>439</v>
      </c>
      <c r="BB4" s="769" t="s">
        <v>100</v>
      </c>
      <c r="BC4" s="687">
        <v>8947368.421052631</v>
      </c>
      <c r="BD4" s="687">
        <f>BC4/AK4</f>
        <v>2147.8512580154329</v>
      </c>
      <c r="BE4" s="552">
        <f>BC4/AL4</f>
        <v>1849.6387329147783</v>
      </c>
      <c r="BF4" s="552">
        <f>BC4/AE4</f>
        <v>175438.59649122806</v>
      </c>
      <c r="BG4" s="39"/>
      <c r="BH4" s="143">
        <v>40816</v>
      </c>
      <c r="BI4" s="159">
        <v>40722</v>
      </c>
      <c r="BJ4" s="75">
        <v>42317</v>
      </c>
      <c r="BK4" s="867"/>
      <c r="BL4" s="770"/>
      <c r="BM4" s="771"/>
      <c r="BN4" s="820"/>
      <c r="BO4" s="820"/>
      <c r="BP4" s="85"/>
      <c r="BQ4" s="85"/>
      <c r="BR4" s="224">
        <v>41311</v>
      </c>
      <c r="BS4" s="224">
        <f t="shared" si="5"/>
        <v>42041</v>
      </c>
      <c r="BT4" s="224"/>
      <c r="BU4" s="224" t="str">
        <f t="shared" si="6"/>
        <v>non</v>
      </c>
      <c r="BV4" s="605">
        <f t="shared" si="7"/>
        <v>11</v>
      </c>
      <c r="BW4" s="605">
        <f>BV4*FD4</f>
        <v>336248</v>
      </c>
      <c r="BX4" s="605">
        <f t="shared" si="8"/>
        <v>-336248</v>
      </c>
      <c r="BY4" s="696"/>
      <c r="BZ4" s="697"/>
      <c r="CA4" s="696"/>
      <c r="CB4" s="696"/>
      <c r="CC4" s="696"/>
      <c r="CD4" s="698"/>
      <c r="CE4" s="698"/>
      <c r="CF4" s="698"/>
      <c r="CG4" s="698"/>
      <c r="CH4" s="698"/>
      <c r="CI4" s="698"/>
      <c r="CJ4" s="698"/>
      <c r="CK4" s="698"/>
      <c r="CL4" s="699"/>
      <c r="CM4" s="699"/>
      <c r="CN4" s="699"/>
      <c r="CO4" s="699"/>
      <c r="CP4" s="699"/>
      <c r="CQ4" s="95"/>
      <c r="CR4" s="95"/>
      <c r="CS4" s="95"/>
      <c r="CT4" s="475" t="str">
        <f t="shared" si="9"/>
        <v>0</v>
      </c>
      <c r="CU4" s="95"/>
      <c r="CV4" s="95"/>
      <c r="CW4" s="475" t="str">
        <f t="shared" si="10"/>
        <v>0</v>
      </c>
      <c r="CX4" s="95"/>
      <c r="CY4" s="95"/>
      <c r="CZ4" s="475" t="str">
        <f t="shared" si="11"/>
        <v>0</v>
      </c>
      <c r="DA4" s="95"/>
      <c r="DB4" s="95"/>
      <c r="DC4" s="475" t="str">
        <f t="shared" si="12"/>
        <v>0</v>
      </c>
      <c r="DD4" s="97"/>
      <c r="DE4" s="514"/>
      <c r="DF4" s="475" t="str">
        <f t="shared" si="13"/>
        <v>0</v>
      </c>
      <c r="DG4" s="440"/>
      <c r="DH4" s="178"/>
      <c r="DI4" s="95"/>
      <c r="DJ4" s="178"/>
      <c r="DK4" s="475" t="str">
        <f t="shared" si="14"/>
        <v>0</v>
      </c>
      <c r="DL4" s="95"/>
      <c r="DM4" s="330">
        <v>40898</v>
      </c>
      <c r="DN4" s="323">
        <v>2011</v>
      </c>
      <c r="DO4" s="433">
        <f t="shared" si="15"/>
        <v>5.8666666666666663</v>
      </c>
      <c r="DP4" s="475" t="str">
        <f t="shared" si="16"/>
        <v>0</v>
      </c>
      <c r="DQ4" s="97">
        <v>22</v>
      </c>
      <c r="DR4" s="97">
        <f t="shared" si="17"/>
        <v>22</v>
      </c>
      <c r="DS4" s="237"/>
      <c r="DT4" s="236"/>
      <c r="DU4" s="616" t="str">
        <f t="shared" si="18"/>
        <v>0</v>
      </c>
      <c r="DV4" s="633"/>
      <c r="DW4" s="555"/>
      <c r="DX4" s="556" t="str">
        <f t="shared" si="19"/>
        <v>0</v>
      </c>
      <c r="DY4" s="198"/>
      <c r="DZ4" s="237"/>
      <c r="EA4" s="616" t="str">
        <f t="shared" si="20"/>
        <v>0</v>
      </c>
      <c r="EB4" s="237"/>
      <c r="EC4" s="237"/>
      <c r="ED4" s="616" t="str">
        <f t="shared" si="21"/>
        <v>0</v>
      </c>
      <c r="EE4" s="237"/>
      <c r="EF4" s="237"/>
      <c r="EG4" s="616" t="str">
        <f t="shared" si="22"/>
        <v>0</v>
      </c>
      <c r="EH4" s="237"/>
      <c r="EI4" s="237"/>
      <c r="EJ4" s="616" t="str">
        <f t="shared" si="23"/>
        <v>0</v>
      </c>
      <c r="EK4" s="237"/>
      <c r="EL4" s="237"/>
      <c r="EM4" s="616" t="str">
        <f t="shared" si="24"/>
        <v>0</v>
      </c>
      <c r="EN4" s="237"/>
      <c r="EO4" s="237"/>
      <c r="EP4" s="237"/>
      <c r="EQ4" s="441">
        <f t="shared" si="25"/>
        <v>41568</v>
      </c>
      <c r="ER4" s="333">
        <v>41568</v>
      </c>
      <c r="ES4" s="643">
        <f t="shared" si="26"/>
        <v>0</v>
      </c>
      <c r="ET4" s="928"/>
      <c r="EU4" s="533"/>
      <c r="EV4" s="98">
        <v>41611</v>
      </c>
      <c r="EW4" s="98" t="s">
        <v>107</v>
      </c>
      <c r="EX4" s="98">
        <v>41683</v>
      </c>
      <c r="EY4" s="655"/>
      <c r="EZ4" s="746">
        <f t="shared" si="27"/>
        <v>41599</v>
      </c>
      <c r="FA4" s="535">
        <v>41683</v>
      </c>
      <c r="FB4" s="530">
        <v>2014</v>
      </c>
      <c r="FC4" s="638">
        <f t="shared" si="28"/>
        <v>2.8</v>
      </c>
      <c r="FD4" s="632">
        <v>30568</v>
      </c>
      <c r="FE4" s="178">
        <f t="shared" si="29"/>
        <v>85590.399999999994</v>
      </c>
      <c r="FF4" s="144"/>
      <c r="FG4" s="498"/>
      <c r="FH4" s="624">
        <f t="shared" si="30"/>
        <v>0</v>
      </c>
      <c r="FI4" s="502"/>
      <c r="FJ4" s="502"/>
      <c r="FK4" s="502"/>
      <c r="FL4" s="664">
        <f t="shared" si="31"/>
        <v>0</v>
      </c>
      <c r="FM4" s="499"/>
      <c r="FN4" s="511"/>
      <c r="FO4" s="499"/>
      <c r="FP4" s="499"/>
      <c r="FQ4" s="95"/>
      <c r="FR4" s="95"/>
      <c r="FS4" s="95"/>
      <c r="FT4" s="95"/>
      <c r="FU4" s="95"/>
      <c r="FV4" s="88"/>
      <c r="FW4" s="95">
        <f t="shared" si="32"/>
        <v>41933</v>
      </c>
      <c r="FX4" s="609">
        <v>0</v>
      </c>
      <c r="FY4" s="95" t="s">
        <v>230</v>
      </c>
      <c r="FZ4" s="95" t="s">
        <v>107</v>
      </c>
      <c r="GA4" s="95"/>
      <c r="GB4" s="95"/>
      <c r="GC4" s="95"/>
      <c r="GD4" s="95"/>
      <c r="GE4" s="95"/>
      <c r="GF4" s="87">
        <v>42121</v>
      </c>
      <c r="GG4" s="87"/>
      <c r="GH4" s="150"/>
      <c r="GI4" s="150"/>
      <c r="GJ4" s="95"/>
      <c r="GK4" s="95"/>
      <c r="GL4" s="741"/>
      <c r="GM4" s="979">
        <f t="shared" si="33"/>
        <v>9522775</v>
      </c>
      <c r="GN4" s="772">
        <f t="shared" si="34"/>
        <v>9522775</v>
      </c>
      <c r="GO4" s="683">
        <f t="shared" si="35"/>
        <v>9522775</v>
      </c>
      <c r="GP4" s="909">
        <f t="shared" si="36"/>
        <v>300000</v>
      </c>
      <c r="GQ4" s="35">
        <f t="shared" si="37"/>
        <v>1968.5892718342238</v>
      </c>
      <c r="GR4" s="35">
        <f t="shared" si="38"/>
        <v>186721.07843137256</v>
      </c>
      <c r="GS4" s="14">
        <v>2932668</v>
      </c>
      <c r="GT4" s="577"/>
      <c r="GU4" s="19">
        <f t="shared" si="39"/>
        <v>57503.294117647056</v>
      </c>
      <c r="GV4" s="11">
        <f t="shared" si="40"/>
        <v>6290107</v>
      </c>
      <c r="GW4" s="12">
        <v>1887032</v>
      </c>
      <c r="GX4" s="12">
        <v>4403075</v>
      </c>
      <c r="GY4" s="567">
        <f t="shared" si="41"/>
        <v>123335.43137254902</v>
      </c>
      <c r="GZ4" s="11">
        <v>0</v>
      </c>
      <c r="HA4" s="14">
        <v>300000</v>
      </c>
      <c r="HB4" s="52"/>
      <c r="HC4" s="28">
        <f t="shared" si="42"/>
        <v>3.150342205922118E-2</v>
      </c>
      <c r="HD4" s="68"/>
      <c r="HE4" s="68"/>
      <c r="HF4" s="14">
        <v>0</v>
      </c>
      <c r="HG4" s="35">
        <f t="shared" si="43"/>
        <v>5882.3529411764703</v>
      </c>
      <c r="HH4" s="35">
        <f t="shared" si="44"/>
        <v>63385.647058823532</v>
      </c>
      <c r="HI4" s="27">
        <v>0</v>
      </c>
      <c r="HJ4" s="27">
        <v>0</v>
      </c>
      <c r="HK4" s="19" t="e">
        <f>(#REF!+#REF!+HJ4)/AE4</f>
        <v>#REF!</v>
      </c>
      <c r="HL4" s="27">
        <v>0</v>
      </c>
      <c r="HM4" s="19">
        <f t="shared" si="45"/>
        <v>63385.647058823532</v>
      </c>
      <c r="HN4" s="36">
        <f t="shared" si="46"/>
        <v>0.33946701460446144</v>
      </c>
      <c r="HO4" s="27"/>
      <c r="HP4" s="27"/>
      <c r="HQ4" s="11">
        <v>0</v>
      </c>
      <c r="HR4" s="898"/>
      <c r="HS4" s="907">
        <f t="shared" si="47"/>
        <v>0</v>
      </c>
      <c r="HT4" s="915">
        <f t="shared" si="48"/>
        <v>9522775</v>
      </c>
      <c r="HU4" s="898">
        <f t="shared" ca="1" si="49"/>
        <v>9522775</v>
      </c>
      <c r="HV4" s="898"/>
      <c r="HW4" s="898"/>
      <c r="HX4" s="898">
        <f t="shared" si="50"/>
        <v>300000</v>
      </c>
      <c r="HY4" s="908">
        <f t="shared" si="51"/>
        <v>0</v>
      </c>
      <c r="HZ4" s="908"/>
      <c r="IA4" s="29">
        <f>GN4+HI4</f>
        <v>9522775</v>
      </c>
      <c r="IB4" s="752"/>
      <c r="IC4" s="73"/>
      <c r="ID4" s="73"/>
      <c r="IE4" s="73"/>
      <c r="IF4" s="73"/>
    </row>
    <row r="5" spans="1:246" ht="20.100000000000001" customHeight="1">
      <c r="A5" s="8" t="s">
        <v>934</v>
      </c>
      <c r="B5" s="297"/>
      <c r="C5" s="8" t="s">
        <v>21</v>
      </c>
      <c r="D5" s="8" t="s">
        <v>92</v>
      </c>
      <c r="E5" s="8">
        <v>2011</v>
      </c>
      <c r="F5" s="8" t="s">
        <v>87</v>
      </c>
      <c r="G5" s="8"/>
      <c r="H5" s="671"/>
      <c r="I5" s="39" t="s">
        <v>193</v>
      </c>
      <c r="J5" s="39"/>
      <c r="K5" s="39"/>
      <c r="L5" s="199"/>
      <c r="M5" s="425"/>
      <c r="N5" s="425"/>
      <c r="O5" s="425"/>
      <c r="P5" s="51"/>
      <c r="Q5" s="51"/>
      <c r="R5" s="51"/>
      <c r="S5" s="51"/>
      <c r="T5" s="51"/>
      <c r="U5" s="51"/>
      <c r="V5" s="51"/>
      <c r="W5" s="51"/>
      <c r="X5" s="51"/>
      <c r="Y5" s="162"/>
      <c r="Z5" s="83" t="e">
        <f t="shared" si="0"/>
        <v>#DIV/0!</v>
      </c>
      <c r="AA5" s="162" t="s">
        <v>152</v>
      </c>
      <c r="AB5" s="164"/>
      <c r="AC5" s="164"/>
      <c r="AD5" s="8" t="s">
        <v>10</v>
      </c>
      <c r="AE5" s="674">
        <f t="shared" si="1"/>
        <v>6</v>
      </c>
      <c r="AF5" s="674">
        <f t="shared" si="2"/>
        <v>6</v>
      </c>
      <c r="AG5" s="9"/>
      <c r="AH5" s="8">
        <v>6</v>
      </c>
      <c r="AI5" s="377"/>
      <c r="AJ5" s="377"/>
      <c r="AK5" s="691">
        <v>391.83999999999992</v>
      </c>
      <c r="AL5" s="426">
        <v>470.86</v>
      </c>
      <c r="AM5" s="875">
        <f t="shared" si="3"/>
        <v>65.306666666666658</v>
      </c>
      <c r="AN5" s="10">
        <f t="shared" si="4"/>
        <v>78.476666666666674</v>
      </c>
      <c r="AO5" s="43">
        <v>6</v>
      </c>
      <c r="AP5" s="43">
        <v>4.99</v>
      </c>
      <c r="AQ5" s="43">
        <v>391.52</v>
      </c>
      <c r="AR5" s="43"/>
      <c r="AS5" s="43"/>
      <c r="AT5" s="43"/>
      <c r="AU5" s="43"/>
      <c r="AV5" s="43"/>
      <c r="AW5" s="9"/>
      <c r="AX5" s="59">
        <v>0</v>
      </c>
      <c r="AY5" s="61" t="e">
        <f>AX5/P5</f>
        <v>#DIV/0!</v>
      </c>
      <c r="AZ5" s="43"/>
      <c r="BA5" s="42" t="s">
        <v>439</v>
      </c>
      <c r="BB5" s="769" t="s">
        <v>100</v>
      </c>
      <c r="BC5" s="687">
        <v>1052631.5789473683</v>
      </c>
      <c r="BD5" s="687">
        <f>BC5/AK5</f>
        <v>2686.3811222625777</v>
      </c>
      <c r="BE5" s="552">
        <f>BC5/AL5</f>
        <v>2235.5510745176239</v>
      </c>
      <c r="BF5" s="552">
        <f>BC5/AE5</f>
        <v>175438.59649122806</v>
      </c>
      <c r="BG5" s="39"/>
      <c r="BH5" s="143">
        <v>40816</v>
      </c>
      <c r="BI5" s="159">
        <v>40730</v>
      </c>
      <c r="BJ5" s="75">
        <v>42317</v>
      </c>
      <c r="BK5" s="867"/>
      <c r="BL5" s="770"/>
      <c r="BM5" s="771"/>
      <c r="BN5" s="820"/>
      <c r="BO5" s="820"/>
      <c r="BP5" s="85"/>
      <c r="BQ5" s="85"/>
      <c r="BR5" s="224">
        <v>41312</v>
      </c>
      <c r="BS5" s="224">
        <f t="shared" si="5"/>
        <v>42042</v>
      </c>
      <c r="BT5" s="224"/>
      <c r="BU5" s="224" t="str">
        <f t="shared" si="6"/>
        <v>non</v>
      </c>
      <c r="BV5" s="605">
        <f t="shared" si="7"/>
        <v>11</v>
      </c>
      <c r="BW5" s="605">
        <f>BV5*FD5</f>
        <v>27522</v>
      </c>
      <c r="BX5" s="605">
        <f t="shared" si="8"/>
        <v>-27522</v>
      </c>
      <c r="BY5" s="696"/>
      <c r="BZ5" s="697"/>
      <c r="CA5" s="696"/>
      <c r="CB5" s="696"/>
      <c r="CC5" s="696"/>
      <c r="CD5" s="698"/>
      <c r="CE5" s="698"/>
      <c r="CF5" s="698"/>
      <c r="CG5" s="698"/>
      <c r="CH5" s="698"/>
      <c r="CI5" s="698"/>
      <c r="CJ5" s="698"/>
      <c r="CK5" s="698"/>
      <c r="CL5" s="698"/>
      <c r="CM5" s="698"/>
      <c r="CN5" s="698"/>
      <c r="CO5" s="698"/>
      <c r="CP5" s="698"/>
      <c r="CQ5" s="95"/>
      <c r="CR5" s="95"/>
      <c r="CS5" s="95"/>
      <c r="CT5" s="475" t="str">
        <f t="shared" si="9"/>
        <v>0</v>
      </c>
      <c r="CU5" s="95"/>
      <c r="CV5" s="95"/>
      <c r="CW5" s="475" t="str">
        <f t="shared" si="10"/>
        <v>0</v>
      </c>
      <c r="CX5" s="95"/>
      <c r="CY5" s="95"/>
      <c r="CZ5" s="475" t="str">
        <f t="shared" si="11"/>
        <v>0</v>
      </c>
      <c r="DA5" s="95"/>
      <c r="DB5" s="95"/>
      <c r="DC5" s="475" t="str">
        <f t="shared" si="12"/>
        <v>0</v>
      </c>
      <c r="DD5" s="97"/>
      <c r="DE5" s="514"/>
      <c r="DF5" s="475" t="str">
        <f t="shared" si="13"/>
        <v>0</v>
      </c>
      <c r="DG5" s="440"/>
      <c r="DH5" s="178"/>
      <c r="DI5" s="95"/>
      <c r="DJ5" s="178"/>
      <c r="DK5" s="475" t="str">
        <f t="shared" si="14"/>
        <v>0</v>
      </c>
      <c r="DL5" s="95"/>
      <c r="DM5" s="330">
        <v>40898</v>
      </c>
      <c r="DN5" s="323">
        <v>2011</v>
      </c>
      <c r="DO5" s="433">
        <f t="shared" si="15"/>
        <v>5.6</v>
      </c>
      <c r="DP5" s="475" t="str">
        <f t="shared" si="16"/>
        <v>0</v>
      </c>
      <c r="DQ5" s="97">
        <v>22</v>
      </c>
      <c r="DR5" s="97">
        <f t="shared" si="17"/>
        <v>22</v>
      </c>
      <c r="DS5" s="237"/>
      <c r="DT5" s="236"/>
      <c r="DU5" s="616" t="str">
        <f t="shared" si="18"/>
        <v>0</v>
      </c>
      <c r="DV5" s="633"/>
      <c r="DW5" s="555"/>
      <c r="DX5" s="556" t="str">
        <f t="shared" si="19"/>
        <v>0</v>
      </c>
      <c r="DY5" s="198"/>
      <c r="DZ5" s="237"/>
      <c r="EA5" s="616" t="str">
        <f t="shared" si="20"/>
        <v>0</v>
      </c>
      <c r="EB5" s="237"/>
      <c r="EC5" s="237"/>
      <c r="ED5" s="616" t="str">
        <f t="shared" si="21"/>
        <v>0</v>
      </c>
      <c r="EE5" s="237"/>
      <c r="EF5" s="237"/>
      <c r="EG5" s="616" t="str">
        <f t="shared" si="22"/>
        <v>0</v>
      </c>
      <c r="EH5" s="237"/>
      <c r="EI5" s="237"/>
      <c r="EJ5" s="616" t="str">
        <f t="shared" si="23"/>
        <v>0</v>
      </c>
      <c r="EK5" s="237"/>
      <c r="EL5" s="237"/>
      <c r="EM5" s="616" t="str">
        <f t="shared" si="24"/>
        <v>0</v>
      </c>
      <c r="EN5" s="237"/>
      <c r="EO5" s="237"/>
      <c r="EP5" s="237"/>
      <c r="EQ5" s="441">
        <f t="shared" si="25"/>
        <v>41568</v>
      </c>
      <c r="ER5" s="333">
        <v>41568</v>
      </c>
      <c r="ES5" s="643">
        <f t="shared" si="26"/>
        <v>0</v>
      </c>
      <c r="ET5" s="928"/>
      <c r="EU5" s="533"/>
      <c r="EV5" s="98">
        <v>41611</v>
      </c>
      <c r="EW5" s="98" t="s">
        <v>107</v>
      </c>
      <c r="EX5" s="98">
        <v>41683</v>
      </c>
      <c r="EY5" s="655"/>
      <c r="EZ5" s="746">
        <f t="shared" si="27"/>
        <v>41599</v>
      </c>
      <c r="FA5" s="535">
        <v>41683</v>
      </c>
      <c r="FB5" s="530">
        <v>2014</v>
      </c>
      <c r="FC5" s="638">
        <f t="shared" si="28"/>
        <v>2.8</v>
      </c>
      <c r="FD5" s="632">
        <v>2502</v>
      </c>
      <c r="FE5" s="178">
        <f t="shared" si="29"/>
        <v>7005.5999999999995</v>
      </c>
      <c r="FF5" s="144"/>
      <c r="FG5" s="498"/>
      <c r="FH5" s="624">
        <f t="shared" si="30"/>
        <v>0</v>
      </c>
      <c r="FI5" s="502"/>
      <c r="FJ5" s="502"/>
      <c r="FK5" s="502"/>
      <c r="FL5" s="664">
        <f t="shared" si="31"/>
        <v>0</v>
      </c>
      <c r="FM5" s="499"/>
      <c r="FN5" s="511"/>
      <c r="FO5" s="499"/>
      <c r="FP5" s="499"/>
      <c r="FQ5" s="95"/>
      <c r="FR5" s="95"/>
      <c r="FS5" s="95"/>
      <c r="FT5" s="95"/>
      <c r="FU5" s="95"/>
      <c r="FV5" s="88"/>
      <c r="FW5" s="95">
        <f t="shared" si="32"/>
        <v>41933</v>
      </c>
      <c r="FX5" s="609">
        <v>0</v>
      </c>
      <c r="FY5" s="95" t="s">
        <v>230</v>
      </c>
      <c r="FZ5" s="95" t="s">
        <v>107</v>
      </c>
      <c r="GA5" s="95"/>
      <c r="GB5" s="95"/>
      <c r="GC5" s="95"/>
      <c r="GD5" s="95"/>
      <c r="GE5" s="95"/>
      <c r="GF5" s="87">
        <v>42121</v>
      </c>
      <c r="GG5" s="87"/>
      <c r="GH5" s="150"/>
      <c r="GI5" s="150"/>
      <c r="GJ5" s="95"/>
      <c r="GK5" s="95"/>
      <c r="GL5" s="741"/>
      <c r="GM5" s="979">
        <f t="shared" si="33"/>
        <v>926283</v>
      </c>
      <c r="GN5" s="772">
        <f t="shared" si="34"/>
        <v>926283</v>
      </c>
      <c r="GO5" s="683">
        <f t="shared" si="35"/>
        <v>926283</v>
      </c>
      <c r="GP5" s="909">
        <f t="shared" si="36"/>
        <v>100000</v>
      </c>
      <c r="GQ5" s="35">
        <f t="shared" si="37"/>
        <v>1967.2153081595377</v>
      </c>
      <c r="GR5" s="35">
        <f t="shared" si="38"/>
        <v>154380.5</v>
      </c>
      <c r="GS5" s="14">
        <v>340124</v>
      </c>
      <c r="GT5" s="577"/>
      <c r="GU5" s="19">
        <f t="shared" si="39"/>
        <v>56687.333333333336</v>
      </c>
      <c r="GV5" s="11">
        <f t="shared" si="40"/>
        <v>486159</v>
      </c>
      <c r="GW5" s="12">
        <v>145848</v>
      </c>
      <c r="GX5" s="12">
        <v>340311</v>
      </c>
      <c r="GY5" s="567">
        <f t="shared" si="41"/>
        <v>81026.5</v>
      </c>
      <c r="GZ5" s="11">
        <v>0</v>
      </c>
      <c r="HA5" s="14">
        <v>100000</v>
      </c>
      <c r="HB5" s="52"/>
      <c r="HC5" s="28">
        <f t="shared" si="42"/>
        <v>0.10795836693537504</v>
      </c>
      <c r="HD5" s="68"/>
      <c r="HE5" s="68"/>
      <c r="HF5" s="14">
        <v>0</v>
      </c>
      <c r="HG5" s="35">
        <f t="shared" si="43"/>
        <v>16666.666666666668</v>
      </c>
      <c r="HH5" s="35">
        <f t="shared" si="44"/>
        <v>73354</v>
      </c>
      <c r="HI5" s="27">
        <v>0</v>
      </c>
      <c r="HJ5" s="27">
        <v>0</v>
      </c>
      <c r="HK5" s="19" t="e">
        <f>(#REF!+#REF!+HJ5)/AE5</f>
        <v>#REF!</v>
      </c>
      <c r="HL5" s="27">
        <v>0</v>
      </c>
      <c r="HM5" s="19">
        <f t="shared" si="45"/>
        <v>73354</v>
      </c>
      <c r="HN5" s="36">
        <f t="shared" si="46"/>
        <v>0.47515068289065004</v>
      </c>
      <c r="HO5" s="27"/>
      <c r="HP5" s="27"/>
      <c r="HQ5" s="11">
        <v>0</v>
      </c>
      <c r="HR5" s="898"/>
      <c r="HS5" s="907">
        <f t="shared" si="47"/>
        <v>0</v>
      </c>
      <c r="HT5" s="915">
        <f t="shared" si="48"/>
        <v>926283</v>
      </c>
      <c r="HU5" s="898">
        <f t="shared" ca="1" si="49"/>
        <v>926283</v>
      </c>
      <c r="HV5" s="898"/>
      <c r="HW5" s="898"/>
      <c r="HX5" s="898">
        <f t="shared" si="50"/>
        <v>100000</v>
      </c>
      <c r="HY5" s="908">
        <f t="shared" si="51"/>
        <v>0</v>
      </c>
      <c r="HZ5" s="908"/>
      <c r="IA5" s="29">
        <f>GN5+HI5</f>
        <v>926283</v>
      </c>
      <c r="IB5" s="752"/>
      <c r="IC5" s="73"/>
      <c r="ID5" s="73"/>
      <c r="IE5" s="73"/>
      <c r="IF5" s="73"/>
    </row>
    <row r="6" spans="1:246" ht="20.100000000000001" customHeight="1">
      <c r="A6" s="8" t="s">
        <v>747</v>
      </c>
      <c r="B6" s="297"/>
      <c r="C6" s="8" t="s">
        <v>21</v>
      </c>
      <c r="D6" s="8" t="s">
        <v>92</v>
      </c>
      <c r="E6" s="8">
        <v>2011</v>
      </c>
      <c r="F6" s="8" t="s">
        <v>83</v>
      </c>
      <c r="G6" s="8" t="s">
        <v>23</v>
      </c>
      <c r="H6" s="8" t="s">
        <v>145</v>
      </c>
      <c r="I6" s="39" t="s">
        <v>193</v>
      </c>
      <c r="J6" s="39"/>
      <c r="K6" s="39"/>
      <c r="L6" s="199"/>
      <c r="M6" s="425"/>
      <c r="N6" s="425"/>
      <c r="O6" s="425"/>
      <c r="P6" s="161">
        <v>3280</v>
      </c>
      <c r="Q6" s="161">
        <f>R6</f>
        <v>700000</v>
      </c>
      <c r="R6" s="161">
        <v>700000</v>
      </c>
      <c r="S6" s="161">
        <f>Q6/AE6</f>
        <v>35000</v>
      </c>
      <c r="T6" s="161">
        <f>Q6/P6</f>
        <v>213.41463414634146</v>
      </c>
      <c r="U6" s="161">
        <f>R6/P6</f>
        <v>213.41463414634146</v>
      </c>
      <c r="V6" s="161">
        <f>R6/AL6</f>
        <v>409.99209300963486</v>
      </c>
      <c r="W6" s="161">
        <f>R6/AE6</f>
        <v>35000</v>
      </c>
      <c r="X6" s="161">
        <f>P6/AE6</f>
        <v>164</v>
      </c>
      <c r="Y6" s="162"/>
      <c r="Z6" s="733">
        <f t="shared" si="0"/>
        <v>60.975609756097562</v>
      </c>
      <c r="AA6" s="162" t="s">
        <v>169</v>
      </c>
      <c r="AB6" s="164"/>
      <c r="AC6" s="164"/>
      <c r="AD6" s="8" t="s">
        <v>9</v>
      </c>
      <c r="AE6" s="674">
        <f t="shared" si="1"/>
        <v>20</v>
      </c>
      <c r="AF6" s="674">
        <f t="shared" si="2"/>
        <v>20</v>
      </c>
      <c r="AG6" s="8">
        <v>20</v>
      </c>
      <c r="AH6" s="776"/>
      <c r="AI6" s="377"/>
      <c r="AJ6" s="377"/>
      <c r="AK6" s="43">
        <v>1707.35</v>
      </c>
      <c r="AL6" s="426">
        <v>1707.35</v>
      </c>
      <c r="AM6" s="875">
        <f t="shared" si="3"/>
        <v>85.367499999999993</v>
      </c>
      <c r="AN6" s="10">
        <f t="shared" si="4"/>
        <v>85.367499999999993</v>
      </c>
      <c r="AO6" s="43">
        <v>6.1</v>
      </c>
      <c r="AP6" s="43">
        <v>6.1</v>
      </c>
      <c r="AQ6" s="43">
        <v>520.52</v>
      </c>
      <c r="AR6" s="61">
        <v>0</v>
      </c>
      <c r="AS6" s="61">
        <v>0</v>
      </c>
      <c r="AT6" s="61">
        <f>2/AE6</f>
        <v>0.1</v>
      </c>
      <c r="AU6" s="61">
        <f>18/AE6</f>
        <v>0.9</v>
      </c>
      <c r="AV6" s="61">
        <v>0</v>
      </c>
      <c r="AW6" s="10">
        <v>461.7</v>
      </c>
      <c r="AX6" s="59"/>
      <c r="AY6" s="61">
        <f>AX6/P6</f>
        <v>0</v>
      </c>
      <c r="AZ6" s="43">
        <v>2</v>
      </c>
      <c r="BA6" s="42" t="s">
        <v>439</v>
      </c>
      <c r="BB6" s="769" t="s">
        <v>101</v>
      </c>
      <c r="BC6" s="687">
        <v>3506440.94</v>
      </c>
      <c r="BD6" s="687">
        <f>BC6/AK6</f>
        <v>2053.7329428646735</v>
      </c>
      <c r="BE6" s="552">
        <f>BC6/AL6</f>
        <v>2053.7329428646735</v>
      </c>
      <c r="BF6" s="552">
        <f>BC6/AE6</f>
        <v>175322.04699999999</v>
      </c>
      <c r="BG6" s="39"/>
      <c r="BH6" s="143">
        <v>40816</v>
      </c>
      <c r="BI6" s="159">
        <v>40722</v>
      </c>
      <c r="BJ6" s="75"/>
      <c r="BK6" s="867"/>
      <c r="BL6" s="770"/>
      <c r="BM6" s="771"/>
      <c r="BN6" s="820"/>
      <c r="BO6" s="820"/>
      <c r="BP6" s="85"/>
      <c r="BQ6" s="85"/>
      <c r="BR6" s="224">
        <v>41310</v>
      </c>
      <c r="BS6" s="224">
        <f t="shared" si="5"/>
        <v>42040</v>
      </c>
      <c r="BT6" s="224"/>
      <c r="BU6" s="224" t="str">
        <f t="shared" si="6"/>
        <v>non</v>
      </c>
      <c r="BV6" s="605">
        <f t="shared" si="7"/>
        <v>16</v>
      </c>
      <c r="BW6" s="605">
        <f>BV6*FD6</f>
        <v>169056</v>
      </c>
      <c r="BX6" s="605">
        <f t="shared" si="8"/>
        <v>-169056</v>
      </c>
      <c r="BY6" s="696"/>
      <c r="BZ6" s="697"/>
      <c r="CA6" s="696"/>
      <c r="CB6" s="696"/>
      <c r="CC6" s="696"/>
      <c r="CD6" s="698"/>
      <c r="CE6" s="698"/>
      <c r="CF6" s="698"/>
      <c r="CG6" s="698"/>
      <c r="CH6" s="698"/>
      <c r="CI6" s="698"/>
      <c r="CJ6" s="698"/>
      <c r="CK6" s="698"/>
      <c r="CL6" s="698"/>
      <c r="CM6" s="698"/>
      <c r="CN6" s="698"/>
      <c r="CO6" s="698"/>
      <c r="CP6" s="698"/>
      <c r="CQ6" s="95"/>
      <c r="CR6" s="95"/>
      <c r="CS6" s="95"/>
      <c r="CT6" s="475" t="str">
        <f t="shared" si="9"/>
        <v>0</v>
      </c>
      <c r="CU6" s="95"/>
      <c r="CV6" s="95"/>
      <c r="CW6" s="475" t="str">
        <f t="shared" si="10"/>
        <v>0</v>
      </c>
      <c r="CX6" s="95"/>
      <c r="CY6" s="95"/>
      <c r="CZ6" s="475" t="str">
        <f t="shared" si="11"/>
        <v>0</v>
      </c>
      <c r="DA6" s="95"/>
      <c r="DB6" s="95"/>
      <c r="DC6" s="475" t="str">
        <f t="shared" si="12"/>
        <v>0</v>
      </c>
      <c r="DD6" s="97"/>
      <c r="DE6" s="514"/>
      <c r="DF6" s="475" t="str">
        <f t="shared" si="13"/>
        <v>0</v>
      </c>
      <c r="DG6" s="440"/>
      <c r="DH6" s="178"/>
      <c r="DI6" s="95"/>
      <c r="DJ6" s="178"/>
      <c r="DK6" s="475" t="str">
        <f t="shared" si="14"/>
        <v>0</v>
      </c>
      <c r="DL6" s="95"/>
      <c r="DM6" s="330">
        <v>40899</v>
      </c>
      <c r="DN6" s="323">
        <v>2011</v>
      </c>
      <c r="DO6" s="433">
        <f t="shared" si="15"/>
        <v>5.9</v>
      </c>
      <c r="DP6" s="475" t="str">
        <f t="shared" si="16"/>
        <v>0</v>
      </c>
      <c r="DQ6" s="97">
        <v>15</v>
      </c>
      <c r="DR6" s="97">
        <f t="shared" si="17"/>
        <v>19</v>
      </c>
      <c r="DS6" s="237"/>
      <c r="DT6" s="236"/>
      <c r="DU6" s="616" t="str">
        <f t="shared" si="18"/>
        <v>0</v>
      </c>
      <c r="DV6" s="633"/>
      <c r="DW6" s="555"/>
      <c r="DX6" s="556" t="str">
        <f t="shared" si="19"/>
        <v>0</v>
      </c>
      <c r="DY6" s="198"/>
      <c r="DZ6" s="237"/>
      <c r="EA6" s="616" t="str">
        <f t="shared" si="20"/>
        <v>0</v>
      </c>
      <c r="EB6" s="237"/>
      <c r="EC6" s="237"/>
      <c r="ED6" s="616" t="str">
        <f t="shared" si="21"/>
        <v>0</v>
      </c>
      <c r="EE6" s="237"/>
      <c r="EF6" s="237"/>
      <c r="EG6" s="616" t="str">
        <f t="shared" si="22"/>
        <v>0</v>
      </c>
      <c r="EH6" s="237"/>
      <c r="EI6" s="237"/>
      <c r="EJ6" s="616" t="str">
        <f t="shared" si="23"/>
        <v>0</v>
      </c>
      <c r="EK6" s="237"/>
      <c r="EL6" s="237"/>
      <c r="EM6" s="616" t="str">
        <f t="shared" si="24"/>
        <v>0</v>
      </c>
      <c r="EN6" s="237"/>
      <c r="EO6" s="237"/>
      <c r="EP6" s="237"/>
      <c r="EQ6" s="534">
        <f t="shared" si="25"/>
        <v>41355</v>
      </c>
      <c r="ER6" s="333">
        <v>41500</v>
      </c>
      <c r="ES6" s="643">
        <f t="shared" si="26"/>
        <v>4.833333333333333</v>
      </c>
      <c r="ET6" s="928"/>
      <c r="EU6" s="533"/>
      <c r="EV6" s="87">
        <v>41429</v>
      </c>
      <c r="EW6" s="95" t="s">
        <v>107</v>
      </c>
      <c r="EX6" s="98">
        <v>41508</v>
      </c>
      <c r="EY6" s="533"/>
      <c r="EZ6" s="746">
        <f t="shared" si="27"/>
        <v>41386</v>
      </c>
      <c r="FA6" s="333">
        <v>41529</v>
      </c>
      <c r="FB6" s="442">
        <v>2013</v>
      </c>
      <c r="FC6" s="637">
        <f t="shared" si="28"/>
        <v>4.7666666666666666</v>
      </c>
      <c r="FD6" s="632">
        <v>10566</v>
      </c>
      <c r="FE6" s="178">
        <f t="shared" si="29"/>
        <v>50364.6</v>
      </c>
      <c r="FF6" s="98"/>
      <c r="FG6" s="498"/>
      <c r="FH6" s="624">
        <f t="shared" si="30"/>
        <v>0</v>
      </c>
      <c r="FI6" s="502"/>
      <c r="FJ6" s="502"/>
      <c r="FK6" s="502"/>
      <c r="FL6" s="664">
        <f t="shared" si="31"/>
        <v>0</v>
      </c>
      <c r="FM6" s="499"/>
      <c r="FN6" s="511"/>
      <c r="FO6" s="499"/>
      <c r="FP6" s="499"/>
      <c r="FQ6" s="95"/>
      <c r="FR6" s="95"/>
      <c r="FS6" s="95"/>
      <c r="FT6" s="95"/>
      <c r="FU6" s="95"/>
      <c r="FV6" s="88"/>
      <c r="FW6" s="95">
        <f t="shared" si="32"/>
        <v>41865</v>
      </c>
      <c r="FX6" s="609">
        <v>0</v>
      </c>
      <c r="FY6" s="95" t="s">
        <v>229</v>
      </c>
      <c r="FZ6" s="95" t="s">
        <v>107</v>
      </c>
      <c r="GA6" s="95"/>
      <c r="GB6" s="95" t="s">
        <v>107</v>
      </c>
      <c r="GC6" s="95">
        <v>41932</v>
      </c>
      <c r="GD6" s="95"/>
      <c r="GE6" s="95" t="s">
        <v>107</v>
      </c>
      <c r="GF6" s="87">
        <v>42178</v>
      </c>
      <c r="GG6" s="87"/>
      <c r="GH6" s="87"/>
      <c r="GI6" s="87"/>
      <c r="GJ6" s="150" t="s">
        <v>107</v>
      </c>
      <c r="GK6" s="150" t="s">
        <v>107</v>
      </c>
      <c r="GL6" s="741"/>
      <c r="GM6" s="979">
        <f t="shared" si="33"/>
        <v>3732556</v>
      </c>
      <c r="GN6" s="772">
        <f t="shared" si="34"/>
        <v>3732556</v>
      </c>
      <c r="GO6" s="683">
        <f t="shared" si="35"/>
        <v>3732556</v>
      </c>
      <c r="GP6" s="909">
        <f t="shared" si="36"/>
        <v>355000</v>
      </c>
      <c r="GQ6" s="35">
        <f t="shared" si="37"/>
        <v>2186.1692095938151</v>
      </c>
      <c r="GR6" s="35">
        <f t="shared" si="38"/>
        <v>186627.8</v>
      </c>
      <c r="GS6" s="14">
        <v>1090090</v>
      </c>
      <c r="GT6" s="577"/>
      <c r="GU6" s="19">
        <f t="shared" si="39"/>
        <v>54504.5</v>
      </c>
      <c r="GV6" s="11">
        <f t="shared" si="40"/>
        <v>2287466</v>
      </c>
      <c r="GW6" s="12">
        <v>616923</v>
      </c>
      <c r="GX6" s="12">
        <v>1670543</v>
      </c>
      <c r="GY6" s="567">
        <f t="shared" si="41"/>
        <v>114373.3</v>
      </c>
      <c r="GZ6" s="11">
        <v>0</v>
      </c>
      <c r="HA6" s="14">
        <v>355000</v>
      </c>
      <c r="HB6" s="52"/>
      <c r="HC6" s="28">
        <f t="shared" si="42"/>
        <v>9.5109088785272078E-2</v>
      </c>
      <c r="HD6" s="68"/>
      <c r="HE6" s="68"/>
      <c r="HF6" s="14">
        <v>0</v>
      </c>
      <c r="HG6" s="35">
        <f t="shared" si="43"/>
        <v>17750</v>
      </c>
      <c r="HH6" s="35">
        <f t="shared" si="44"/>
        <v>72254.5</v>
      </c>
      <c r="HI6" s="27">
        <v>0</v>
      </c>
      <c r="HJ6" s="27">
        <v>0</v>
      </c>
      <c r="HK6" s="19" t="e">
        <f>(#REF!+#REF!+HJ6)/AE6</f>
        <v>#REF!</v>
      </c>
      <c r="HL6" s="27">
        <v>0</v>
      </c>
      <c r="HM6" s="19">
        <f t="shared" si="45"/>
        <v>72254.5</v>
      </c>
      <c r="HN6" s="36">
        <f t="shared" si="46"/>
        <v>0.38715829045833472</v>
      </c>
      <c r="HO6" s="27"/>
      <c r="HP6" s="27"/>
      <c r="HQ6" s="11">
        <v>0</v>
      </c>
      <c r="HR6" s="898"/>
      <c r="HS6" s="907">
        <f t="shared" si="47"/>
        <v>0</v>
      </c>
      <c r="HT6" s="915">
        <f t="shared" si="48"/>
        <v>3732556</v>
      </c>
      <c r="HU6" s="898">
        <f t="shared" ca="1" si="49"/>
        <v>3732556</v>
      </c>
      <c r="HV6" s="898"/>
      <c r="HW6" s="898"/>
      <c r="HX6" s="898">
        <f t="shared" si="50"/>
        <v>355000</v>
      </c>
      <c r="HY6" s="908">
        <f t="shared" si="51"/>
        <v>0</v>
      </c>
      <c r="HZ6" s="908"/>
      <c r="IA6" s="29">
        <f>GN6+HI6</f>
        <v>3732556</v>
      </c>
      <c r="IB6" s="752"/>
      <c r="IC6" s="73"/>
      <c r="ID6" s="73"/>
      <c r="IE6" s="73"/>
      <c r="IF6" s="73"/>
      <c r="IK6" s="38" t="s">
        <v>983</v>
      </c>
      <c r="IL6" s="38" t="s">
        <v>984</v>
      </c>
    </row>
    <row r="7" spans="1:246" ht="20.100000000000001" customHeight="1">
      <c r="A7" s="8" t="s">
        <v>90</v>
      </c>
      <c r="B7" s="39"/>
      <c r="C7" s="8" t="s">
        <v>20</v>
      </c>
      <c r="D7" s="8" t="s">
        <v>93</v>
      </c>
      <c r="E7" s="8">
        <v>2011</v>
      </c>
      <c r="F7" s="8" t="s">
        <v>86</v>
      </c>
      <c r="G7" s="8"/>
      <c r="H7" s="671"/>
      <c r="I7" s="39" t="s">
        <v>193</v>
      </c>
      <c r="J7" s="39"/>
      <c r="K7" s="39"/>
      <c r="L7" s="374" t="s">
        <v>503</v>
      </c>
      <c r="M7" s="425"/>
      <c r="N7" s="425"/>
      <c r="O7" s="425"/>
      <c r="P7" s="51"/>
      <c r="Q7" s="51"/>
      <c r="R7" s="51"/>
      <c r="S7" s="51"/>
      <c r="T7" s="51"/>
      <c r="U7" s="51"/>
      <c r="V7" s="51"/>
      <c r="W7" s="51"/>
      <c r="X7" s="51"/>
      <c r="Y7" s="51"/>
      <c r="Z7" s="51" t="e">
        <f t="shared" si="0"/>
        <v>#DIV/0!</v>
      </c>
      <c r="AA7" s="51"/>
      <c r="AB7" s="164"/>
      <c r="AC7" s="164"/>
      <c r="AD7" s="8" t="s">
        <v>10</v>
      </c>
      <c r="AE7" s="674">
        <f t="shared" si="1"/>
        <v>16</v>
      </c>
      <c r="AF7" s="674">
        <f t="shared" si="2"/>
        <v>16</v>
      </c>
      <c r="AG7" s="9"/>
      <c r="AH7" s="8">
        <v>16</v>
      </c>
      <c r="AI7" s="377"/>
      <c r="AJ7" s="377"/>
      <c r="AK7" s="691">
        <v>1252.9999999999998</v>
      </c>
      <c r="AL7" s="426">
        <v>1432.77</v>
      </c>
      <c r="AM7" s="875">
        <f t="shared" si="3"/>
        <v>78.312499999999986</v>
      </c>
      <c r="AN7" s="10">
        <f t="shared" si="4"/>
        <v>89.548124999999999</v>
      </c>
      <c r="AO7" s="43">
        <v>5.51</v>
      </c>
      <c r="AP7" s="43">
        <v>4.82</v>
      </c>
      <c r="AQ7" s="43">
        <v>431</v>
      </c>
      <c r="AR7" s="43"/>
      <c r="AS7" s="43"/>
      <c r="AT7" s="43"/>
      <c r="AU7" s="43"/>
      <c r="AV7" s="43"/>
      <c r="AW7" s="9"/>
      <c r="AX7" s="141"/>
      <c r="AY7" s="83"/>
      <c r="AZ7" s="43">
        <v>2.5</v>
      </c>
      <c r="BA7" s="42" t="s">
        <v>439</v>
      </c>
      <c r="BB7" s="769" t="s">
        <v>100</v>
      </c>
      <c r="BC7" s="42"/>
      <c r="BD7" s="42"/>
      <c r="BE7" s="42"/>
      <c r="BF7" s="42"/>
      <c r="BG7" s="39"/>
      <c r="BH7" s="143">
        <v>40816</v>
      </c>
      <c r="BI7" s="159">
        <v>40722</v>
      </c>
      <c r="BJ7" s="75">
        <v>42291</v>
      </c>
      <c r="BK7" s="867"/>
      <c r="BL7" s="770"/>
      <c r="BM7" s="771"/>
      <c r="BN7" s="820"/>
      <c r="BO7" s="820"/>
      <c r="BP7" s="85"/>
      <c r="BQ7" s="85"/>
      <c r="BR7" s="224">
        <v>41313</v>
      </c>
      <c r="BS7" s="224">
        <f t="shared" si="5"/>
        <v>42043</v>
      </c>
      <c r="BT7" s="224"/>
      <c r="BU7" s="224" t="str">
        <f t="shared" si="6"/>
        <v>non</v>
      </c>
      <c r="BV7" s="605">
        <f t="shared" si="7"/>
        <v>11</v>
      </c>
      <c r="BW7" s="605">
        <f>IF((BV7*FD7)&lt;0,"0",BV7*FD7)</f>
        <v>78210</v>
      </c>
      <c r="BX7" s="605">
        <f t="shared" si="8"/>
        <v>-78210</v>
      </c>
      <c r="BY7" s="696"/>
      <c r="BZ7" s="697"/>
      <c r="CA7" s="696"/>
      <c r="CB7" s="696"/>
      <c r="CC7" s="696"/>
      <c r="CD7" s="698"/>
      <c r="CE7" s="698"/>
      <c r="CF7" s="698"/>
      <c r="CG7" s="698"/>
      <c r="CH7" s="698"/>
      <c r="CI7" s="698"/>
      <c r="CJ7" s="698"/>
      <c r="CK7" s="698"/>
      <c r="CL7" s="698"/>
      <c r="CM7" s="698"/>
      <c r="CN7" s="698"/>
      <c r="CO7" s="698"/>
      <c r="CP7" s="698"/>
      <c r="CQ7" s="95"/>
      <c r="CR7" s="95"/>
      <c r="CS7" s="95"/>
      <c r="CT7" s="475" t="str">
        <f t="shared" si="9"/>
        <v>0</v>
      </c>
      <c r="CU7" s="95"/>
      <c r="CV7" s="95"/>
      <c r="CW7" s="475" t="str">
        <f t="shared" si="10"/>
        <v>0</v>
      </c>
      <c r="CX7" s="95"/>
      <c r="CY7" s="95"/>
      <c r="CZ7" s="475" t="str">
        <f t="shared" si="11"/>
        <v>0</v>
      </c>
      <c r="DA7" s="95"/>
      <c r="DB7" s="95"/>
      <c r="DC7" s="475" t="str">
        <f t="shared" si="12"/>
        <v>0</v>
      </c>
      <c r="DD7" s="97"/>
      <c r="DE7" s="514"/>
      <c r="DF7" s="475" t="str">
        <f t="shared" si="13"/>
        <v>0</v>
      </c>
      <c r="DG7" s="440"/>
      <c r="DH7" s="178"/>
      <c r="DI7" s="95"/>
      <c r="DJ7" s="178"/>
      <c r="DK7" s="475" t="str">
        <f t="shared" si="14"/>
        <v>0</v>
      </c>
      <c r="DL7" s="95"/>
      <c r="DM7" s="330">
        <v>40940</v>
      </c>
      <c r="DN7" s="323">
        <v>2012</v>
      </c>
      <c r="DO7" s="433">
        <f t="shared" si="15"/>
        <v>7.2666666666666666</v>
      </c>
      <c r="DP7" s="475" t="str">
        <f t="shared" si="16"/>
        <v>0</v>
      </c>
      <c r="DQ7" s="97">
        <v>13</v>
      </c>
      <c r="DR7" s="97">
        <f t="shared" si="17"/>
        <v>24</v>
      </c>
      <c r="DS7" s="237"/>
      <c r="DT7" s="236"/>
      <c r="DU7" s="616" t="str">
        <f t="shared" si="18"/>
        <v>0</v>
      </c>
      <c r="DV7" s="633"/>
      <c r="DW7" s="555"/>
      <c r="DX7" s="556" t="str">
        <f t="shared" si="19"/>
        <v>0</v>
      </c>
      <c r="DY7" s="198"/>
      <c r="DZ7" s="237"/>
      <c r="EA7" s="616" t="str">
        <f t="shared" si="20"/>
        <v>0</v>
      </c>
      <c r="EB7" s="237"/>
      <c r="EC7" s="237"/>
      <c r="ED7" s="616" t="str">
        <f t="shared" si="21"/>
        <v>0</v>
      </c>
      <c r="EE7" s="237"/>
      <c r="EF7" s="237"/>
      <c r="EG7" s="616" t="str">
        <f t="shared" si="22"/>
        <v>0</v>
      </c>
      <c r="EH7" s="237"/>
      <c r="EI7" s="237"/>
      <c r="EJ7" s="616" t="str">
        <f t="shared" si="23"/>
        <v>0</v>
      </c>
      <c r="EK7" s="237"/>
      <c r="EL7" s="237"/>
      <c r="EM7" s="616" t="str">
        <f t="shared" si="24"/>
        <v>0</v>
      </c>
      <c r="EN7" s="237"/>
      <c r="EO7" s="237"/>
      <c r="EP7" s="237"/>
      <c r="EQ7" s="441">
        <f t="shared" si="25"/>
        <v>41334</v>
      </c>
      <c r="ER7" s="333">
        <v>41688</v>
      </c>
      <c r="ES7" s="643">
        <f t="shared" si="26"/>
        <v>11.8</v>
      </c>
      <c r="ET7" s="928"/>
      <c r="EU7" s="533"/>
      <c r="EV7" s="98">
        <v>41689</v>
      </c>
      <c r="EW7" s="98" t="s">
        <v>107</v>
      </c>
      <c r="EX7" s="98">
        <v>41696</v>
      </c>
      <c r="EY7" s="533"/>
      <c r="EZ7" s="746">
        <f t="shared" si="27"/>
        <v>41365</v>
      </c>
      <c r="FA7" s="333">
        <v>41696</v>
      </c>
      <c r="FB7" s="530">
        <v>2014</v>
      </c>
      <c r="FC7" s="637">
        <f t="shared" si="28"/>
        <v>11.033333333333333</v>
      </c>
      <c r="FD7" s="632">
        <v>7110</v>
      </c>
      <c r="FE7" s="178">
        <f t="shared" si="29"/>
        <v>78447</v>
      </c>
      <c r="FF7" s="98"/>
      <c r="FG7" s="498"/>
      <c r="FH7" s="624">
        <f t="shared" si="30"/>
        <v>0</v>
      </c>
      <c r="FI7" s="502"/>
      <c r="FJ7" s="502"/>
      <c r="FK7" s="502"/>
      <c r="FL7" s="664">
        <f t="shared" si="31"/>
        <v>0</v>
      </c>
      <c r="FM7" s="499"/>
      <c r="FN7" s="511"/>
      <c r="FO7" s="499"/>
      <c r="FP7" s="499"/>
      <c r="FQ7" s="95"/>
      <c r="FR7" s="95"/>
      <c r="FS7" s="95"/>
      <c r="FT7" s="95"/>
      <c r="FU7" s="95">
        <v>41787</v>
      </c>
      <c r="FV7" s="88"/>
      <c r="FW7" s="95">
        <f t="shared" si="32"/>
        <v>42053</v>
      </c>
      <c r="FX7" s="609">
        <v>35103.575989752957</v>
      </c>
      <c r="FY7" s="95" t="s">
        <v>107</v>
      </c>
      <c r="FZ7" s="95"/>
      <c r="GA7" s="95"/>
      <c r="GB7" s="95">
        <v>41919</v>
      </c>
      <c r="GC7" s="95">
        <v>41921</v>
      </c>
      <c r="GD7" s="95"/>
      <c r="GE7" s="95" t="s">
        <v>107</v>
      </c>
      <c r="GF7" s="87">
        <v>42290</v>
      </c>
      <c r="GG7" s="87"/>
      <c r="GH7" s="87"/>
      <c r="GI7" s="87"/>
      <c r="GJ7" s="150" t="s">
        <v>107</v>
      </c>
      <c r="GK7" s="150" t="s">
        <v>107</v>
      </c>
      <c r="GL7" s="741"/>
      <c r="GM7" s="979">
        <f t="shared" si="33"/>
        <v>2817333</v>
      </c>
      <c r="GN7" s="772">
        <f t="shared" si="34"/>
        <v>2817333</v>
      </c>
      <c r="GO7" s="683">
        <f t="shared" si="35"/>
        <v>2817333</v>
      </c>
      <c r="GP7" s="909">
        <f t="shared" si="36"/>
        <v>433682</v>
      </c>
      <c r="GQ7" s="35">
        <f t="shared" si="37"/>
        <v>1966.3539856362152</v>
      </c>
      <c r="GR7" s="35">
        <f t="shared" si="38"/>
        <v>176083.3125</v>
      </c>
      <c r="GS7" s="14">
        <v>853424</v>
      </c>
      <c r="GT7" s="577"/>
      <c r="GU7" s="19">
        <f t="shared" si="39"/>
        <v>53339</v>
      </c>
      <c r="GV7" s="11">
        <f t="shared" si="40"/>
        <v>1530227</v>
      </c>
      <c r="GW7" s="12">
        <v>304961</v>
      </c>
      <c r="GX7" s="12">
        <v>1225266</v>
      </c>
      <c r="GY7" s="567">
        <f t="shared" si="41"/>
        <v>95639.1875</v>
      </c>
      <c r="GZ7" s="11">
        <v>0</v>
      </c>
      <c r="HA7" s="14">
        <v>380000</v>
      </c>
      <c r="HB7" s="52"/>
      <c r="HC7" s="28">
        <f t="shared" si="42"/>
        <v>0.13487933446277028</v>
      </c>
      <c r="HD7" s="53"/>
      <c r="HE7" s="53"/>
      <c r="HF7" s="14">
        <v>53682</v>
      </c>
      <c r="HG7" s="35">
        <f t="shared" si="43"/>
        <v>23750</v>
      </c>
      <c r="HH7" s="35">
        <f t="shared" si="44"/>
        <v>77089</v>
      </c>
      <c r="HI7" s="27">
        <v>0</v>
      </c>
      <c r="HJ7" s="27">
        <v>0</v>
      </c>
      <c r="HK7" s="19" t="e">
        <f>(#REF!+#REF!+HJ7)/AE7</f>
        <v>#REF!</v>
      </c>
      <c r="HL7" s="27">
        <v>0</v>
      </c>
      <c r="HM7" s="19">
        <f t="shared" si="45"/>
        <v>77089</v>
      </c>
      <c r="HN7" s="36">
        <f t="shared" si="46"/>
        <v>0.46171877778297693</v>
      </c>
      <c r="HO7" s="27">
        <v>145958</v>
      </c>
      <c r="HP7" s="27"/>
      <c r="HQ7" s="11">
        <v>0</v>
      </c>
      <c r="HR7" s="898"/>
      <c r="HS7" s="907">
        <f t="shared" si="47"/>
        <v>0</v>
      </c>
      <c r="HT7" s="915">
        <f t="shared" si="48"/>
        <v>2817333</v>
      </c>
      <c r="HU7" s="898">
        <f t="shared" ca="1" si="49"/>
        <v>2817333</v>
      </c>
      <c r="HV7" s="898"/>
      <c r="HW7" s="898"/>
      <c r="HX7" s="898">
        <f t="shared" si="50"/>
        <v>433682</v>
      </c>
      <c r="HY7" s="908">
        <f t="shared" si="51"/>
        <v>0</v>
      </c>
      <c r="HZ7" s="908"/>
      <c r="IA7" s="29" t="e">
        <f>#REF!+HI7</f>
        <v>#REF!</v>
      </c>
      <c r="IB7" s="752"/>
      <c r="IC7" s="73"/>
      <c r="ID7" s="73"/>
      <c r="IE7" s="73"/>
      <c r="IF7" s="73"/>
      <c r="IK7" s="1009">
        <v>2013</v>
      </c>
      <c r="IL7" s="1010">
        <f>IFERROR(AVERAGE(IF(YEAR(Dde_prêt)=IK7,Délai_prêt)),0)</f>
        <v>0</v>
      </c>
    </row>
    <row r="8" spans="1:246" s="21" customFormat="1" ht="20.100000000000001" customHeight="1">
      <c r="A8" s="8" t="s">
        <v>89</v>
      </c>
      <c r="B8" s="39"/>
      <c r="C8" s="8" t="s">
        <v>20</v>
      </c>
      <c r="D8" s="8" t="s">
        <v>93</v>
      </c>
      <c r="E8" s="8">
        <v>2011</v>
      </c>
      <c r="F8" s="8" t="s">
        <v>86</v>
      </c>
      <c r="G8" s="8"/>
      <c r="H8" s="671"/>
      <c r="I8" s="39" t="s">
        <v>193</v>
      </c>
      <c r="J8" s="39"/>
      <c r="K8" s="39"/>
      <c r="L8" s="374" t="s">
        <v>503</v>
      </c>
      <c r="M8" s="425"/>
      <c r="N8" s="425"/>
      <c r="O8" s="425"/>
      <c r="P8" s="161">
        <v>8131</v>
      </c>
      <c r="Q8" s="161">
        <v>227747.25</v>
      </c>
      <c r="R8" s="161">
        <v>178042</v>
      </c>
      <c r="S8" s="161" t="e">
        <f>Q8/(AE8+#REF!)</f>
        <v>#REF!</v>
      </c>
      <c r="T8" s="161">
        <f t="shared" ref="T8:T15" si="52">Q8/P8</f>
        <v>28.009746648628706</v>
      </c>
      <c r="U8" s="161">
        <f t="shared" ref="U8:U15" si="53">R8/P8</f>
        <v>21.896691673840856</v>
      </c>
      <c r="V8" s="161" t="e">
        <f>R8/(AL8+#REF!)</f>
        <v>#REF!</v>
      </c>
      <c r="W8" s="161" t="e">
        <f>R8/(AE8+#REF!)</f>
        <v>#REF!</v>
      </c>
      <c r="X8" s="161" t="e">
        <f>P8/(AE8+#REF!)</f>
        <v>#REF!</v>
      </c>
      <c r="Y8" s="162">
        <v>1079</v>
      </c>
      <c r="Z8" s="733">
        <f t="shared" si="0"/>
        <v>4.9194441028163816</v>
      </c>
      <c r="AA8" s="162" t="s">
        <v>169</v>
      </c>
      <c r="AB8" s="164"/>
      <c r="AC8" s="164"/>
      <c r="AD8" s="8" t="s">
        <v>9</v>
      </c>
      <c r="AE8" s="674">
        <f t="shared" si="1"/>
        <v>4</v>
      </c>
      <c r="AF8" s="674">
        <f t="shared" si="2"/>
        <v>4</v>
      </c>
      <c r="AG8" s="8">
        <v>4</v>
      </c>
      <c r="AH8" s="776"/>
      <c r="AI8" s="377"/>
      <c r="AJ8" s="377"/>
      <c r="AK8" s="44">
        <v>276.40999999999997</v>
      </c>
      <c r="AL8" s="426">
        <v>317.76</v>
      </c>
      <c r="AM8" s="875">
        <f t="shared" si="3"/>
        <v>69.102499999999992</v>
      </c>
      <c r="AN8" s="10">
        <f t="shared" si="4"/>
        <v>79.44</v>
      </c>
      <c r="AO8" s="43">
        <v>7.15</v>
      </c>
      <c r="AP8" s="43">
        <v>6.22</v>
      </c>
      <c r="AQ8" s="43">
        <v>494</v>
      </c>
      <c r="AR8" s="43"/>
      <c r="AS8" s="43"/>
      <c r="AT8" s="43"/>
      <c r="AU8" s="43"/>
      <c r="AV8" s="43"/>
      <c r="AW8" s="10">
        <f>830+889+461</f>
        <v>2180</v>
      </c>
      <c r="AX8" s="59">
        <v>850</v>
      </c>
      <c r="AY8" s="61">
        <f t="shared" ref="AY8:AY15" si="54">AX8/P8</f>
        <v>0.10453818718484811</v>
      </c>
      <c r="AZ8" s="43">
        <v>2.5</v>
      </c>
      <c r="BA8" s="42" t="s">
        <v>439</v>
      </c>
      <c r="BB8" s="769" t="s">
        <v>100</v>
      </c>
      <c r="BC8" s="42"/>
      <c r="BD8" s="42"/>
      <c r="BE8" s="42"/>
      <c r="BF8" s="42"/>
      <c r="BG8" s="39"/>
      <c r="BH8" s="143">
        <v>40816</v>
      </c>
      <c r="BI8" s="159">
        <v>40730</v>
      </c>
      <c r="BJ8" s="75">
        <v>42291</v>
      </c>
      <c r="BK8" s="867"/>
      <c r="BL8" s="770"/>
      <c r="BM8" s="771"/>
      <c r="BN8" s="820"/>
      <c r="BO8" s="820"/>
      <c r="BP8" s="85"/>
      <c r="BQ8" s="85"/>
      <c r="BR8" s="224">
        <v>41314</v>
      </c>
      <c r="BS8" s="224">
        <f t="shared" si="5"/>
        <v>42044</v>
      </c>
      <c r="BT8" s="224"/>
      <c r="BU8" s="224" t="str">
        <f t="shared" si="6"/>
        <v>non</v>
      </c>
      <c r="BV8" s="605">
        <f t="shared" si="7"/>
        <v>11</v>
      </c>
      <c r="BW8" s="605">
        <f>IF((BV8*FD8)&lt;0,"0",BV8*FD8)</f>
        <v>22385</v>
      </c>
      <c r="BX8" s="605">
        <f t="shared" si="8"/>
        <v>-22385</v>
      </c>
      <c r="BY8" s="696"/>
      <c r="BZ8" s="697"/>
      <c r="CA8" s="696"/>
      <c r="CB8" s="696"/>
      <c r="CC8" s="696"/>
      <c r="CD8" s="698"/>
      <c r="CE8" s="698"/>
      <c r="CF8" s="698"/>
      <c r="CG8" s="698"/>
      <c r="CH8" s="698"/>
      <c r="CI8" s="698"/>
      <c r="CJ8" s="698"/>
      <c r="CK8" s="698"/>
      <c r="CL8" s="698"/>
      <c r="CM8" s="698"/>
      <c r="CN8" s="698"/>
      <c r="CO8" s="698"/>
      <c r="CP8" s="698"/>
      <c r="CQ8" s="95"/>
      <c r="CR8" s="95"/>
      <c r="CS8" s="95"/>
      <c r="CT8" s="475" t="str">
        <f t="shared" si="9"/>
        <v>0</v>
      </c>
      <c r="CU8" s="95"/>
      <c r="CV8" s="95"/>
      <c r="CW8" s="475" t="str">
        <f t="shared" si="10"/>
        <v>0</v>
      </c>
      <c r="CX8" s="95"/>
      <c r="CY8" s="95"/>
      <c r="CZ8" s="475" t="str">
        <f t="shared" si="11"/>
        <v>0</v>
      </c>
      <c r="DA8" s="95"/>
      <c r="DB8" s="95"/>
      <c r="DC8" s="475" t="str">
        <f t="shared" si="12"/>
        <v>0</v>
      </c>
      <c r="DD8" s="97"/>
      <c r="DE8" s="514"/>
      <c r="DF8" s="475" t="str">
        <f t="shared" si="13"/>
        <v>0</v>
      </c>
      <c r="DG8" s="440"/>
      <c r="DH8" s="178"/>
      <c r="DI8" s="95"/>
      <c r="DJ8" s="178"/>
      <c r="DK8" s="475" t="str">
        <f t="shared" si="14"/>
        <v>0</v>
      </c>
      <c r="DL8" s="95"/>
      <c r="DM8" s="330">
        <v>40940</v>
      </c>
      <c r="DN8" s="323">
        <v>2012</v>
      </c>
      <c r="DO8" s="433">
        <f t="shared" si="15"/>
        <v>7</v>
      </c>
      <c r="DP8" s="475" t="str">
        <f t="shared" si="16"/>
        <v>0</v>
      </c>
      <c r="DQ8" s="97">
        <v>13</v>
      </c>
      <c r="DR8" s="97">
        <f t="shared" si="17"/>
        <v>24</v>
      </c>
      <c r="DS8" s="237"/>
      <c r="DT8" s="236"/>
      <c r="DU8" s="616" t="str">
        <f t="shared" si="18"/>
        <v>0</v>
      </c>
      <c r="DV8" s="633"/>
      <c r="DW8" s="555"/>
      <c r="DX8" s="556" t="str">
        <f t="shared" si="19"/>
        <v>0</v>
      </c>
      <c r="DY8" s="198"/>
      <c r="DZ8" s="237"/>
      <c r="EA8" s="616" t="str">
        <f t="shared" si="20"/>
        <v>0</v>
      </c>
      <c r="EB8" s="237"/>
      <c r="EC8" s="237"/>
      <c r="ED8" s="616" t="str">
        <f t="shared" si="21"/>
        <v>0</v>
      </c>
      <c r="EE8" s="237"/>
      <c r="EF8" s="237"/>
      <c r="EG8" s="616" t="str">
        <f t="shared" si="22"/>
        <v>0</v>
      </c>
      <c r="EH8" s="237"/>
      <c r="EI8" s="237"/>
      <c r="EJ8" s="616" t="str">
        <f t="shared" si="23"/>
        <v>0</v>
      </c>
      <c r="EK8" s="237"/>
      <c r="EL8" s="237"/>
      <c r="EM8" s="616" t="str">
        <f t="shared" si="24"/>
        <v>0</v>
      </c>
      <c r="EN8" s="237"/>
      <c r="EO8" s="237"/>
      <c r="EP8" s="237"/>
      <c r="EQ8" s="441">
        <f t="shared" si="25"/>
        <v>41334</v>
      </c>
      <c r="ER8" s="333">
        <v>41688</v>
      </c>
      <c r="ES8" s="643">
        <f t="shared" si="26"/>
        <v>11.8</v>
      </c>
      <c r="ET8" s="928"/>
      <c r="EU8" s="533"/>
      <c r="EV8" s="98">
        <v>41689</v>
      </c>
      <c r="EW8" s="98" t="s">
        <v>107</v>
      </c>
      <c r="EX8" s="98">
        <v>41696</v>
      </c>
      <c r="EY8" s="533"/>
      <c r="EZ8" s="746">
        <f t="shared" si="27"/>
        <v>41365</v>
      </c>
      <c r="FA8" s="333">
        <v>41696</v>
      </c>
      <c r="FB8" s="530">
        <v>2014</v>
      </c>
      <c r="FC8" s="637">
        <f t="shared" si="28"/>
        <v>11.033333333333333</v>
      </c>
      <c r="FD8" s="632">
        <v>2035</v>
      </c>
      <c r="FE8" s="178">
        <f t="shared" si="29"/>
        <v>22452.833333333332</v>
      </c>
      <c r="FF8" s="98"/>
      <c r="FG8" s="498"/>
      <c r="FH8" s="624">
        <f t="shared" si="30"/>
        <v>0</v>
      </c>
      <c r="FI8" s="502"/>
      <c r="FJ8" s="502"/>
      <c r="FK8" s="502"/>
      <c r="FL8" s="664">
        <f t="shared" si="31"/>
        <v>0</v>
      </c>
      <c r="FM8" s="503"/>
      <c r="FN8" s="519"/>
      <c r="FO8" s="503"/>
      <c r="FP8" s="503"/>
      <c r="FQ8" s="95"/>
      <c r="FR8" s="95"/>
      <c r="FS8" s="95"/>
      <c r="FT8" s="95"/>
      <c r="FU8" s="95">
        <v>41787</v>
      </c>
      <c r="FV8" s="88"/>
      <c r="FW8" s="95">
        <f t="shared" si="32"/>
        <v>42053</v>
      </c>
      <c r="FX8" s="609">
        <v>7942.4140102470437</v>
      </c>
      <c r="FY8" s="95" t="s">
        <v>107</v>
      </c>
      <c r="FZ8" s="95"/>
      <c r="GA8" s="95"/>
      <c r="GB8" s="95">
        <v>41919</v>
      </c>
      <c r="GC8" s="95">
        <v>41921</v>
      </c>
      <c r="GD8" s="95"/>
      <c r="GE8" s="95" t="s">
        <v>107</v>
      </c>
      <c r="GF8" s="87">
        <v>42290</v>
      </c>
      <c r="GG8" s="87"/>
      <c r="GH8" s="87"/>
      <c r="GI8" s="87"/>
      <c r="GJ8" s="95"/>
      <c r="GK8" s="95"/>
      <c r="GL8" s="741"/>
      <c r="GM8" s="979">
        <f t="shared" si="33"/>
        <v>642137</v>
      </c>
      <c r="GN8" s="772">
        <f t="shared" si="34"/>
        <v>642137</v>
      </c>
      <c r="GO8" s="683">
        <f t="shared" si="35"/>
        <v>642137</v>
      </c>
      <c r="GP8" s="909">
        <f t="shared" si="36"/>
        <v>131725</v>
      </c>
      <c r="GQ8" s="35">
        <f t="shared" si="37"/>
        <v>2020.8238922457201</v>
      </c>
      <c r="GR8" s="35">
        <f t="shared" si="38"/>
        <v>160534.25</v>
      </c>
      <c r="GS8" s="14">
        <v>75000</v>
      </c>
      <c r="GT8" s="577"/>
      <c r="GU8" s="19">
        <f t="shared" si="39"/>
        <v>18750</v>
      </c>
      <c r="GV8" s="11">
        <f t="shared" si="40"/>
        <v>335412</v>
      </c>
      <c r="GW8" s="12">
        <v>85556</v>
      </c>
      <c r="GX8" s="12">
        <v>249856</v>
      </c>
      <c r="GY8" s="567">
        <f t="shared" si="41"/>
        <v>83853</v>
      </c>
      <c r="GZ8" s="11">
        <v>100000</v>
      </c>
      <c r="HA8" s="14">
        <v>119398</v>
      </c>
      <c r="HB8" s="52"/>
      <c r="HC8" s="28">
        <f t="shared" si="42"/>
        <v>0.18593851467833189</v>
      </c>
      <c r="HD8" s="53"/>
      <c r="HE8" s="53"/>
      <c r="HF8" s="14">
        <v>12327</v>
      </c>
      <c r="HG8" s="35">
        <f t="shared" si="43"/>
        <v>29849.5</v>
      </c>
      <c r="HH8" s="35">
        <f t="shared" si="44"/>
        <v>48599.5</v>
      </c>
      <c r="HI8" s="27">
        <v>1087937.9071325003</v>
      </c>
      <c r="HJ8" s="27">
        <v>400000</v>
      </c>
      <c r="HK8" s="19" t="e">
        <f>(#REF!+#REF!+HJ8)/AE8</f>
        <v>#REF!</v>
      </c>
      <c r="HL8" s="27">
        <v>474274.71</v>
      </c>
      <c r="HM8" s="19">
        <f t="shared" si="45"/>
        <v>267168.17749999999</v>
      </c>
      <c r="HN8" s="36">
        <f t="shared" si="46"/>
        <v>0.62937481320481981</v>
      </c>
      <c r="HO8" s="27">
        <v>32084</v>
      </c>
      <c r="HP8" s="27"/>
      <c r="HQ8" s="11">
        <v>0</v>
      </c>
      <c r="HR8" s="898"/>
      <c r="HS8" s="907">
        <f t="shared" si="47"/>
        <v>0</v>
      </c>
      <c r="HT8" s="915">
        <f t="shared" si="48"/>
        <v>642137</v>
      </c>
      <c r="HU8" s="898">
        <f t="shared" ca="1" si="49"/>
        <v>642137</v>
      </c>
      <c r="HV8" s="898"/>
      <c r="HW8" s="898"/>
      <c r="HX8" s="898">
        <f t="shared" si="50"/>
        <v>131725</v>
      </c>
      <c r="HY8" s="908">
        <f t="shared" si="51"/>
        <v>0</v>
      </c>
      <c r="HZ8" s="908"/>
      <c r="IA8" s="29" t="e">
        <f>#REF!+HI8</f>
        <v>#REF!</v>
      </c>
      <c r="IB8" s="752"/>
      <c r="IC8" s="73"/>
      <c r="ID8" s="73"/>
      <c r="IE8" s="73"/>
      <c r="IF8" s="73"/>
      <c r="IK8" s="1009">
        <v>2014</v>
      </c>
      <c r="IL8" s="1010">
        <f t="array" ref="IL8">IFERROR(AVERAGE(IF(YEAR(Dde_prêt)=IK8,Délai_prêt)),0)</f>
        <v>3.3333333333333333E-2</v>
      </c>
    </row>
    <row r="9" spans="1:246" ht="20.100000000000001" customHeight="1">
      <c r="A9" s="8" t="s">
        <v>122</v>
      </c>
      <c r="B9" s="297"/>
      <c r="C9" s="8" t="s">
        <v>62</v>
      </c>
      <c r="D9" s="8" t="s">
        <v>94</v>
      </c>
      <c r="E9" s="8">
        <v>2010</v>
      </c>
      <c r="F9" s="8" t="s">
        <v>126</v>
      </c>
      <c r="G9" s="8" t="s">
        <v>23</v>
      </c>
      <c r="H9" s="8" t="s">
        <v>145</v>
      </c>
      <c r="I9" s="39" t="s">
        <v>193</v>
      </c>
      <c r="J9" s="39"/>
      <c r="K9" s="39"/>
      <c r="L9" s="374" t="s">
        <v>440</v>
      </c>
      <c r="M9" s="425"/>
      <c r="N9" s="425"/>
      <c r="O9" s="425"/>
      <c r="P9" s="161">
        <v>9462</v>
      </c>
      <c r="Q9" s="161">
        <v>874165.66</v>
      </c>
      <c r="R9" s="161">
        <v>262890</v>
      </c>
      <c r="S9" s="161">
        <f t="shared" ref="S9:S14" si="55">Q9/AE9</f>
        <v>29138.855333333333</v>
      </c>
      <c r="T9" s="161">
        <f t="shared" si="52"/>
        <v>92.386985838089203</v>
      </c>
      <c r="U9" s="161">
        <f t="shared" si="53"/>
        <v>27.783766645529486</v>
      </c>
      <c r="V9" s="161">
        <f t="shared" ref="V9:V14" si="56">R9/AL9</f>
        <v>117.46438848277958</v>
      </c>
      <c r="W9" s="161">
        <f t="shared" ref="W9:W14" si="57">R9/AE9</f>
        <v>8763</v>
      </c>
      <c r="X9" s="161">
        <f t="shared" ref="X9:X14" si="58">P9/AE9</f>
        <v>315.39999999999998</v>
      </c>
      <c r="Y9" s="162">
        <v>379.2</v>
      </c>
      <c r="Z9" s="733">
        <f t="shared" si="0"/>
        <v>31.705770450221941</v>
      </c>
      <c r="AA9" s="162" t="s">
        <v>169</v>
      </c>
      <c r="AB9" s="164"/>
      <c r="AC9" s="164"/>
      <c r="AD9" s="8" t="s">
        <v>10</v>
      </c>
      <c r="AE9" s="674">
        <f t="shared" si="1"/>
        <v>30</v>
      </c>
      <c r="AF9" s="674">
        <f t="shared" si="2"/>
        <v>30</v>
      </c>
      <c r="AG9" s="776"/>
      <c r="AH9" s="836">
        <v>30</v>
      </c>
      <c r="AI9" s="377"/>
      <c r="AJ9" s="377"/>
      <c r="AK9" s="43">
        <v>2229.46</v>
      </c>
      <c r="AL9" s="426">
        <v>2238.04</v>
      </c>
      <c r="AM9" s="875">
        <f t="shared" si="3"/>
        <v>74.315333333333328</v>
      </c>
      <c r="AN9" s="10">
        <f t="shared" si="4"/>
        <v>74.601333333333329</v>
      </c>
      <c r="AO9" s="43">
        <v>5.05</v>
      </c>
      <c r="AP9" s="43">
        <v>5.03</v>
      </c>
      <c r="AQ9" s="43">
        <v>375.57</v>
      </c>
      <c r="AR9" s="61"/>
      <c r="AS9" s="61">
        <v>0.17</v>
      </c>
      <c r="AT9" s="61">
        <v>0.37</v>
      </c>
      <c r="AU9" s="61">
        <v>0.33</v>
      </c>
      <c r="AV9" s="61">
        <v>0.13</v>
      </c>
      <c r="AW9" s="10">
        <v>1419.56</v>
      </c>
      <c r="AX9" s="59">
        <v>664</v>
      </c>
      <c r="AY9" s="61">
        <f t="shared" si="54"/>
        <v>7.0175438596491224E-2</v>
      </c>
      <c r="AZ9" s="43"/>
      <c r="BA9" s="42" t="s">
        <v>439</v>
      </c>
      <c r="BB9" s="769" t="s">
        <v>101</v>
      </c>
      <c r="BC9" s="42"/>
      <c r="BD9" s="42"/>
      <c r="BE9" s="42"/>
      <c r="BF9" s="42"/>
      <c r="BG9" s="39"/>
      <c r="BH9" s="143">
        <v>40816</v>
      </c>
      <c r="BI9" s="159">
        <v>40491</v>
      </c>
      <c r="BJ9" s="75"/>
      <c r="BK9" s="867"/>
      <c r="BL9" s="770"/>
      <c r="BM9" s="771"/>
      <c r="BN9" s="820"/>
      <c r="BO9" s="820"/>
      <c r="BP9" s="85"/>
      <c r="BQ9" s="85"/>
      <c r="BR9" s="224">
        <v>41308</v>
      </c>
      <c r="BS9" s="224">
        <f t="shared" si="5"/>
        <v>42038</v>
      </c>
      <c r="BT9" s="224"/>
      <c r="BU9" s="224" t="str">
        <f t="shared" si="6"/>
        <v>non</v>
      </c>
      <c r="BV9" s="605">
        <f t="shared" si="7"/>
        <v>12</v>
      </c>
      <c r="BW9" s="605">
        <f>BV9*FD9</f>
        <v>143136</v>
      </c>
      <c r="BX9" s="605">
        <f t="shared" si="8"/>
        <v>-143136</v>
      </c>
      <c r="BY9" s="696"/>
      <c r="BZ9" s="697"/>
      <c r="CA9" s="696"/>
      <c r="CB9" s="696"/>
      <c r="CC9" s="696"/>
      <c r="CD9" s="698"/>
      <c r="CE9" s="698"/>
      <c r="CF9" s="698"/>
      <c r="CG9" s="698"/>
      <c r="CH9" s="698"/>
      <c r="CI9" s="698"/>
      <c r="CJ9" s="698"/>
      <c r="CK9" s="698"/>
      <c r="CL9" s="698"/>
      <c r="CM9" s="698"/>
      <c r="CN9" s="698"/>
      <c r="CO9" s="698"/>
      <c r="CP9" s="698"/>
      <c r="CQ9" s="95"/>
      <c r="CR9" s="95"/>
      <c r="CS9" s="95"/>
      <c r="CT9" s="475" t="str">
        <f t="shared" si="9"/>
        <v>0</v>
      </c>
      <c r="CU9" s="95"/>
      <c r="CV9" s="95"/>
      <c r="CW9" s="475" t="str">
        <f t="shared" si="10"/>
        <v>0</v>
      </c>
      <c r="CX9" s="95"/>
      <c r="CY9" s="95"/>
      <c r="CZ9" s="475" t="str">
        <f t="shared" si="11"/>
        <v>0</v>
      </c>
      <c r="DA9" s="95"/>
      <c r="DB9" s="95"/>
      <c r="DC9" s="475" t="str">
        <f t="shared" si="12"/>
        <v>0</v>
      </c>
      <c r="DD9" s="97"/>
      <c r="DE9" s="514"/>
      <c r="DF9" s="475" t="str">
        <f t="shared" si="13"/>
        <v>0</v>
      </c>
      <c r="DG9" s="440"/>
      <c r="DH9" s="178"/>
      <c r="DI9" s="95"/>
      <c r="DJ9" s="178"/>
      <c r="DK9" s="475" t="str">
        <f t="shared" si="14"/>
        <v>0</v>
      </c>
      <c r="DL9" s="95"/>
      <c r="DM9" s="330">
        <v>40945</v>
      </c>
      <c r="DN9" s="323">
        <v>2012</v>
      </c>
      <c r="DO9" s="433">
        <f t="shared" si="15"/>
        <v>15.133333333333333</v>
      </c>
      <c r="DP9" s="475" t="str">
        <f t="shared" si="16"/>
        <v>0</v>
      </c>
      <c r="DQ9" s="97">
        <v>15</v>
      </c>
      <c r="DR9" s="97">
        <f t="shared" si="17"/>
        <v>21</v>
      </c>
      <c r="DS9" s="237"/>
      <c r="DT9" s="236"/>
      <c r="DU9" s="616" t="str">
        <f t="shared" si="18"/>
        <v>0</v>
      </c>
      <c r="DV9" s="633"/>
      <c r="DW9" s="555"/>
      <c r="DX9" s="556" t="str">
        <f t="shared" si="19"/>
        <v>0</v>
      </c>
      <c r="DY9" s="198"/>
      <c r="DZ9" s="237"/>
      <c r="EA9" s="616" t="str">
        <f t="shared" si="20"/>
        <v>0</v>
      </c>
      <c r="EB9" s="236"/>
      <c r="EC9" s="237"/>
      <c r="ED9" s="616" t="str">
        <f t="shared" si="21"/>
        <v>0</v>
      </c>
      <c r="EE9" s="297"/>
      <c r="EF9" s="297"/>
      <c r="EG9" s="616" t="str">
        <f t="shared" si="22"/>
        <v>0</v>
      </c>
      <c r="EH9" s="297"/>
      <c r="EI9" s="298"/>
      <c r="EJ9" s="616" t="str">
        <f t="shared" si="23"/>
        <v>0</v>
      </c>
      <c r="EK9" s="237"/>
      <c r="EL9" s="237"/>
      <c r="EM9" s="616" t="str">
        <f t="shared" si="24"/>
        <v>0</v>
      </c>
      <c r="EN9" s="298"/>
      <c r="EO9" s="298"/>
      <c r="EP9" s="298"/>
      <c r="EQ9" s="534">
        <f t="shared" si="25"/>
        <v>41400</v>
      </c>
      <c r="ER9" s="333">
        <v>41601</v>
      </c>
      <c r="ES9" s="643">
        <f t="shared" si="26"/>
        <v>6.7</v>
      </c>
      <c r="ET9" s="928"/>
      <c r="EU9" s="533"/>
      <c r="EV9" s="98">
        <v>41669</v>
      </c>
      <c r="EW9" s="95" t="s">
        <v>107</v>
      </c>
      <c r="EX9" s="144">
        <v>41663</v>
      </c>
      <c r="EY9" s="655"/>
      <c r="EZ9" s="746">
        <f t="shared" si="27"/>
        <v>41431</v>
      </c>
      <c r="FA9" s="535">
        <v>41663</v>
      </c>
      <c r="FB9" s="530">
        <v>2014</v>
      </c>
      <c r="FC9" s="638">
        <f t="shared" si="28"/>
        <v>7.7333333333333334</v>
      </c>
      <c r="FD9" s="632">
        <v>11928</v>
      </c>
      <c r="FE9" s="178">
        <f t="shared" si="29"/>
        <v>92243.199999999997</v>
      </c>
      <c r="FF9" s="144"/>
      <c r="FG9" s="498"/>
      <c r="FH9" s="624">
        <f t="shared" si="30"/>
        <v>70784</v>
      </c>
      <c r="FI9" s="502"/>
      <c r="FJ9" s="502"/>
      <c r="FK9" s="502"/>
      <c r="FL9" s="664">
        <f t="shared" si="31"/>
        <v>0</v>
      </c>
      <c r="FM9" s="499"/>
      <c r="FN9" s="511" t="s">
        <v>603</v>
      </c>
      <c r="FO9" s="499"/>
      <c r="FP9" s="499"/>
      <c r="FQ9" s="95"/>
      <c r="FR9" s="95"/>
      <c r="FS9" s="95" t="s">
        <v>107</v>
      </c>
      <c r="FT9" s="95" t="s">
        <v>107</v>
      </c>
      <c r="FU9" s="95"/>
      <c r="FV9" s="87">
        <v>42697</v>
      </c>
      <c r="FW9" s="87">
        <f t="shared" si="32"/>
        <v>41966</v>
      </c>
      <c r="FX9" s="609">
        <v>59348.24</v>
      </c>
      <c r="FY9" s="87" t="s">
        <v>107</v>
      </c>
      <c r="FZ9" s="87"/>
      <c r="GA9" s="87"/>
      <c r="GB9" s="87">
        <v>41925</v>
      </c>
      <c r="GC9" s="87">
        <v>41928</v>
      </c>
      <c r="GD9" s="87"/>
      <c r="GE9" s="87"/>
      <c r="GF9" s="87" t="s">
        <v>136</v>
      </c>
      <c r="GG9" s="87"/>
      <c r="GH9" s="87"/>
      <c r="GI9" s="87"/>
      <c r="GJ9" s="87"/>
      <c r="GK9" s="87"/>
      <c r="GL9" s="741"/>
      <c r="GM9" s="979">
        <f t="shared" si="33"/>
        <v>3911389</v>
      </c>
      <c r="GN9" s="772">
        <f t="shared" si="34"/>
        <v>3911389</v>
      </c>
      <c r="GO9" s="683">
        <f t="shared" si="35"/>
        <v>3911389</v>
      </c>
      <c r="GP9" s="909">
        <f t="shared" si="36"/>
        <v>1359605</v>
      </c>
      <c r="GQ9" s="35">
        <f t="shared" si="37"/>
        <v>1747.6850279709031</v>
      </c>
      <c r="GR9" s="35">
        <f t="shared" si="38"/>
        <v>130379.63333333333</v>
      </c>
      <c r="GS9" s="14">
        <v>0</v>
      </c>
      <c r="GT9" s="577"/>
      <c r="GU9" s="19">
        <f t="shared" si="39"/>
        <v>0</v>
      </c>
      <c r="GV9" s="11">
        <f t="shared" si="40"/>
        <v>2481000</v>
      </c>
      <c r="GW9" s="12">
        <v>486094</v>
      </c>
      <c r="GX9" s="12">
        <v>1994906</v>
      </c>
      <c r="GY9" s="567">
        <f t="shared" si="41"/>
        <v>82700</v>
      </c>
      <c r="GZ9" s="11"/>
      <c r="HA9" s="14">
        <v>1359605</v>
      </c>
      <c r="HB9" s="52"/>
      <c r="HC9" s="28">
        <f t="shared" si="42"/>
        <v>0.34760158092176463</v>
      </c>
      <c r="HD9" s="68"/>
      <c r="HE9" s="68"/>
      <c r="HF9" s="14"/>
      <c r="HG9" s="35">
        <f t="shared" si="43"/>
        <v>45320.166666666664</v>
      </c>
      <c r="HH9" s="35">
        <f t="shared" si="44"/>
        <v>45320.166666666664</v>
      </c>
      <c r="HI9" s="27">
        <v>2106869</v>
      </c>
      <c r="HJ9" s="27">
        <v>550000</v>
      </c>
      <c r="HK9" s="19">
        <f>(GS9+HA9+HJ9)/AE9</f>
        <v>63653.5</v>
      </c>
      <c r="HL9" s="27">
        <v>1220907.39295</v>
      </c>
      <c r="HM9" s="19">
        <f t="shared" si="45"/>
        <v>104350.41309833335</v>
      </c>
      <c r="HN9" s="36">
        <f t="shared" si="46"/>
        <v>0.5439291445742479</v>
      </c>
      <c r="HO9" s="27">
        <v>262890</v>
      </c>
      <c r="HP9" s="27"/>
      <c r="HQ9" s="11">
        <v>70784</v>
      </c>
      <c r="HR9" s="898"/>
      <c r="HS9" s="907">
        <f t="shared" si="47"/>
        <v>0</v>
      </c>
      <c r="HT9" s="915">
        <f t="shared" si="48"/>
        <v>3911389</v>
      </c>
      <c r="HU9" s="898">
        <f t="shared" ca="1" si="49"/>
        <v>3911389</v>
      </c>
      <c r="HV9" s="898"/>
      <c r="HW9" s="898"/>
      <c r="HX9" s="898">
        <f t="shared" si="50"/>
        <v>1359605</v>
      </c>
      <c r="HY9" s="908">
        <f t="shared" si="51"/>
        <v>0</v>
      </c>
      <c r="HZ9" s="908"/>
      <c r="IA9" s="29">
        <f>GN9+HI9</f>
        <v>6018258</v>
      </c>
      <c r="IB9" s="752"/>
      <c r="IC9" s="73"/>
      <c r="ID9" s="73"/>
      <c r="IE9" s="73"/>
      <c r="IF9" s="73"/>
      <c r="IK9" s="1009">
        <v>2015</v>
      </c>
      <c r="IL9" s="1010">
        <f t="array" ref="IL9">IFERROR(AVERAGE(IF(YEAR(Dde_prêt)=IK9,Délai_prêt)),0)</f>
        <v>0.84285714285714286</v>
      </c>
    </row>
    <row r="10" spans="1:246" ht="20.100000000000001" customHeight="1">
      <c r="A10" s="8" t="s">
        <v>81</v>
      </c>
      <c r="B10" s="297"/>
      <c r="C10" s="8" t="s">
        <v>20</v>
      </c>
      <c r="D10" s="8" t="s">
        <v>93</v>
      </c>
      <c r="E10" s="8">
        <v>2011</v>
      </c>
      <c r="F10" s="8" t="s">
        <v>84</v>
      </c>
      <c r="G10" s="8" t="s">
        <v>40</v>
      </c>
      <c r="H10" s="671" t="s">
        <v>146</v>
      </c>
      <c r="I10" s="8" t="s">
        <v>193</v>
      </c>
      <c r="J10" s="39"/>
      <c r="K10" s="39"/>
      <c r="L10" s="199"/>
      <c r="M10" s="425"/>
      <c r="N10" s="425"/>
      <c r="O10" s="425"/>
      <c r="P10" s="161">
        <f>2009+396</f>
        <v>2405</v>
      </c>
      <c r="Q10" s="161">
        <v>133800</v>
      </c>
      <c r="R10" s="161">
        <v>120788</v>
      </c>
      <c r="S10" s="161">
        <f t="shared" si="55"/>
        <v>9557.1428571428569</v>
      </c>
      <c r="T10" s="161">
        <f t="shared" si="52"/>
        <v>55.634095634095637</v>
      </c>
      <c r="U10" s="161">
        <f t="shared" si="53"/>
        <v>50.223700623700623</v>
      </c>
      <c r="V10" s="161">
        <f t="shared" si="56"/>
        <v>102.03671321287075</v>
      </c>
      <c r="W10" s="161">
        <f t="shared" si="57"/>
        <v>8627.7142857142862</v>
      </c>
      <c r="X10" s="161">
        <f t="shared" si="58"/>
        <v>171.78571428571428</v>
      </c>
      <c r="Y10" s="162"/>
      <c r="Z10" s="733">
        <f t="shared" si="0"/>
        <v>58.21205821205821</v>
      </c>
      <c r="AA10" s="162" t="s">
        <v>169</v>
      </c>
      <c r="AB10" s="164"/>
      <c r="AC10" s="164"/>
      <c r="AD10" s="8" t="s">
        <v>10</v>
      </c>
      <c r="AE10" s="674">
        <f t="shared" si="1"/>
        <v>14</v>
      </c>
      <c r="AF10" s="674">
        <f t="shared" si="2"/>
        <v>14</v>
      </c>
      <c r="AG10" s="776"/>
      <c r="AH10" s="8">
        <v>14</v>
      </c>
      <c r="AI10" s="377"/>
      <c r="AJ10" s="377"/>
      <c r="AK10" s="43">
        <v>1008.77</v>
      </c>
      <c r="AL10" s="426">
        <v>1183.77</v>
      </c>
      <c r="AM10" s="875">
        <f t="shared" si="3"/>
        <v>72.054999999999993</v>
      </c>
      <c r="AN10" s="10">
        <f t="shared" si="4"/>
        <v>84.554999999999993</v>
      </c>
      <c r="AO10" s="43">
        <v>5.74</v>
      </c>
      <c r="AP10" s="43">
        <v>4.8899999999999997</v>
      </c>
      <c r="AQ10" s="43">
        <v>413.51</v>
      </c>
      <c r="AR10" s="43"/>
      <c r="AS10" s="43"/>
      <c r="AT10" s="43"/>
      <c r="AU10" s="43"/>
      <c r="AV10" s="43"/>
      <c r="AW10" s="10">
        <v>600</v>
      </c>
      <c r="AX10" s="82" t="s">
        <v>250</v>
      </c>
      <c r="AY10" s="61" t="e">
        <f t="shared" si="54"/>
        <v>#VALUE!</v>
      </c>
      <c r="AZ10" s="43">
        <v>2</v>
      </c>
      <c r="BA10" s="42" t="s">
        <v>439</v>
      </c>
      <c r="BB10" s="769" t="s">
        <v>100</v>
      </c>
      <c r="BC10" s="42"/>
      <c r="BD10" s="42"/>
      <c r="BE10" s="42"/>
      <c r="BF10" s="42"/>
      <c r="BG10" s="39"/>
      <c r="BH10" s="143">
        <v>40816</v>
      </c>
      <c r="BI10" s="159">
        <v>40884</v>
      </c>
      <c r="BJ10" s="75"/>
      <c r="BK10" s="867"/>
      <c r="BL10" s="770"/>
      <c r="BM10" s="771"/>
      <c r="BN10" s="820"/>
      <c r="BO10" s="820"/>
      <c r="BP10" s="85"/>
      <c r="BQ10" s="85"/>
      <c r="BR10" s="224">
        <v>41315</v>
      </c>
      <c r="BS10" s="224">
        <f t="shared" si="5"/>
        <v>42045</v>
      </c>
      <c r="BT10" s="224"/>
      <c r="BU10" s="224" t="str">
        <f t="shared" si="6"/>
        <v>non</v>
      </c>
      <c r="BV10" s="605">
        <f t="shared" si="7"/>
        <v>8</v>
      </c>
      <c r="BW10" s="605">
        <f>BV10*FD10</f>
        <v>47712</v>
      </c>
      <c r="BX10" s="605">
        <f t="shared" si="8"/>
        <v>-47712</v>
      </c>
      <c r="BY10" s="696"/>
      <c r="BZ10" s="697"/>
      <c r="CA10" s="696"/>
      <c r="CB10" s="696"/>
      <c r="CC10" s="696"/>
      <c r="CD10" s="698"/>
      <c r="CE10" s="698"/>
      <c r="CF10" s="698"/>
      <c r="CG10" s="698"/>
      <c r="CH10" s="698"/>
      <c r="CI10" s="698"/>
      <c r="CJ10" s="698"/>
      <c r="CK10" s="698"/>
      <c r="CL10" s="699"/>
      <c r="CM10" s="699"/>
      <c r="CN10" s="699"/>
      <c r="CO10" s="699"/>
      <c r="CP10" s="699"/>
      <c r="CQ10" s="95"/>
      <c r="CR10" s="95"/>
      <c r="CS10" s="95"/>
      <c r="CT10" s="475" t="str">
        <f t="shared" si="9"/>
        <v>0</v>
      </c>
      <c r="CU10" s="95"/>
      <c r="CV10" s="95"/>
      <c r="CW10" s="475" t="str">
        <f t="shared" si="10"/>
        <v>0</v>
      </c>
      <c r="CX10" s="95"/>
      <c r="CY10" s="95"/>
      <c r="CZ10" s="475" t="str">
        <f t="shared" si="11"/>
        <v>0</v>
      </c>
      <c r="DA10" s="95"/>
      <c r="DB10" s="95"/>
      <c r="DC10" s="475" t="str">
        <f t="shared" si="12"/>
        <v>0</v>
      </c>
      <c r="DD10" s="97"/>
      <c r="DE10" s="514"/>
      <c r="DF10" s="475" t="str">
        <f t="shared" si="13"/>
        <v>0</v>
      </c>
      <c r="DG10" s="440"/>
      <c r="DH10" s="178"/>
      <c r="DI10" s="95"/>
      <c r="DJ10" s="178"/>
      <c r="DK10" s="475" t="str">
        <f t="shared" si="14"/>
        <v>0</v>
      </c>
      <c r="DL10" s="95"/>
      <c r="DM10" s="330">
        <v>40970</v>
      </c>
      <c r="DN10" s="323">
        <v>2012</v>
      </c>
      <c r="DO10" s="433">
        <f t="shared" si="15"/>
        <v>2.8666666666666667</v>
      </c>
      <c r="DP10" s="475" t="str">
        <f t="shared" si="16"/>
        <v>0</v>
      </c>
      <c r="DQ10" s="97">
        <v>12</v>
      </c>
      <c r="DR10" s="97">
        <f t="shared" si="17"/>
        <v>20</v>
      </c>
      <c r="DS10" s="237"/>
      <c r="DT10" s="236"/>
      <c r="DU10" s="616" t="str">
        <f t="shared" si="18"/>
        <v>0</v>
      </c>
      <c r="DV10" s="633"/>
      <c r="DW10" s="555"/>
      <c r="DX10" s="556" t="str">
        <f t="shared" si="19"/>
        <v>0</v>
      </c>
      <c r="DY10" s="198"/>
      <c r="DZ10" s="237">
        <f ca="1">IF(DY10&lt;TODAY(),TODAY(),DY10)</f>
        <v>43647</v>
      </c>
      <c r="EA10" s="616" t="str">
        <f t="shared" ca="1" si="20"/>
        <v>0</v>
      </c>
      <c r="EB10" s="236"/>
      <c r="EC10" s="237"/>
      <c r="ED10" s="616" t="str">
        <f t="shared" si="21"/>
        <v>0</v>
      </c>
      <c r="EE10" s="297"/>
      <c r="EF10" s="297"/>
      <c r="EG10" s="616" t="str">
        <f t="shared" si="22"/>
        <v>0</v>
      </c>
      <c r="EH10" s="297"/>
      <c r="EI10" s="298"/>
      <c r="EJ10" s="616" t="str">
        <f t="shared" si="23"/>
        <v>0</v>
      </c>
      <c r="EK10" s="237"/>
      <c r="EL10" s="237"/>
      <c r="EM10" s="616" t="str">
        <f t="shared" si="24"/>
        <v>0</v>
      </c>
      <c r="EN10" s="298"/>
      <c r="EO10" s="298"/>
      <c r="EP10" s="298"/>
      <c r="EQ10" s="441">
        <f t="shared" si="25"/>
        <v>41335</v>
      </c>
      <c r="ER10" s="333">
        <v>41583</v>
      </c>
      <c r="ES10" s="643">
        <f t="shared" si="26"/>
        <v>8.2666666666666675</v>
      </c>
      <c r="ET10" s="928"/>
      <c r="EU10" s="533"/>
      <c r="EV10" s="98">
        <v>41627</v>
      </c>
      <c r="EW10" s="98" t="s">
        <v>107</v>
      </c>
      <c r="EX10" s="98">
        <v>41774</v>
      </c>
      <c r="EY10" s="533"/>
      <c r="EZ10" s="746">
        <f t="shared" si="27"/>
        <v>41366</v>
      </c>
      <c r="FA10" s="333">
        <v>41774</v>
      </c>
      <c r="FB10" s="530">
        <v>2014</v>
      </c>
      <c r="FC10" s="637">
        <f t="shared" si="28"/>
        <v>13.6</v>
      </c>
      <c r="FD10" s="632">
        <v>5964</v>
      </c>
      <c r="FE10" s="178">
        <f t="shared" si="29"/>
        <v>81110.399999999994</v>
      </c>
      <c r="FF10" s="98"/>
      <c r="FG10" s="498"/>
      <c r="FH10" s="624">
        <f t="shared" si="30"/>
        <v>253357.88</v>
      </c>
      <c r="FI10" s="502"/>
      <c r="FJ10" s="502"/>
      <c r="FK10" s="502"/>
      <c r="FL10" s="664">
        <f t="shared" si="31"/>
        <v>0</v>
      </c>
      <c r="FM10" s="499"/>
      <c r="FN10" s="511" t="s">
        <v>605</v>
      </c>
      <c r="FO10" s="499"/>
      <c r="FP10" s="499"/>
      <c r="FQ10" s="95"/>
      <c r="FR10" s="95"/>
      <c r="FS10" s="95"/>
      <c r="FT10" s="95"/>
      <c r="FU10" s="95">
        <v>41661</v>
      </c>
      <c r="FV10" s="88" t="s">
        <v>107</v>
      </c>
      <c r="FW10" s="95">
        <f t="shared" si="32"/>
        <v>41948</v>
      </c>
      <c r="FX10" s="609">
        <v>31451.360000000001</v>
      </c>
      <c r="FY10" s="95" t="s">
        <v>107</v>
      </c>
      <c r="FZ10" s="95"/>
      <c r="GA10" s="95"/>
      <c r="GB10" s="95">
        <v>41919</v>
      </c>
      <c r="GC10" s="95">
        <v>41925</v>
      </c>
      <c r="GD10" s="95"/>
      <c r="GE10" s="95"/>
      <c r="GF10" s="95" t="s">
        <v>136</v>
      </c>
      <c r="GG10" s="95"/>
      <c r="GH10" s="95"/>
      <c r="GI10" s="95"/>
      <c r="GJ10" s="95"/>
      <c r="GK10" s="95"/>
      <c r="GL10" s="741"/>
      <c r="GM10" s="979">
        <f t="shared" si="33"/>
        <v>2160353.88</v>
      </c>
      <c r="GN10" s="772">
        <f t="shared" si="34"/>
        <v>2160353.88</v>
      </c>
      <c r="GO10" s="683">
        <f t="shared" si="35"/>
        <v>2160353.88</v>
      </c>
      <c r="GP10" s="909">
        <f t="shared" si="36"/>
        <v>691584</v>
      </c>
      <c r="GQ10" s="35">
        <f t="shared" si="37"/>
        <v>1824.9777237132212</v>
      </c>
      <c r="GR10" s="35">
        <f t="shared" si="38"/>
        <v>154310.99142857143</v>
      </c>
      <c r="GS10" s="14">
        <v>0</v>
      </c>
      <c r="GT10" s="577"/>
      <c r="GU10" s="19">
        <f t="shared" si="39"/>
        <v>0</v>
      </c>
      <c r="GV10" s="11">
        <f t="shared" si="40"/>
        <v>1285412</v>
      </c>
      <c r="GW10" s="12">
        <v>305730</v>
      </c>
      <c r="GX10" s="12">
        <v>979682</v>
      </c>
      <c r="GY10" s="567">
        <f t="shared" si="41"/>
        <v>91815.142857142855</v>
      </c>
      <c r="GZ10" s="11"/>
      <c r="HA10" s="14">
        <v>620464</v>
      </c>
      <c r="HB10" s="52">
        <v>70000</v>
      </c>
      <c r="HC10" s="28">
        <f t="shared" si="42"/>
        <v>0.2872047981324245</v>
      </c>
      <c r="HD10" s="68"/>
      <c r="HE10" s="68"/>
      <c r="HF10" s="14">
        <v>1120</v>
      </c>
      <c r="HG10" s="35">
        <f t="shared" si="43"/>
        <v>44318.857142857145</v>
      </c>
      <c r="HH10" s="35">
        <f t="shared" si="44"/>
        <v>44318.857142857145</v>
      </c>
      <c r="HI10" s="27">
        <v>715424.22886499984</v>
      </c>
      <c r="HJ10" s="27">
        <v>280000</v>
      </c>
      <c r="HK10" s="19">
        <f>(GS10+HA10+HJ10)/AE10</f>
        <v>64318.857142857145</v>
      </c>
      <c r="HL10" s="27">
        <v>259894.04</v>
      </c>
      <c r="HM10" s="19">
        <f t="shared" si="45"/>
        <v>82882.717142857146</v>
      </c>
      <c r="HN10" s="36">
        <f t="shared" si="46"/>
        <v>0.42157224193605547</v>
      </c>
      <c r="HO10" s="27">
        <v>123324.49695</v>
      </c>
      <c r="HP10" s="27"/>
      <c r="HQ10" s="11">
        <v>253357.88</v>
      </c>
      <c r="HR10" s="898"/>
      <c r="HS10" s="907">
        <f t="shared" si="47"/>
        <v>0</v>
      </c>
      <c r="HT10" s="915">
        <f t="shared" si="48"/>
        <v>2160353.88</v>
      </c>
      <c r="HU10" s="898">
        <f t="shared" ca="1" si="49"/>
        <v>2160353.88</v>
      </c>
      <c r="HV10" s="898"/>
      <c r="HW10" s="898"/>
      <c r="HX10" s="898">
        <f t="shared" si="50"/>
        <v>691584</v>
      </c>
      <c r="HY10" s="908">
        <f t="shared" si="51"/>
        <v>0</v>
      </c>
      <c r="HZ10" s="908"/>
      <c r="IA10" s="29">
        <f>GN10+HI10</f>
        <v>2875778.1088649998</v>
      </c>
      <c r="IB10" s="752"/>
      <c r="IC10" s="73"/>
      <c r="ID10" s="73"/>
      <c r="IE10" s="73"/>
      <c r="IF10" s="73"/>
      <c r="IK10" s="1009">
        <v>2016</v>
      </c>
      <c r="IL10" s="1010">
        <f t="array" ref="IL10">IFERROR(AVERAGE(IF(YEAR(Dde_prêt)=IK10,Délai_prêt)),0)</f>
        <v>0.64166666666666672</v>
      </c>
    </row>
    <row r="11" spans="1:246" ht="20.100000000000001" customHeight="1">
      <c r="A11" s="18" t="s">
        <v>59</v>
      </c>
      <c r="B11" s="298"/>
      <c r="C11" s="8" t="s">
        <v>21</v>
      </c>
      <c r="D11" s="8" t="s">
        <v>92</v>
      </c>
      <c r="E11" s="8">
        <v>2012</v>
      </c>
      <c r="F11" s="8" t="s">
        <v>67</v>
      </c>
      <c r="G11" s="8"/>
      <c r="H11" s="671" t="s">
        <v>147</v>
      </c>
      <c r="I11" s="8" t="s">
        <v>193</v>
      </c>
      <c r="J11" s="39"/>
      <c r="K11" s="39"/>
      <c r="L11" s="199"/>
      <c r="M11" s="122"/>
      <c r="N11" s="122"/>
      <c r="O11" s="122"/>
      <c r="P11" s="161">
        <v>7275</v>
      </c>
      <c r="Q11" s="161">
        <f>R11</f>
        <v>773000</v>
      </c>
      <c r="R11" s="161">
        <v>773000</v>
      </c>
      <c r="S11" s="161">
        <f t="shared" si="55"/>
        <v>9202.3809523809523</v>
      </c>
      <c r="T11" s="161">
        <f t="shared" si="52"/>
        <v>106.25429553264605</v>
      </c>
      <c r="U11" s="161">
        <f t="shared" si="53"/>
        <v>106.25429553264605</v>
      </c>
      <c r="V11" s="161">
        <f t="shared" si="56"/>
        <v>168.94476183815397</v>
      </c>
      <c r="W11" s="161">
        <f t="shared" si="57"/>
        <v>9202.3809523809523</v>
      </c>
      <c r="X11" s="161">
        <f t="shared" si="58"/>
        <v>86.607142857142861</v>
      </c>
      <c r="Y11" s="161"/>
      <c r="Z11" s="733">
        <f t="shared" si="0"/>
        <v>115.4639175257732</v>
      </c>
      <c r="AA11" s="162" t="s">
        <v>152</v>
      </c>
      <c r="AB11" s="164">
        <v>530</v>
      </c>
      <c r="AC11" s="165">
        <v>0.1</v>
      </c>
      <c r="AD11" s="8" t="s">
        <v>9</v>
      </c>
      <c r="AE11" s="674">
        <f t="shared" si="1"/>
        <v>84</v>
      </c>
      <c r="AF11" s="674">
        <f t="shared" si="2"/>
        <v>84</v>
      </c>
      <c r="AG11" s="8">
        <v>84</v>
      </c>
      <c r="AH11" s="9"/>
      <c r="AI11" s="377"/>
      <c r="AJ11" s="377"/>
      <c r="AK11" s="43">
        <v>4463.57</v>
      </c>
      <c r="AL11" s="426">
        <v>4575.46</v>
      </c>
      <c r="AM11" s="875">
        <f t="shared" si="3"/>
        <v>53.137738095238092</v>
      </c>
      <c r="AN11" s="10">
        <f t="shared" si="4"/>
        <v>54.469761904761903</v>
      </c>
      <c r="AO11" s="43">
        <v>7.3159053994896448</v>
      </c>
      <c r="AP11" s="43">
        <v>7.1369995287905477</v>
      </c>
      <c r="AQ11" s="43">
        <v>388.75066504761912</v>
      </c>
      <c r="AR11" s="45"/>
      <c r="AS11" s="45"/>
      <c r="AT11" s="45"/>
      <c r="AU11" s="45"/>
      <c r="AV11" s="45"/>
      <c r="AW11" s="10">
        <v>2038</v>
      </c>
      <c r="AX11" s="82">
        <v>0</v>
      </c>
      <c r="AY11" s="61">
        <f t="shared" si="54"/>
        <v>0</v>
      </c>
      <c r="AZ11" s="43">
        <v>4</v>
      </c>
      <c r="BA11" s="42" t="s">
        <v>439</v>
      </c>
      <c r="BB11" s="10" t="s">
        <v>100</v>
      </c>
      <c r="BC11" s="43"/>
      <c r="BD11" s="43"/>
      <c r="BE11" s="43"/>
      <c r="BF11" s="43"/>
      <c r="BG11" s="39"/>
      <c r="BH11" s="143">
        <v>40963</v>
      </c>
      <c r="BI11" s="159">
        <v>41144</v>
      </c>
      <c r="BJ11" s="75">
        <v>42481</v>
      </c>
      <c r="BK11" s="867"/>
      <c r="BL11" s="766"/>
      <c r="BM11" s="785">
        <v>41285</v>
      </c>
      <c r="BN11" s="820"/>
      <c r="BO11" s="950"/>
      <c r="BP11" s="125">
        <f>DATE(YEAR(BM11),MONTH(BM11)+3,DAY(BM11))</f>
        <v>41375</v>
      </c>
      <c r="BQ11" s="78"/>
      <c r="BR11" s="224">
        <v>41395</v>
      </c>
      <c r="BS11" s="224">
        <f t="shared" si="5"/>
        <v>42125</v>
      </c>
      <c r="BT11" s="605">
        <f>65495+213929</f>
        <v>279424</v>
      </c>
      <c r="BU11" s="224" t="str">
        <f t="shared" si="6"/>
        <v>non</v>
      </c>
      <c r="BV11" s="784">
        <f t="shared" ref="BV11:BV35" si="59">(BS11-FA11)/30</f>
        <v>5.666666666666667</v>
      </c>
      <c r="BW11" s="605">
        <f t="shared" ref="BW11:BW35" si="60">IF((BV11*FD11)&lt;0,"0",BV11*FD11)</f>
        <v>190638.31125577335</v>
      </c>
      <c r="BX11" s="605">
        <f t="shared" si="8"/>
        <v>88785.688744226645</v>
      </c>
      <c r="BY11" s="700"/>
      <c r="BZ11" s="767"/>
      <c r="CA11" s="700"/>
      <c r="CB11" s="700"/>
      <c r="CC11" s="700"/>
      <c r="CD11" s="701"/>
      <c r="CE11" s="701"/>
      <c r="CF11" s="701"/>
      <c r="CG11" s="701"/>
      <c r="CH11" s="701"/>
      <c r="CI11" s="701"/>
      <c r="CJ11" s="701"/>
      <c r="CK11" s="701"/>
      <c r="CL11" s="701"/>
      <c r="CM11" s="701"/>
      <c r="CN11" s="701"/>
      <c r="CO11" s="701"/>
      <c r="CP11" s="701"/>
      <c r="CQ11" s="95"/>
      <c r="CR11" s="95"/>
      <c r="CS11" s="95"/>
      <c r="CT11" s="475" t="str">
        <f t="shared" si="9"/>
        <v>0</v>
      </c>
      <c r="CU11" s="95"/>
      <c r="CV11" s="95"/>
      <c r="CW11" s="475" t="str">
        <f t="shared" si="10"/>
        <v>0</v>
      </c>
      <c r="CX11" s="95"/>
      <c r="CY11" s="95"/>
      <c r="CZ11" s="475" t="str">
        <f t="shared" si="11"/>
        <v>0</v>
      </c>
      <c r="DA11" s="95"/>
      <c r="DB11" s="95"/>
      <c r="DC11" s="475" t="str">
        <f t="shared" si="12"/>
        <v>0</v>
      </c>
      <c r="DD11" s="97"/>
      <c r="DE11" s="514"/>
      <c r="DF11" s="475" t="str">
        <f t="shared" si="13"/>
        <v>0</v>
      </c>
      <c r="DG11" s="440"/>
      <c r="DH11" s="178"/>
      <c r="DI11" s="95"/>
      <c r="DJ11" s="178"/>
      <c r="DK11" s="475" t="str">
        <f t="shared" si="14"/>
        <v>0</v>
      </c>
      <c r="DL11" s="95"/>
      <c r="DM11" s="331">
        <v>41295</v>
      </c>
      <c r="DN11" s="323">
        <v>2013</v>
      </c>
      <c r="DO11" s="433">
        <f t="shared" si="15"/>
        <v>5.0333333333333332</v>
      </c>
      <c r="DP11" s="475" t="str">
        <f t="shared" si="16"/>
        <v>0</v>
      </c>
      <c r="DQ11" s="90">
        <v>19</v>
      </c>
      <c r="DR11" s="90">
        <f t="shared" si="17"/>
        <v>20</v>
      </c>
      <c r="DS11" s="237"/>
      <c r="DT11" s="236"/>
      <c r="DU11" s="616" t="str">
        <f t="shared" si="18"/>
        <v>0</v>
      </c>
      <c r="DV11" s="633"/>
      <c r="DW11" s="555"/>
      <c r="DX11" s="556" t="str">
        <f t="shared" si="19"/>
        <v>0</v>
      </c>
      <c r="DY11" s="198"/>
      <c r="DZ11" s="237"/>
      <c r="EA11" s="616" t="str">
        <f t="shared" si="20"/>
        <v>0</v>
      </c>
      <c r="EB11" s="237"/>
      <c r="EC11" s="237"/>
      <c r="ED11" s="616" t="str">
        <f t="shared" si="21"/>
        <v>0</v>
      </c>
      <c r="EE11" s="237"/>
      <c r="EF11" s="237"/>
      <c r="EG11" s="616" t="str">
        <f t="shared" si="22"/>
        <v>0</v>
      </c>
      <c r="EH11" s="237"/>
      <c r="EI11" s="237"/>
      <c r="EJ11" s="616" t="str">
        <f t="shared" si="23"/>
        <v>0</v>
      </c>
      <c r="EK11" s="237"/>
      <c r="EL11" s="237"/>
      <c r="EM11" s="616" t="str">
        <f t="shared" si="24"/>
        <v>0</v>
      </c>
      <c r="EN11" s="237"/>
      <c r="EO11" s="237"/>
      <c r="EP11" s="237"/>
      <c r="EQ11" s="441">
        <f t="shared" si="25"/>
        <v>41872</v>
      </c>
      <c r="ER11" s="331">
        <v>41927</v>
      </c>
      <c r="ES11" s="642">
        <f t="shared" si="26"/>
        <v>1.8333333333333333</v>
      </c>
      <c r="ET11" s="929"/>
      <c r="EU11" s="441"/>
      <c r="EV11" s="89">
        <v>41935</v>
      </c>
      <c r="EW11" s="89" t="s">
        <v>107</v>
      </c>
      <c r="EX11" s="98">
        <v>41955</v>
      </c>
      <c r="EY11" s="441"/>
      <c r="EZ11" s="746">
        <f t="shared" si="27"/>
        <v>41903</v>
      </c>
      <c r="FA11" s="333">
        <v>41955</v>
      </c>
      <c r="FB11" s="530">
        <v>2014</v>
      </c>
      <c r="FC11" s="637">
        <f t="shared" si="28"/>
        <v>1.7333333333333334</v>
      </c>
      <c r="FD11" s="629">
        <f>403704.659129873/12</f>
        <v>33642.054927489415</v>
      </c>
      <c r="FE11" s="178">
        <f t="shared" si="29"/>
        <v>58312.895207648318</v>
      </c>
      <c r="FF11" s="89"/>
      <c r="FG11" s="498"/>
      <c r="FH11" s="624">
        <f t="shared" si="30"/>
        <v>0</v>
      </c>
      <c r="FI11" s="502"/>
      <c r="FJ11" s="502"/>
      <c r="FK11" s="502"/>
      <c r="FL11" s="664">
        <f t="shared" si="31"/>
        <v>0</v>
      </c>
      <c r="FM11" s="499"/>
      <c r="FN11" s="511"/>
      <c r="FO11" s="499"/>
      <c r="FP11" s="499"/>
      <c r="FQ11" s="95"/>
      <c r="FR11" s="95"/>
      <c r="FS11" s="95"/>
      <c r="FT11" s="95"/>
      <c r="FU11" s="94"/>
      <c r="FV11" s="150">
        <v>42250</v>
      </c>
      <c r="FW11" s="237">
        <f t="shared" si="32"/>
        <v>42292</v>
      </c>
      <c r="FX11" s="612">
        <v>90420</v>
      </c>
      <c r="FY11" s="150">
        <v>41968</v>
      </c>
      <c r="FZ11" s="95">
        <v>41969</v>
      </c>
      <c r="GA11" s="95"/>
      <c r="GB11" s="95" t="s">
        <v>107</v>
      </c>
      <c r="GC11" s="95">
        <v>42306</v>
      </c>
      <c r="GD11" s="95"/>
      <c r="GE11" s="94"/>
      <c r="GF11" s="87">
        <v>42475</v>
      </c>
      <c r="GG11" s="87"/>
      <c r="GH11" s="87"/>
      <c r="GI11" s="87"/>
      <c r="GJ11" s="95">
        <v>42219</v>
      </c>
      <c r="GK11" s="95"/>
      <c r="GL11" s="743"/>
      <c r="GM11" s="979">
        <f t="shared" si="33"/>
        <v>9756378.3699999992</v>
      </c>
      <c r="GN11" s="772">
        <f t="shared" si="34"/>
        <v>9756378.3699999992</v>
      </c>
      <c r="GO11" s="683">
        <f t="shared" si="35"/>
        <v>9756378.3699999992</v>
      </c>
      <c r="GP11" s="909">
        <f t="shared" si="36"/>
        <v>63129</v>
      </c>
      <c r="GQ11" s="35">
        <f t="shared" si="37"/>
        <v>2132.327322280164</v>
      </c>
      <c r="GR11" s="35">
        <f t="shared" si="38"/>
        <v>116147.36154761903</v>
      </c>
      <c r="GS11" s="11">
        <v>3263643</v>
      </c>
      <c r="GT11" s="577"/>
      <c r="GU11" s="19">
        <f t="shared" si="39"/>
        <v>38852.892857142855</v>
      </c>
      <c r="GV11" s="11">
        <f t="shared" si="40"/>
        <v>6429606.3699999992</v>
      </c>
      <c r="GW11" s="12">
        <v>1639468.02</v>
      </c>
      <c r="GX11" s="12">
        <v>4790138.3499999996</v>
      </c>
      <c r="GY11" s="567">
        <f t="shared" si="41"/>
        <v>76542.932976190466</v>
      </c>
      <c r="GZ11" s="11">
        <v>0</v>
      </c>
      <c r="HA11" s="14">
        <v>1</v>
      </c>
      <c r="HB11" s="52"/>
      <c r="HC11" s="28">
        <f t="shared" si="42"/>
        <v>1.0249704983510188E-7</v>
      </c>
      <c r="HD11" s="53"/>
      <c r="HE11" s="53"/>
      <c r="HF11" s="11">
        <v>63128</v>
      </c>
      <c r="HG11" s="35">
        <f t="shared" si="43"/>
        <v>1.1904761904761904E-2</v>
      </c>
      <c r="HH11" s="35">
        <f t="shared" si="44"/>
        <v>38852.904761904763</v>
      </c>
      <c r="HI11" s="27">
        <v>0</v>
      </c>
      <c r="HJ11" s="27">
        <v>0</v>
      </c>
      <c r="HK11" s="19" t="e">
        <f>(#REF!+#REF!+HJ11)/AE11</f>
        <v>#REF!</v>
      </c>
      <c r="HL11" s="27">
        <v>0</v>
      </c>
      <c r="HM11" s="19">
        <f t="shared" si="45"/>
        <v>38852.904761904763</v>
      </c>
      <c r="HN11" s="36">
        <f t="shared" si="46"/>
        <v>0.33451388171203122</v>
      </c>
      <c r="HO11" s="27"/>
      <c r="HP11" s="27"/>
      <c r="HQ11" s="11">
        <v>0</v>
      </c>
      <c r="HR11" s="898"/>
      <c r="HS11" s="907">
        <f t="shared" si="47"/>
        <v>0</v>
      </c>
      <c r="HT11" s="915">
        <f t="shared" si="48"/>
        <v>9756378.3699999992</v>
      </c>
      <c r="HU11" s="898">
        <f t="shared" ca="1" si="49"/>
        <v>9756378.3699999992</v>
      </c>
      <c r="HV11" s="898"/>
      <c r="HW11" s="898"/>
      <c r="HX11" s="898">
        <f t="shared" si="50"/>
        <v>63129</v>
      </c>
      <c r="HY11" s="908">
        <f t="shared" si="51"/>
        <v>0</v>
      </c>
      <c r="HZ11" s="908"/>
      <c r="IA11" s="29" t="e">
        <f>#REF!+HI11</f>
        <v>#REF!</v>
      </c>
      <c r="IB11" s="752"/>
      <c r="IC11" s="73"/>
      <c r="ID11" s="73"/>
      <c r="IE11" s="73"/>
      <c r="IF11" s="73"/>
      <c r="IK11" s="1009">
        <v>2017</v>
      </c>
      <c r="IL11" s="1010">
        <f t="array" ref="IL11">IFERROR(AVERAGE(IF(YEAR(Dde_prêt)=IK11,Délai_prêt)),0)</f>
        <v>1.2761904761904759</v>
      </c>
    </row>
    <row r="12" spans="1:246" ht="20.100000000000001" customHeight="1">
      <c r="A12" s="18" t="s">
        <v>61</v>
      </c>
      <c r="B12" s="297"/>
      <c r="C12" s="8" t="s">
        <v>20</v>
      </c>
      <c r="D12" s="8" t="s">
        <v>93</v>
      </c>
      <c r="E12" s="8">
        <v>2012</v>
      </c>
      <c r="F12" s="8" t="s">
        <v>72</v>
      </c>
      <c r="G12" s="8"/>
      <c r="H12" s="671" t="s">
        <v>510</v>
      </c>
      <c r="I12" s="8" t="s">
        <v>193</v>
      </c>
      <c r="J12" s="39"/>
      <c r="K12" s="39"/>
      <c r="L12" s="374" t="s">
        <v>501</v>
      </c>
      <c r="M12" s="122"/>
      <c r="N12" s="122"/>
      <c r="O12" s="122"/>
      <c r="P12" s="161">
        <v>6156.15</v>
      </c>
      <c r="Q12" s="161">
        <v>164070</v>
      </c>
      <c r="R12" s="161">
        <v>163875</v>
      </c>
      <c r="S12" s="161">
        <f t="shared" si="55"/>
        <v>7457.727272727273</v>
      </c>
      <c r="T12" s="161">
        <f t="shared" si="52"/>
        <v>26.651397383104701</v>
      </c>
      <c r="U12" s="161">
        <f t="shared" si="53"/>
        <v>26.619721741672961</v>
      </c>
      <c r="V12" s="161">
        <f t="shared" si="56"/>
        <v>97.053597867930122</v>
      </c>
      <c r="W12" s="161">
        <f t="shared" si="57"/>
        <v>7448.863636363636</v>
      </c>
      <c r="X12" s="161">
        <f t="shared" si="58"/>
        <v>279.82499999999999</v>
      </c>
      <c r="Y12" s="162"/>
      <c r="Z12" s="733">
        <f t="shared" si="0"/>
        <v>35.736621102474764</v>
      </c>
      <c r="AA12" s="162" t="s">
        <v>157</v>
      </c>
      <c r="AB12" s="164">
        <v>890</v>
      </c>
      <c r="AC12" s="165"/>
      <c r="AD12" s="8" t="s">
        <v>10</v>
      </c>
      <c r="AE12" s="674">
        <f t="shared" si="1"/>
        <v>22</v>
      </c>
      <c r="AF12" s="674">
        <f t="shared" si="2"/>
        <v>22</v>
      </c>
      <c r="AG12" s="9"/>
      <c r="AH12" s="8">
        <v>22</v>
      </c>
      <c r="AI12" s="377"/>
      <c r="AJ12" s="377"/>
      <c r="AK12" s="43">
        <v>1688.5</v>
      </c>
      <c r="AL12" s="426">
        <v>1688.5</v>
      </c>
      <c r="AM12" s="875">
        <f t="shared" si="3"/>
        <v>76.75</v>
      </c>
      <c r="AN12" s="10">
        <f t="shared" si="4"/>
        <v>76.75</v>
      </c>
      <c r="AO12" s="43">
        <v>5.1100000000000003</v>
      </c>
      <c r="AP12" s="43">
        <v>5.1100000000000003</v>
      </c>
      <c r="AQ12" s="43">
        <v>392.07</v>
      </c>
      <c r="AR12" s="61">
        <v>0</v>
      </c>
      <c r="AS12" s="61">
        <f>4/AE12</f>
        <v>0.18181818181818182</v>
      </c>
      <c r="AT12" s="61">
        <f>8/AE12</f>
        <v>0.36363636363636365</v>
      </c>
      <c r="AU12" s="61">
        <f>6/AE12</f>
        <v>0.27272727272727271</v>
      </c>
      <c r="AV12" s="61">
        <f>4/AE12</f>
        <v>0.18181818181818182</v>
      </c>
      <c r="AW12" s="10">
        <f>96.15+803.85+941.6</f>
        <v>1841.6</v>
      </c>
      <c r="AX12" s="59"/>
      <c r="AY12" s="61">
        <f t="shared" si="54"/>
        <v>0</v>
      </c>
      <c r="AZ12" s="43">
        <v>1.5</v>
      </c>
      <c r="BA12" s="45" t="s">
        <v>438</v>
      </c>
      <c r="BB12" s="10" t="s">
        <v>101</v>
      </c>
      <c r="BC12" s="43"/>
      <c r="BD12" s="43"/>
      <c r="BE12" s="43"/>
      <c r="BF12" s="43"/>
      <c r="BG12" s="39"/>
      <c r="BH12" s="143">
        <v>40963</v>
      </c>
      <c r="BI12" s="159">
        <v>41177</v>
      </c>
      <c r="BJ12" s="75"/>
      <c r="BK12" s="867"/>
      <c r="BL12" s="766"/>
      <c r="BM12" s="785">
        <v>41256</v>
      </c>
      <c r="BN12" s="950"/>
      <c r="BO12" s="950"/>
      <c r="BP12" s="125">
        <f>DATE(YEAR(BM12),MONTH(BM12)+3,DAY(BM12))</f>
        <v>41346</v>
      </c>
      <c r="BQ12" s="78"/>
      <c r="BR12" s="224">
        <v>41365</v>
      </c>
      <c r="BS12" s="224">
        <f t="shared" si="5"/>
        <v>42095</v>
      </c>
      <c r="BT12" s="605">
        <v>37724</v>
      </c>
      <c r="BU12" s="224" t="str">
        <f>IF(FA12&gt;BS10,"oui","non")</f>
        <v>oui</v>
      </c>
      <c r="BV12" s="784">
        <f t="shared" si="59"/>
        <v>-10.466666666666667</v>
      </c>
      <c r="BW12" s="605" t="str">
        <f t="shared" si="60"/>
        <v>0</v>
      </c>
      <c r="BX12" s="605">
        <f t="shared" si="8"/>
        <v>37724</v>
      </c>
      <c r="BY12" s="700"/>
      <c r="BZ12" s="767"/>
      <c r="CA12" s="700"/>
      <c r="CB12" s="700"/>
      <c r="CC12" s="700"/>
      <c r="CD12" s="701"/>
      <c r="CE12" s="701"/>
      <c r="CF12" s="701"/>
      <c r="CG12" s="701"/>
      <c r="CH12" s="701"/>
      <c r="CI12" s="701"/>
      <c r="CJ12" s="701"/>
      <c r="CK12" s="701"/>
      <c r="CL12" s="701"/>
      <c r="CM12" s="701"/>
      <c r="CN12" s="701"/>
      <c r="CO12" s="701"/>
      <c r="CP12" s="701"/>
      <c r="CQ12" s="95"/>
      <c r="CR12" s="95"/>
      <c r="CS12" s="95"/>
      <c r="CT12" s="475" t="str">
        <f t="shared" si="9"/>
        <v>0</v>
      </c>
      <c r="CU12" s="95"/>
      <c r="CV12" s="95"/>
      <c r="CW12" s="475" t="str">
        <f t="shared" si="10"/>
        <v>0</v>
      </c>
      <c r="CX12" s="95"/>
      <c r="CY12" s="95"/>
      <c r="CZ12" s="475" t="str">
        <f t="shared" si="11"/>
        <v>0</v>
      </c>
      <c r="DA12" s="95"/>
      <c r="DB12" s="95"/>
      <c r="DC12" s="475" t="str">
        <f t="shared" si="12"/>
        <v>0</v>
      </c>
      <c r="DD12" s="97"/>
      <c r="DE12" s="514"/>
      <c r="DF12" s="475" t="str">
        <f t="shared" si="13"/>
        <v>0</v>
      </c>
      <c r="DG12" s="440"/>
      <c r="DH12" s="178"/>
      <c r="DI12" s="95"/>
      <c r="DJ12" s="178"/>
      <c r="DK12" s="475" t="str">
        <f t="shared" si="14"/>
        <v>0</v>
      </c>
      <c r="DL12" s="95"/>
      <c r="DM12" s="329">
        <v>41295</v>
      </c>
      <c r="DN12" s="323">
        <v>2013</v>
      </c>
      <c r="DO12" s="433">
        <f t="shared" si="15"/>
        <v>3.9333333333333331</v>
      </c>
      <c r="DP12" s="475" t="str">
        <f t="shared" si="16"/>
        <v>0</v>
      </c>
      <c r="DQ12" s="187">
        <v>14</v>
      </c>
      <c r="DR12" s="90">
        <f t="shared" si="17"/>
        <v>33</v>
      </c>
      <c r="DS12" s="237"/>
      <c r="DT12" s="236"/>
      <c r="DU12" s="616" t="str">
        <f t="shared" si="18"/>
        <v>0</v>
      </c>
      <c r="DV12" s="633"/>
      <c r="DW12" s="555"/>
      <c r="DX12" s="556" t="str">
        <f t="shared" si="19"/>
        <v>0</v>
      </c>
      <c r="DY12" s="198"/>
      <c r="DZ12" s="237"/>
      <c r="EA12" s="616" t="str">
        <f t="shared" si="20"/>
        <v>0</v>
      </c>
      <c r="EB12" s="236"/>
      <c r="EC12" s="237"/>
      <c r="ED12" s="616" t="str">
        <f t="shared" si="21"/>
        <v>0</v>
      </c>
      <c r="EE12" s="297"/>
      <c r="EF12" s="297"/>
      <c r="EG12" s="616" t="str">
        <f t="shared" si="22"/>
        <v>0</v>
      </c>
      <c r="EH12" s="297"/>
      <c r="EI12" s="298"/>
      <c r="EJ12" s="616" t="str">
        <f t="shared" si="23"/>
        <v>0</v>
      </c>
      <c r="EK12" s="237"/>
      <c r="EL12" s="237"/>
      <c r="EM12" s="616" t="str">
        <f t="shared" si="24"/>
        <v>0</v>
      </c>
      <c r="EN12" s="298"/>
      <c r="EO12" s="298"/>
      <c r="EP12" s="298"/>
      <c r="EQ12" s="441">
        <f t="shared" si="25"/>
        <v>41719</v>
      </c>
      <c r="ER12" s="331">
        <v>42326</v>
      </c>
      <c r="ES12" s="642">
        <f t="shared" si="26"/>
        <v>20.233333333333334</v>
      </c>
      <c r="ET12" s="929"/>
      <c r="EU12" s="441"/>
      <c r="EV12" s="89">
        <v>42338</v>
      </c>
      <c r="EW12" s="89" t="s">
        <v>107</v>
      </c>
      <c r="EX12" s="98" t="s">
        <v>107</v>
      </c>
      <c r="EY12" s="441"/>
      <c r="EZ12" s="746">
        <f t="shared" si="27"/>
        <v>41750</v>
      </c>
      <c r="FA12" s="331">
        <v>42409</v>
      </c>
      <c r="FB12" s="325">
        <v>2016</v>
      </c>
      <c r="FC12" s="639">
        <f t="shared" si="28"/>
        <v>21.966666666666665</v>
      </c>
      <c r="FD12" s="629">
        <f>106635.529075152/12</f>
        <v>8886.294089596</v>
      </c>
      <c r="FE12" s="236">
        <f t="shared" si="29"/>
        <v>195202.26016812545</v>
      </c>
      <c r="FF12" s="89"/>
      <c r="FG12" s="498"/>
      <c r="FH12" s="624">
        <v>350449.67</v>
      </c>
      <c r="FI12" s="502">
        <v>125069</v>
      </c>
      <c r="FJ12" s="502"/>
      <c r="FK12" s="502"/>
      <c r="FL12" s="664">
        <f t="shared" si="31"/>
        <v>0</v>
      </c>
      <c r="FM12" s="499"/>
      <c r="FN12" s="511" t="s">
        <v>604</v>
      </c>
      <c r="FO12" s="499"/>
      <c r="FP12" s="499"/>
      <c r="FQ12" s="156">
        <v>42321</v>
      </c>
      <c r="FR12" s="156"/>
      <c r="FS12" s="156" t="s">
        <v>418</v>
      </c>
      <c r="FT12" s="156">
        <v>42348</v>
      </c>
      <c r="FU12" s="156">
        <v>42430</v>
      </c>
      <c r="FV12" s="156">
        <v>42869</v>
      </c>
      <c r="FW12" s="156">
        <f t="shared" si="32"/>
        <v>42692</v>
      </c>
      <c r="FX12" s="611">
        <v>56767</v>
      </c>
      <c r="FY12" s="95">
        <v>42530</v>
      </c>
      <c r="FZ12" s="95">
        <v>42531</v>
      </c>
      <c r="GA12" s="95"/>
      <c r="GB12" s="95" t="s">
        <v>107</v>
      </c>
      <c r="GC12" s="95">
        <v>42884</v>
      </c>
      <c r="GD12" s="95"/>
      <c r="GE12" s="94"/>
      <c r="GF12" s="295"/>
      <c r="GG12" s="531" t="s">
        <v>420</v>
      </c>
      <c r="GH12" s="180">
        <v>42808</v>
      </c>
      <c r="GI12" s="180" t="s">
        <v>107</v>
      </c>
      <c r="GJ12" s="180">
        <v>42947</v>
      </c>
      <c r="GK12" s="94"/>
      <c r="GL12" s="552">
        <v>3365389</v>
      </c>
      <c r="GM12" s="979">
        <f t="shared" si="33"/>
        <v>3789161</v>
      </c>
      <c r="GN12" s="772">
        <f t="shared" si="34"/>
        <v>3789161</v>
      </c>
      <c r="GO12" s="683">
        <f t="shared" si="35"/>
        <v>3789161</v>
      </c>
      <c r="GP12" s="909">
        <f t="shared" si="36"/>
        <v>668000</v>
      </c>
      <c r="GQ12" s="35">
        <f t="shared" si="37"/>
        <v>2244.0989043529762</v>
      </c>
      <c r="GR12" s="35">
        <f t="shared" si="38"/>
        <v>172234.59090909091</v>
      </c>
      <c r="GS12" s="11">
        <v>929819</v>
      </c>
      <c r="GT12" s="577"/>
      <c r="GU12" s="19">
        <f t="shared" si="39"/>
        <v>42264.5</v>
      </c>
      <c r="GV12" s="11">
        <f t="shared" si="40"/>
        <v>1895079</v>
      </c>
      <c r="GW12" s="12">
        <v>328778</v>
      </c>
      <c r="GX12" s="12">
        <v>1566301</v>
      </c>
      <c r="GY12" s="567">
        <f t="shared" si="41"/>
        <v>86139.954545454544</v>
      </c>
      <c r="GZ12" s="11">
        <v>0</v>
      </c>
      <c r="HA12" s="14">
        <v>558000</v>
      </c>
      <c r="HB12" s="52">
        <v>110000</v>
      </c>
      <c r="HC12" s="28">
        <f t="shared" si="42"/>
        <v>0.14726215117277941</v>
      </c>
      <c r="HD12" s="862"/>
      <c r="HE12" s="862"/>
      <c r="HF12" s="14">
        <v>0</v>
      </c>
      <c r="HG12" s="35">
        <f t="shared" si="43"/>
        <v>25363.636363636364</v>
      </c>
      <c r="HH12" s="35">
        <f t="shared" si="44"/>
        <v>67628.136363636368</v>
      </c>
      <c r="HI12" s="27">
        <v>1214321.7850000001</v>
      </c>
      <c r="HJ12" s="27">
        <v>440000</v>
      </c>
      <c r="HK12" s="19" t="e">
        <f>(#REF!+#REF!+HJ12)/AE12</f>
        <v>#REF!</v>
      </c>
      <c r="HL12" s="27">
        <v>91493</v>
      </c>
      <c r="HM12" s="19">
        <f t="shared" si="45"/>
        <v>91786.909090909088</v>
      </c>
      <c r="HN12" s="36">
        <f t="shared" si="46"/>
        <v>0.41754394468820605</v>
      </c>
      <c r="HO12" s="27">
        <v>167316.375</v>
      </c>
      <c r="HP12" s="773"/>
      <c r="HQ12" s="11">
        <v>406263</v>
      </c>
      <c r="HR12" s="898"/>
      <c r="HS12" s="907">
        <f t="shared" si="47"/>
        <v>0</v>
      </c>
      <c r="HT12" s="915">
        <f t="shared" si="48"/>
        <v>3789161</v>
      </c>
      <c r="HU12" s="898">
        <f t="shared" ca="1" si="49"/>
        <v>3789161</v>
      </c>
      <c r="HV12" s="898"/>
      <c r="HW12" s="898"/>
      <c r="HX12" s="898">
        <f t="shared" si="50"/>
        <v>668000</v>
      </c>
      <c r="HY12" s="908">
        <f t="shared" si="51"/>
        <v>0</v>
      </c>
      <c r="HZ12" s="908"/>
      <c r="IA12" s="29" t="e">
        <f>#REF!+HI12</f>
        <v>#REF!</v>
      </c>
      <c r="IB12" s="752"/>
      <c r="IC12" s="73"/>
      <c r="ID12" s="73"/>
      <c r="IE12" s="73"/>
      <c r="IF12" s="73"/>
      <c r="IK12" s="1011">
        <v>2018</v>
      </c>
      <c r="IL12" s="1012">
        <f t="array" ref="IL12">IFERROR(AVERAGE(IF(YEAR(Dde_prêt)=IK12,Délai_prêt)),0)</f>
        <v>3.9727272727272731</v>
      </c>
    </row>
    <row r="13" spans="1:246" ht="20.100000000000001" customHeight="1">
      <c r="A13" s="18" t="s">
        <v>57</v>
      </c>
      <c r="B13" s="40"/>
      <c r="C13" s="8" t="s">
        <v>25</v>
      </c>
      <c r="D13" s="8" t="s">
        <v>94</v>
      </c>
      <c r="E13" s="8">
        <v>2012</v>
      </c>
      <c r="F13" s="8" t="s">
        <v>63</v>
      </c>
      <c r="G13" s="8" t="s">
        <v>16</v>
      </c>
      <c r="H13" s="671"/>
      <c r="I13" s="8" t="s">
        <v>193</v>
      </c>
      <c r="J13" s="39" t="s">
        <v>100</v>
      </c>
      <c r="K13" s="39"/>
      <c r="L13" s="199"/>
      <c r="M13" s="122"/>
      <c r="N13" s="122"/>
      <c r="O13" s="122"/>
      <c r="P13" s="161">
        <v>2671</v>
      </c>
      <c r="Q13" s="161">
        <v>176000</v>
      </c>
      <c r="R13" s="161">
        <v>110833</v>
      </c>
      <c r="S13" s="161">
        <f t="shared" si="55"/>
        <v>12571.428571428571</v>
      </c>
      <c r="T13" s="161">
        <f t="shared" si="52"/>
        <v>65.89292399850244</v>
      </c>
      <c r="U13" s="161">
        <f t="shared" si="53"/>
        <v>41.494945713216026</v>
      </c>
      <c r="V13" s="161">
        <f t="shared" si="56"/>
        <v>100.10205924855489</v>
      </c>
      <c r="W13" s="161">
        <f t="shared" si="57"/>
        <v>7916.6428571428569</v>
      </c>
      <c r="X13" s="161">
        <f t="shared" si="58"/>
        <v>190.78571428571428</v>
      </c>
      <c r="Y13" s="162">
        <v>748.11</v>
      </c>
      <c r="Z13" s="733">
        <f t="shared" si="0"/>
        <v>52.414825907899662</v>
      </c>
      <c r="AA13" s="162" t="s">
        <v>169</v>
      </c>
      <c r="AB13" s="164"/>
      <c r="AC13" s="164"/>
      <c r="AD13" s="8" t="s">
        <v>10</v>
      </c>
      <c r="AE13" s="674">
        <f t="shared" si="1"/>
        <v>14</v>
      </c>
      <c r="AF13" s="674">
        <f t="shared" si="2"/>
        <v>14</v>
      </c>
      <c r="AG13" s="9"/>
      <c r="AH13" s="8">
        <v>14</v>
      </c>
      <c r="AI13" s="50"/>
      <c r="AJ13" s="50"/>
      <c r="AK13" s="43">
        <v>931.1</v>
      </c>
      <c r="AL13" s="426">
        <v>1107.2000000000003</v>
      </c>
      <c r="AM13" s="875">
        <f t="shared" si="3"/>
        <v>66.507142857142853</v>
      </c>
      <c r="AN13" s="10">
        <f t="shared" si="4"/>
        <v>79.085714285714303</v>
      </c>
      <c r="AO13" s="43">
        <v>6.0229784813661276</v>
      </c>
      <c r="AP13" s="43">
        <v>5.0650246242774566</v>
      </c>
      <c r="AQ13" s="43">
        <v>400.57109028571438</v>
      </c>
      <c r="AR13" s="61">
        <f>3/AE13</f>
        <v>0.21428571428571427</v>
      </c>
      <c r="AS13" s="61">
        <f>3/AE13</f>
        <v>0.21428571428571427</v>
      </c>
      <c r="AT13" s="61">
        <f>6/AE13</f>
        <v>0.42857142857142855</v>
      </c>
      <c r="AU13" s="61">
        <f>1/AE13</f>
        <v>7.1428571428571425E-2</v>
      </c>
      <c r="AV13" s="61">
        <f>1/AE13</f>
        <v>7.1428571428571425E-2</v>
      </c>
      <c r="AW13" s="10">
        <v>1000</v>
      </c>
      <c r="AX13" s="59"/>
      <c r="AY13" s="61">
        <f t="shared" si="54"/>
        <v>0</v>
      </c>
      <c r="AZ13" s="43">
        <v>3</v>
      </c>
      <c r="BA13" s="42" t="s">
        <v>439</v>
      </c>
      <c r="BB13" s="10" t="s">
        <v>101</v>
      </c>
      <c r="BC13" s="43"/>
      <c r="BD13" s="43"/>
      <c r="BE13" s="43"/>
      <c r="BF13" s="43"/>
      <c r="BG13" s="143"/>
      <c r="BH13" s="143">
        <v>40963</v>
      </c>
      <c r="BI13" s="159">
        <v>41170</v>
      </c>
      <c r="BJ13" s="75"/>
      <c r="BK13" s="867"/>
      <c r="BL13" s="766"/>
      <c r="BM13" s="785"/>
      <c r="BN13" s="950"/>
      <c r="BO13" s="950"/>
      <c r="BP13" s="125"/>
      <c r="BQ13" s="78"/>
      <c r="BR13" s="224">
        <v>41365</v>
      </c>
      <c r="BS13" s="224">
        <f t="shared" si="5"/>
        <v>42095</v>
      </c>
      <c r="BT13" s="605"/>
      <c r="BU13" s="224" t="str">
        <f t="shared" ref="BU13:BU35" si="61">IF(FA13&gt;BS13,"oui","non")</f>
        <v>non</v>
      </c>
      <c r="BV13" s="784">
        <f t="shared" si="59"/>
        <v>4.9333333333333336</v>
      </c>
      <c r="BW13" s="605">
        <f t="shared" si="60"/>
        <v>28502.318142881708</v>
      </c>
      <c r="BX13" s="605">
        <f t="shared" si="8"/>
        <v>-28502.318142881708</v>
      </c>
      <c r="BY13" s="700"/>
      <c r="BZ13" s="767"/>
      <c r="CA13" s="700"/>
      <c r="CB13" s="700"/>
      <c r="CC13" s="700"/>
      <c r="CD13" s="830"/>
      <c r="CE13" s="701"/>
      <c r="CF13" s="701"/>
      <c r="CG13" s="701"/>
      <c r="CH13" s="701"/>
      <c r="CI13" s="701"/>
      <c r="CJ13" s="701"/>
      <c r="CK13" s="830"/>
      <c r="CL13" s="830"/>
      <c r="CM13" s="701"/>
      <c r="CN13" s="701"/>
      <c r="CO13" s="701"/>
      <c r="CP13" s="701"/>
      <c r="CQ13" s="95"/>
      <c r="CR13" s="88"/>
      <c r="CS13" s="88"/>
      <c r="CT13" s="475" t="str">
        <f t="shared" si="9"/>
        <v>0</v>
      </c>
      <c r="CU13" s="95"/>
      <c r="CV13" s="95"/>
      <c r="CW13" s="475" t="str">
        <f t="shared" si="10"/>
        <v>0</v>
      </c>
      <c r="CX13" s="97"/>
      <c r="CY13" s="95"/>
      <c r="CZ13" s="475" t="str">
        <f t="shared" si="11"/>
        <v>0</v>
      </c>
      <c r="DA13" s="97"/>
      <c r="DB13" s="95"/>
      <c r="DC13" s="475" t="str">
        <f t="shared" si="12"/>
        <v>0</v>
      </c>
      <c r="DD13" s="97"/>
      <c r="DE13" s="514"/>
      <c r="DF13" s="475" t="str">
        <f t="shared" si="13"/>
        <v>0</v>
      </c>
      <c r="DG13" s="440"/>
      <c r="DH13" s="178"/>
      <c r="DI13" s="95"/>
      <c r="DJ13" s="178"/>
      <c r="DK13" s="475" t="str">
        <f t="shared" si="14"/>
        <v>0</v>
      </c>
      <c r="DL13" s="95"/>
      <c r="DM13" s="331">
        <v>41309</v>
      </c>
      <c r="DN13" s="323">
        <v>2013</v>
      </c>
      <c r="DO13" s="433">
        <f t="shared" si="15"/>
        <v>4.6333333333333337</v>
      </c>
      <c r="DP13" s="475" t="str">
        <f t="shared" si="16"/>
        <v>0</v>
      </c>
      <c r="DQ13" s="90">
        <v>13</v>
      </c>
      <c r="DR13" s="90">
        <f t="shared" si="17"/>
        <v>20</v>
      </c>
      <c r="DS13" s="237"/>
      <c r="DT13" s="236"/>
      <c r="DU13" s="616" t="str">
        <f t="shared" si="18"/>
        <v>0</v>
      </c>
      <c r="DV13" s="633"/>
      <c r="DW13" s="555"/>
      <c r="DX13" s="556" t="str">
        <f t="shared" si="19"/>
        <v>0</v>
      </c>
      <c r="DY13" s="198"/>
      <c r="DZ13" s="237"/>
      <c r="EA13" s="616" t="str">
        <f t="shared" si="20"/>
        <v>0</v>
      </c>
      <c r="EB13" s="236"/>
      <c r="EC13" s="237"/>
      <c r="ED13" s="616" t="str">
        <f t="shared" si="21"/>
        <v>0</v>
      </c>
      <c r="EE13" s="297"/>
      <c r="EF13" s="297"/>
      <c r="EG13" s="616" t="str">
        <f t="shared" si="22"/>
        <v>0</v>
      </c>
      <c r="EH13" s="297"/>
      <c r="EI13" s="298"/>
      <c r="EJ13" s="616" t="str">
        <f t="shared" si="23"/>
        <v>0</v>
      </c>
      <c r="EK13" s="298"/>
      <c r="EL13" s="298"/>
      <c r="EM13" s="616" t="str">
        <f t="shared" si="24"/>
        <v>0</v>
      </c>
      <c r="EN13" s="298"/>
      <c r="EO13" s="298"/>
      <c r="EP13" s="298"/>
      <c r="EQ13" s="441">
        <f t="shared" si="25"/>
        <v>41702</v>
      </c>
      <c r="ER13" s="331">
        <v>41943</v>
      </c>
      <c r="ES13" s="642">
        <f t="shared" si="26"/>
        <v>8.0333333333333332</v>
      </c>
      <c r="ET13" s="929"/>
      <c r="EU13" s="441"/>
      <c r="EV13" s="89">
        <v>41983</v>
      </c>
      <c r="EW13" s="89" t="s">
        <v>107</v>
      </c>
      <c r="EX13" s="89">
        <v>41949</v>
      </c>
      <c r="EY13" s="441"/>
      <c r="EZ13" s="746">
        <f t="shared" si="27"/>
        <v>41733</v>
      </c>
      <c r="FA13" s="331">
        <v>41947</v>
      </c>
      <c r="FB13" s="530">
        <v>2014</v>
      </c>
      <c r="FC13" s="639">
        <f t="shared" si="28"/>
        <v>7.1333333333333337</v>
      </c>
      <c r="FD13" s="629">
        <f>69329.9630502528/12</f>
        <v>5777.4969208543998</v>
      </c>
      <c r="FE13" s="178">
        <f t="shared" si="29"/>
        <v>41212.811368761388</v>
      </c>
      <c r="FF13" s="89"/>
      <c r="FG13" s="498"/>
      <c r="FH13" s="624">
        <f t="shared" ref="FH13:FH22" si="62">HQ13</f>
        <v>123760</v>
      </c>
      <c r="FI13" s="502"/>
      <c r="FJ13" s="502"/>
      <c r="FK13" s="502"/>
      <c r="FL13" s="664">
        <f t="shared" si="31"/>
        <v>0</v>
      </c>
      <c r="FM13" s="499"/>
      <c r="FN13" s="511" t="s">
        <v>595</v>
      </c>
      <c r="FO13" s="499"/>
      <c r="FP13" s="499"/>
      <c r="FQ13" s="95"/>
      <c r="FR13" s="95"/>
      <c r="FS13" s="95"/>
      <c r="FT13" s="95"/>
      <c r="FU13" s="95" t="s">
        <v>107</v>
      </c>
      <c r="FV13" s="88"/>
      <c r="FW13" s="237" t="s">
        <v>139</v>
      </c>
      <c r="FX13" s="609">
        <v>19707.689999999999</v>
      </c>
      <c r="FY13" s="150">
        <v>41969</v>
      </c>
      <c r="FZ13" s="150">
        <v>41984</v>
      </c>
      <c r="GA13" s="150"/>
      <c r="GB13" s="150">
        <v>42324</v>
      </c>
      <c r="GC13" s="150">
        <v>42324</v>
      </c>
      <c r="GD13" s="150"/>
      <c r="GE13" s="95" t="s">
        <v>136</v>
      </c>
      <c r="GF13" s="150">
        <v>42906</v>
      </c>
      <c r="GG13" s="150"/>
      <c r="GH13" s="150" t="s">
        <v>107</v>
      </c>
      <c r="GI13" s="94"/>
      <c r="GJ13" s="150">
        <v>42426</v>
      </c>
      <c r="GK13" s="150"/>
      <c r="GL13" s="743"/>
      <c r="GM13" s="979">
        <f t="shared" si="33"/>
        <v>2298881</v>
      </c>
      <c r="GN13" s="772">
        <f t="shared" si="34"/>
        <v>2298881</v>
      </c>
      <c r="GO13" s="683">
        <f t="shared" si="35"/>
        <v>2298881</v>
      </c>
      <c r="GP13" s="909">
        <f t="shared" si="36"/>
        <v>159905</v>
      </c>
      <c r="GQ13" s="35">
        <f t="shared" si="37"/>
        <v>2076.3014812138722</v>
      </c>
      <c r="GR13" s="35">
        <f t="shared" si="38"/>
        <v>164205.78571428571</v>
      </c>
      <c r="GS13" s="11">
        <v>745095</v>
      </c>
      <c r="GT13" s="577"/>
      <c r="GU13" s="19">
        <f t="shared" si="39"/>
        <v>53221.071428571428</v>
      </c>
      <c r="GV13" s="11">
        <f t="shared" si="40"/>
        <v>1240121</v>
      </c>
      <c r="GW13" s="12">
        <v>347814</v>
      </c>
      <c r="GX13" s="12">
        <v>892307</v>
      </c>
      <c r="GY13" s="567">
        <f t="shared" si="41"/>
        <v>88580.071428571435</v>
      </c>
      <c r="GZ13" s="11">
        <v>100000</v>
      </c>
      <c r="HA13" s="14">
        <v>89905</v>
      </c>
      <c r="HB13" s="52">
        <v>70000</v>
      </c>
      <c r="HC13" s="28">
        <f t="shared" si="42"/>
        <v>3.9108157403536764E-2</v>
      </c>
      <c r="HD13" s="68"/>
      <c r="HE13" s="68"/>
      <c r="HF13" s="14">
        <v>0</v>
      </c>
      <c r="HG13" s="35">
        <f t="shared" si="43"/>
        <v>6421.7857142857147</v>
      </c>
      <c r="HH13" s="35">
        <f t="shared" si="44"/>
        <v>59642.857142857145</v>
      </c>
      <c r="HI13" s="27">
        <v>339632.49384750001</v>
      </c>
      <c r="HJ13" s="27">
        <v>210000</v>
      </c>
      <c r="HK13" s="19">
        <f>(GS13+HA13+HJ13)/AE13</f>
        <v>74642.857142857145</v>
      </c>
      <c r="HL13" s="27">
        <v>0</v>
      </c>
      <c r="HM13" s="19">
        <f t="shared" si="45"/>
        <v>74642.857142857145</v>
      </c>
      <c r="HN13" s="36">
        <f t="shared" si="46"/>
        <v>0.41472798358403962</v>
      </c>
      <c r="HO13" s="27">
        <v>118789.62334999999</v>
      </c>
      <c r="HP13" s="27"/>
      <c r="HQ13" s="11">
        <v>123760</v>
      </c>
      <c r="HR13" s="898"/>
      <c r="HS13" s="907">
        <f t="shared" si="47"/>
        <v>0</v>
      </c>
      <c r="HT13" s="915">
        <f t="shared" si="48"/>
        <v>2298881</v>
      </c>
      <c r="HU13" s="898">
        <f t="shared" ca="1" si="49"/>
        <v>2298881</v>
      </c>
      <c r="HV13" s="898"/>
      <c r="HW13" s="898"/>
      <c r="HX13" s="898">
        <f t="shared" si="50"/>
        <v>159905</v>
      </c>
      <c r="HY13" s="908">
        <f t="shared" si="51"/>
        <v>0</v>
      </c>
      <c r="HZ13" s="908"/>
      <c r="IA13" s="29">
        <f>GN13+HI13</f>
        <v>2638513.4938475001</v>
      </c>
      <c r="IB13" s="752"/>
      <c r="IC13" s="73"/>
      <c r="ID13" s="73"/>
      <c r="IE13" s="73"/>
      <c r="IF13" s="73"/>
    </row>
    <row r="14" spans="1:246" ht="20.100000000000001" customHeight="1">
      <c r="A14" s="769" t="s">
        <v>312</v>
      </c>
      <c r="B14" s="297"/>
      <c r="C14" s="8" t="s">
        <v>21</v>
      </c>
      <c r="D14" s="8" t="s">
        <v>92</v>
      </c>
      <c r="E14" s="8">
        <v>2012</v>
      </c>
      <c r="F14" s="8" t="s">
        <v>65</v>
      </c>
      <c r="G14" s="8" t="s">
        <v>16</v>
      </c>
      <c r="H14" s="671" t="s">
        <v>537</v>
      </c>
      <c r="I14" s="8" t="s">
        <v>193</v>
      </c>
      <c r="J14" s="39" t="s">
        <v>270</v>
      </c>
      <c r="K14" s="39"/>
      <c r="L14" s="199"/>
      <c r="M14" s="122"/>
      <c r="N14" s="122"/>
      <c r="O14" s="122"/>
      <c r="P14" s="161">
        <v>8821</v>
      </c>
      <c r="Q14" s="161">
        <v>530000</v>
      </c>
      <c r="R14" s="161">
        <v>289110</v>
      </c>
      <c r="S14" s="161">
        <f t="shared" si="55"/>
        <v>13250</v>
      </c>
      <c r="T14" s="161">
        <f t="shared" si="52"/>
        <v>60.083890715338399</v>
      </c>
      <c r="U14" s="161">
        <f t="shared" si="53"/>
        <v>32.775195556059401</v>
      </c>
      <c r="V14" s="161">
        <f t="shared" si="56"/>
        <v>111.55441514093337</v>
      </c>
      <c r="W14" s="161">
        <f t="shared" si="57"/>
        <v>7227.75</v>
      </c>
      <c r="X14" s="161">
        <f t="shared" si="58"/>
        <v>220.52500000000001</v>
      </c>
      <c r="Y14" s="161"/>
      <c r="Z14" s="733">
        <f t="shared" si="0"/>
        <v>45.346332615349731</v>
      </c>
      <c r="AA14" s="162" t="s">
        <v>169</v>
      </c>
      <c r="AB14" s="164"/>
      <c r="AC14" s="165"/>
      <c r="AD14" s="8" t="s">
        <v>10</v>
      </c>
      <c r="AE14" s="674">
        <f t="shared" si="1"/>
        <v>40</v>
      </c>
      <c r="AF14" s="674">
        <f t="shared" si="2"/>
        <v>40</v>
      </c>
      <c r="AG14" s="9"/>
      <c r="AH14" s="8">
        <v>40</v>
      </c>
      <c r="AI14" s="50"/>
      <c r="AJ14" s="50"/>
      <c r="AK14" s="43">
        <v>2569.23</v>
      </c>
      <c r="AL14" s="426">
        <v>2591.65</v>
      </c>
      <c r="AM14" s="875">
        <f t="shared" si="3"/>
        <v>64.23075</v>
      </c>
      <c r="AN14" s="10">
        <f t="shared" si="4"/>
        <v>64.791250000000005</v>
      </c>
      <c r="AO14" s="43">
        <v>5.4266388351373758</v>
      </c>
      <c r="AP14" s="43">
        <v>5.38</v>
      </c>
      <c r="AQ14" s="43">
        <v>348.55708235999998</v>
      </c>
      <c r="AR14" s="61">
        <f>4/AE14</f>
        <v>0.1</v>
      </c>
      <c r="AS14" s="61">
        <f>12/AE14</f>
        <v>0.3</v>
      </c>
      <c r="AT14" s="61">
        <f>13/AE14</f>
        <v>0.32500000000000001</v>
      </c>
      <c r="AU14" s="61">
        <f>9/AE14</f>
        <v>0.22500000000000001</v>
      </c>
      <c r="AV14" s="61">
        <f>2/AE14</f>
        <v>0.05</v>
      </c>
      <c r="AW14" s="837">
        <v>1150</v>
      </c>
      <c r="AX14" s="558"/>
      <c r="AY14" s="62">
        <f t="shared" si="54"/>
        <v>0</v>
      </c>
      <c r="AZ14" s="44">
        <v>2.5</v>
      </c>
      <c r="BA14" s="42" t="s">
        <v>439</v>
      </c>
      <c r="BB14" s="10" t="s">
        <v>101</v>
      </c>
      <c r="BC14" s="43"/>
      <c r="BD14" s="43"/>
      <c r="BE14" s="43"/>
      <c r="BF14" s="43"/>
      <c r="BG14" s="39"/>
      <c r="BH14" s="143">
        <v>40963</v>
      </c>
      <c r="BI14" s="159">
        <v>41094</v>
      </c>
      <c r="BJ14" s="75"/>
      <c r="BK14" s="867"/>
      <c r="BL14" s="766"/>
      <c r="BM14" s="785">
        <v>41262</v>
      </c>
      <c r="BN14" s="950"/>
      <c r="BO14" s="950"/>
      <c r="BP14" s="125">
        <f t="shared" ref="BP14:BP29" si="63">DATE(YEAR(BM14),MONTH(BM14)+3,DAY(BM14))</f>
        <v>41352</v>
      </c>
      <c r="BQ14" s="78"/>
      <c r="BR14" s="224">
        <v>41365</v>
      </c>
      <c r="BS14" s="224">
        <f t="shared" si="5"/>
        <v>42095</v>
      </c>
      <c r="BT14" s="605">
        <v>108407</v>
      </c>
      <c r="BU14" s="224" t="str">
        <f t="shared" si="61"/>
        <v>oui</v>
      </c>
      <c r="BV14" s="784">
        <f t="shared" si="59"/>
        <v>-1.8666666666666667</v>
      </c>
      <c r="BW14" s="605" t="str">
        <f t="shared" si="60"/>
        <v>0</v>
      </c>
      <c r="BX14" s="605">
        <f t="shared" si="8"/>
        <v>108407</v>
      </c>
      <c r="BY14" s="700"/>
      <c r="BZ14" s="767"/>
      <c r="CA14" s="700"/>
      <c r="CB14" s="700"/>
      <c r="CC14" s="700"/>
      <c r="CD14" s="701"/>
      <c r="CE14" s="701"/>
      <c r="CF14" s="701"/>
      <c r="CG14" s="701"/>
      <c r="CH14" s="701"/>
      <c r="CI14" s="701"/>
      <c r="CJ14" s="701"/>
      <c r="CK14" s="701"/>
      <c r="CL14" s="701"/>
      <c r="CM14" s="701"/>
      <c r="CN14" s="701"/>
      <c r="CO14" s="701"/>
      <c r="CP14" s="701"/>
      <c r="CQ14" s="95"/>
      <c r="CR14" s="95"/>
      <c r="CS14" s="95"/>
      <c r="CT14" s="475" t="str">
        <f t="shared" si="9"/>
        <v>0</v>
      </c>
      <c r="CU14" s="95"/>
      <c r="CV14" s="95"/>
      <c r="CW14" s="475" t="str">
        <f t="shared" si="10"/>
        <v>0</v>
      </c>
      <c r="CX14" s="95"/>
      <c r="CY14" s="95"/>
      <c r="CZ14" s="475" t="str">
        <f t="shared" si="11"/>
        <v>0</v>
      </c>
      <c r="DA14" s="95"/>
      <c r="DB14" s="95"/>
      <c r="DC14" s="475" t="str">
        <f t="shared" si="12"/>
        <v>0</v>
      </c>
      <c r="DD14" s="97"/>
      <c r="DE14" s="514"/>
      <c r="DF14" s="475" t="str">
        <f t="shared" si="13"/>
        <v>0</v>
      </c>
      <c r="DG14" s="440"/>
      <c r="DH14" s="178"/>
      <c r="DI14" s="95"/>
      <c r="DJ14" s="178"/>
      <c r="DK14" s="475" t="str">
        <f t="shared" si="14"/>
        <v>0</v>
      </c>
      <c r="DL14" s="95"/>
      <c r="DM14" s="329">
        <v>41309</v>
      </c>
      <c r="DN14" s="323">
        <v>2013</v>
      </c>
      <c r="DO14" s="433">
        <f t="shared" si="15"/>
        <v>7.166666666666667</v>
      </c>
      <c r="DP14" s="475" t="str">
        <f t="shared" si="16"/>
        <v>0</v>
      </c>
      <c r="DQ14" s="90">
        <v>15</v>
      </c>
      <c r="DR14" s="90">
        <f t="shared" si="17"/>
        <v>26</v>
      </c>
      <c r="DS14" s="237"/>
      <c r="DT14" s="236"/>
      <c r="DU14" s="616" t="str">
        <f t="shared" si="18"/>
        <v>0</v>
      </c>
      <c r="DV14" s="633"/>
      <c r="DW14" s="555"/>
      <c r="DX14" s="556" t="str">
        <f t="shared" si="19"/>
        <v>0</v>
      </c>
      <c r="DY14" s="198"/>
      <c r="DZ14" s="237"/>
      <c r="EA14" s="616" t="str">
        <f t="shared" si="20"/>
        <v>0</v>
      </c>
      <c r="EB14" s="236"/>
      <c r="EC14" s="237"/>
      <c r="ED14" s="616" t="str">
        <f t="shared" si="21"/>
        <v>0</v>
      </c>
      <c r="EE14" s="297"/>
      <c r="EF14" s="297"/>
      <c r="EG14" s="616" t="str">
        <f t="shared" si="22"/>
        <v>0</v>
      </c>
      <c r="EH14" s="297"/>
      <c r="EI14" s="237"/>
      <c r="EJ14" s="616" t="str">
        <f t="shared" si="23"/>
        <v>0</v>
      </c>
      <c r="EK14" s="237"/>
      <c r="EL14" s="237"/>
      <c r="EM14" s="616" t="str">
        <f t="shared" si="24"/>
        <v>0</v>
      </c>
      <c r="EN14" s="298"/>
      <c r="EO14" s="298"/>
      <c r="EP14" s="298"/>
      <c r="EQ14" s="441">
        <f t="shared" si="25"/>
        <v>41763</v>
      </c>
      <c r="ER14" s="331">
        <v>42111</v>
      </c>
      <c r="ES14" s="642">
        <f t="shared" si="26"/>
        <v>11.6</v>
      </c>
      <c r="ET14" s="929"/>
      <c r="EU14" s="441"/>
      <c r="EV14" s="144">
        <v>42202</v>
      </c>
      <c r="EW14" s="89" t="s">
        <v>107</v>
      </c>
      <c r="EX14" s="98">
        <v>42151</v>
      </c>
      <c r="EY14" s="441"/>
      <c r="EZ14" s="746">
        <f t="shared" si="27"/>
        <v>41794</v>
      </c>
      <c r="FA14" s="333">
        <v>42151</v>
      </c>
      <c r="FB14" s="442">
        <v>2015</v>
      </c>
      <c r="FC14" s="637">
        <f t="shared" si="28"/>
        <v>11.9</v>
      </c>
      <c r="FD14" s="629">
        <f>172364.265683679/12</f>
        <v>14363.68880697325</v>
      </c>
      <c r="FE14" s="178">
        <f t="shared" si="29"/>
        <v>170927.89680298168</v>
      </c>
      <c r="FF14" s="89"/>
      <c r="FG14" s="498"/>
      <c r="FH14" s="624">
        <f t="shared" si="62"/>
        <v>51532.92</v>
      </c>
      <c r="FI14" s="502"/>
      <c r="FJ14" s="502"/>
      <c r="FK14" s="502"/>
      <c r="FL14" s="664">
        <f t="shared" si="31"/>
        <v>0</v>
      </c>
      <c r="FM14" s="499"/>
      <c r="FN14" s="511" t="s">
        <v>599</v>
      </c>
      <c r="FO14" s="499"/>
      <c r="FP14" s="499"/>
      <c r="FQ14" s="95" t="s">
        <v>107</v>
      </c>
      <c r="FR14" s="95"/>
      <c r="FS14" s="95" t="s">
        <v>107</v>
      </c>
      <c r="FT14" s="95" t="s">
        <v>107</v>
      </c>
      <c r="FU14" s="150">
        <v>42628</v>
      </c>
      <c r="FV14" s="150">
        <v>42831</v>
      </c>
      <c r="FW14" s="237">
        <f t="shared" ref="FW14:FW19" si="64">DATE(YEAR(ER14)+1,MONTH(ER14),DAY(ER14))</f>
        <v>42477</v>
      </c>
      <c r="FX14" s="609">
        <v>45341</v>
      </c>
      <c r="FY14" s="150">
        <v>42170</v>
      </c>
      <c r="FZ14" s="180" t="s">
        <v>290</v>
      </c>
      <c r="GA14" s="180"/>
      <c r="GB14" s="150">
        <v>42647</v>
      </c>
      <c r="GC14" s="94"/>
      <c r="GD14" s="95">
        <v>42079</v>
      </c>
      <c r="GE14" s="94"/>
      <c r="GF14" s="87">
        <v>42797</v>
      </c>
      <c r="GG14" s="87"/>
      <c r="GH14" s="94"/>
      <c r="GI14" s="94"/>
      <c r="GJ14" s="150">
        <v>42978</v>
      </c>
      <c r="GK14" s="94"/>
      <c r="GL14" s="552">
        <v>5246631</v>
      </c>
      <c r="GM14" s="979">
        <f t="shared" si="33"/>
        <v>5090210.4499999993</v>
      </c>
      <c r="GN14" s="772">
        <f t="shared" si="34"/>
        <v>5090210.4499999993</v>
      </c>
      <c r="GO14" s="683">
        <f t="shared" si="35"/>
        <v>5090210.4499999993</v>
      </c>
      <c r="GP14" s="909">
        <f t="shared" si="36"/>
        <v>663000</v>
      </c>
      <c r="GQ14" s="35">
        <f t="shared" si="37"/>
        <v>1964.0809715818104</v>
      </c>
      <c r="GR14" s="35">
        <f t="shared" si="38"/>
        <v>127255.26124999998</v>
      </c>
      <c r="GS14" s="11">
        <v>1480537</v>
      </c>
      <c r="GT14" s="577"/>
      <c r="GU14" s="19">
        <f t="shared" si="39"/>
        <v>37013.425000000003</v>
      </c>
      <c r="GV14" s="11">
        <f t="shared" si="40"/>
        <v>2895140.53</v>
      </c>
      <c r="GW14" s="12">
        <v>565518</v>
      </c>
      <c r="GX14" s="12">
        <v>2329622.5299999998</v>
      </c>
      <c r="GY14" s="567">
        <f t="shared" si="41"/>
        <v>72378.513249999989</v>
      </c>
      <c r="GZ14" s="11">
        <v>0</v>
      </c>
      <c r="HA14" s="14">
        <v>663000</v>
      </c>
      <c r="HB14" s="53"/>
      <c r="HC14" s="28">
        <f t="shared" si="42"/>
        <v>0.13025001746244108</v>
      </c>
      <c r="HD14" s="68"/>
      <c r="HE14" s="68"/>
      <c r="HF14" s="14">
        <v>0</v>
      </c>
      <c r="HG14" s="35">
        <f t="shared" si="43"/>
        <v>16575</v>
      </c>
      <c r="HH14" s="35">
        <f t="shared" si="44"/>
        <v>53588.425000000003</v>
      </c>
      <c r="HI14" s="27">
        <v>1151902.8490725001</v>
      </c>
      <c r="HJ14" s="27">
        <v>800000</v>
      </c>
      <c r="HK14" s="19" t="e">
        <f>(#REF!+#REF!+HJ14)/AE14</f>
        <v>#REF!</v>
      </c>
      <c r="HL14" s="27">
        <v>0</v>
      </c>
      <c r="HM14" s="19">
        <f t="shared" si="45"/>
        <v>73588.425000000003</v>
      </c>
      <c r="HN14" s="36">
        <f t="shared" si="46"/>
        <v>0.4949673218743304</v>
      </c>
      <c r="HO14" s="27">
        <v>295181.31</v>
      </c>
      <c r="HP14" s="773"/>
      <c r="HQ14" s="11">
        <v>51532.92</v>
      </c>
      <c r="HR14" s="898"/>
      <c r="HS14" s="907">
        <f t="shared" si="47"/>
        <v>0</v>
      </c>
      <c r="HT14" s="915">
        <f t="shared" si="48"/>
        <v>5090210.4499999993</v>
      </c>
      <c r="HU14" s="898">
        <f t="shared" ca="1" si="49"/>
        <v>5090210.4499999993</v>
      </c>
      <c r="HV14" s="898"/>
      <c r="HW14" s="898"/>
      <c r="HX14" s="898">
        <f t="shared" si="50"/>
        <v>663000</v>
      </c>
      <c r="HY14" s="908">
        <f t="shared" si="51"/>
        <v>0</v>
      </c>
      <c r="HZ14" s="908"/>
      <c r="IA14" s="73" t="e">
        <f>#REF!+HI14</f>
        <v>#REF!</v>
      </c>
      <c r="IB14" s="752"/>
      <c r="IC14" s="73"/>
      <c r="ID14" s="73"/>
      <c r="IE14" s="73"/>
      <c r="IF14" s="73"/>
    </row>
    <row r="15" spans="1:246" ht="20.100000000000001" customHeight="1">
      <c r="A15" s="18" t="s">
        <v>75</v>
      </c>
      <c r="B15" s="297"/>
      <c r="C15" s="8" t="s">
        <v>21</v>
      </c>
      <c r="D15" s="8" t="s">
        <v>92</v>
      </c>
      <c r="E15" s="8">
        <v>2012</v>
      </c>
      <c r="F15" s="8" t="s">
        <v>66</v>
      </c>
      <c r="G15" s="8" t="s">
        <v>23</v>
      </c>
      <c r="H15" s="671"/>
      <c r="I15" s="8" t="s">
        <v>193</v>
      </c>
      <c r="J15" s="39"/>
      <c r="K15" s="39"/>
      <c r="L15" s="199"/>
      <c r="M15" s="122"/>
      <c r="N15" s="122"/>
      <c r="O15" s="122"/>
      <c r="P15" s="161">
        <v>3735</v>
      </c>
      <c r="Q15" s="161">
        <f>R15</f>
        <v>860000</v>
      </c>
      <c r="R15" s="161">
        <v>860000</v>
      </c>
      <c r="S15" s="161">
        <f>Q15/(AE15+AE141)</f>
        <v>29655.172413793105</v>
      </c>
      <c r="T15" s="161">
        <f t="shared" si="52"/>
        <v>230.25435073627844</v>
      </c>
      <c r="U15" s="161">
        <f t="shared" si="53"/>
        <v>230.25435073627844</v>
      </c>
      <c r="V15" s="161">
        <f>R15/(AL15+AL141)</f>
        <v>360.08575065317876</v>
      </c>
      <c r="W15" s="161">
        <f>R15/(AE15+AE141)</f>
        <v>29655.172413793105</v>
      </c>
      <c r="X15" s="161">
        <f>P15/(AE15+AE141)</f>
        <v>128.79310344827587</v>
      </c>
      <c r="Y15" s="161"/>
      <c r="Z15" s="733">
        <f t="shared" si="0"/>
        <v>77.643908969210173</v>
      </c>
      <c r="AA15" s="162" t="s">
        <v>158</v>
      </c>
      <c r="AB15" s="164"/>
      <c r="AC15" s="165"/>
      <c r="AD15" s="8" t="s">
        <v>9</v>
      </c>
      <c r="AE15" s="674">
        <f t="shared" si="1"/>
        <v>29</v>
      </c>
      <c r="AF15" s="674">
        <f t="shared" si="2"/>
        <v>29</v>
      </c>
      <c r="AG15" s="8">
        <v>29</v>
      </c>
      <c r="AH15" s="9"/>
      <c r="AI15" s="50"/>
      <c r="AJ15" s="50"/>
      <c r="AK15" s="43">
        <v>2007.6900000000003</v>
      </c>
      <c r="AL15" s="426">
        <v>2388.3200000000002</v>
      </c>
      <c r="AM15" s="875">
        <f t="shared" si="3"/>
        <v>69.230689655172426</v>
      </c>
      <c r="AN15" s="10">
        <f t="shared" si="4"/>
        <v>82.355862068965521</v>
      </c>
      <c r="AO15" s="43">
        <v>7.4473879373807685</v>
      </c>
      <c r="AP15" s="43">
        <v>6.2604869900180882</v>
      </c>
      <c r="AQ15" s="43">
        <v>515.5878030344827</v>
      </c>
      <c r="AR15" s="45"/>
      <c r="AS15" s="45"/>
      <c r="AT15" s="45"/>
      <c r="AU15" s="45"/>
      <c r="AV15" s="45"/>
      <c r="AW15" s="10">
        <v>1046</v>
      </c>
      <c r="AX15" s="59">
        <v>0</v>
      </c>
      <c r="AY15" s="61">
        <f t="shared" si="54"/>
        <v>0</v>
      </c>
      <c r="AZ15" s="43">
        <v>4</v>
      </c>
      <c r="BA15" s="42" t="s">
        <v>439</v>
      </c>
      <c r="BB15" s="10" t="s">
        <v>100</v>
      </c>
      <c r="BC15" s="43"/>
      <c r="BD15" s="43"/>
      <c r="BE15" s="43"/>
      <c r="BF15" s="43"/>
      <c r="BG15" s="39"/>
      <c r="BH15" s="143">
        <v>40963</v>
      </c>
      <c r="BI15" s="159">
        <v>41053</v>
      </c>
      <c r="BJ15" s="75"/>
      <c r="BK15" s="867"/>
      <c r="BL15" s="766"/>
      <c r="BM15" s="785">
        <v>41285</v>
      </c>
      <c r="BN15" s="950"/>
      <c r="BO15" s="950"/>
      <c r="BP15" s="125">
        <f t="shared" si="63"/>
        <v>41375</v>
      </c>
      <c r="BQ15" s="78"/>
      <c r="BR15" s="224">
        <v>41395</v>
      </c>
      <c r="BS15" s="224">
        <f t="shared" si="5"/>
        <v>42125</v>
      </c>
      <c r="BT15" s="605">
        <v>139704</v>
      </c>
      <c r="BU15" s="224" t="str">
        <f t="shared" si="61"/>
        <v>oui</v>
      </c>
      <c r="BV15" s="784">
        <f t="shared" si="59"/>
        <v>-1.1000000000000001</v>
      </c>
      <c r="BW15" s="605" t="str">
        <f t="shared" si="60"/>
        <v>0</v>
      </c>
      <c r="BX15" s="605">
        <f t="shared" si="8"/>
        <v>139704</v>
      </c>
      <c r="BY15" s="700"/>
      <c r="BZ15" s="767"/>
      <c r="CA15" s="700"/>
      <c r="CB15" s="700"/>
      <c r="CC15" s="700"/>
      <c r="CD15" s="830"/>
      <c r="CE15" s="701"/>
      <c r="CF15" s="701"/>
      <c r="CG15" s="701"/>
      <c r="CH15" s="701"/>
      <c r="CI15" s="701"/>
      <c r="CJ15" s="701"/>
      <c r="CK15" s="701"/>
      <c r="CL15" s="830"/>
      <c r="CM15" s="701"/>
      <c r="CN15" s="701"/>
      <c r="CO15" s="701"/>
      <c r="CP15" s="701"/>
      <c r="CQ15" s="95"/>
      <c r="CR15" s="95"/>
      <c r="CS15" s="95"/>
      <c r="CT15" s="475" t="str">
        <f t="shared" si="9"/>
        <v>0</v>
      </c>
      <c r="CU15" s="95"/>
      <c r="CV15" s="95"/>
      <c r="CW15" s="475" t="str">
        <f t="shared" si="10"/>
        <v>0</v>
      </c>
      <c r="CX15" s="95"/>
      <c r="CY15" s="95"/>
      <c r="CZ15" s="475" t="str">
        <f t="shared" si="11"/>
        <v>0</v>
      </c>
      <c r="DA15" s="95"/>
      <c r="DB15" s="95"/>
      <c r="DC15" s="475" t="str">
        <f t="shared" si="12"/>
        <v>0</v>
      </c>
      <c r="DD15" s="97"/>
      <c r="DE15" s="514"/>
      <c r="DF15" s="475" t="str">
        <f t="shared" si="13"/>
        <v>0</v>
      </c>
      <c r="DG15" s="440"/>
      <c r="DH15" s="178"/>
      <c r="DI15" s="95"/>
      <c r="DJ15" s="178"/>
      <c r="DK15" s="475" t="str">
        <f t="shared" si="14"/>
        <v>0</v>
      </c>
      <c r="DL15" s="95"/>
      <c r="DM15" s="329">
        <v>41309</v>
      </c>
      <c r="DN15" s="323">
        <v>2013</v>
      </c>
      <c r="DO15" s="433">
        <f t="shared" si="15"/>
        <v>8.5333333333333332</v>
      </c>
      <c r="DP15" s="475" t="str">
        <f t="shared" si="16"/>
        <v>0</v>
      </c>
      <c r="DQ15" s="90">
        <v>15</v>
      </c>
      <c r="DR15" s="90">
        <f t="shared" si="17"/>
        <v>27</v>
      </c>
      <c r="DS15" s="237"/>
      <c r="DT15" s="236"/>
      <c r="DU15" s="616" t="str">
        <f t="shared" si="18"/>
        <v>0</v>
      </c>
      <c r="DV15" s="633"/>
      <c r="DW15" s="555"/>
      <c r="DX15" s="556" t="str">
        <f t="shared" si="19"/>
        <v>0</v>
      </c>
      <c r="DY15" s="198"/>
      <c r="DZ15" s="237"/>
      <c r="EA15" s="616" t="str">
        <f t="shared" si="20"/>
        <v>0</v>
      </c>
      <c r="EB15" s="237"/>
      <c r="EC15" s="237"/>
      <c r="ED15" s="616" t="str">
        <f t="shared" si="21"/>
        <v>0</v>
      </c>
      <c r="EE15" s="237"/>
      <c r="EF15" s="237"/>
      <c r="EG15" s="616" t="str">
        <f t="shared" si="22"/>
        <v>0</v>
      </c>
      <c r="EH15" s="237"/>
      <c r="EI15" s="237"/>
      <c r="EJ15" s="616" t="str">
        <f t="shared" si="23"/>
        <v>0</v>
      </c>
      <c r="EK15" s="237"/>
      <c r="EL15" s="237"/>
      <c r="EM15" s="616" t="str">
        <f t="shared" si="24"/>
        <v>0</v>
      </c>
      <c r="EN15" s="237"/>
      <c r="EO15" s="237"/>
      <c r="EP15" s="237"/>
      <c r="EQ15" s="441">
        <f t="shared" si="25"/>
        <v>41763</v>
      </c>
      <c r="ER15" s="331">
        <v>42158</v>
      </c>
      <c r="ES15" s="642">
        <f t="shared" si="26"/>
        <v>13.166666666666666</v>
      </c>
      <c r="ET15" s="929"/>
      <c r="EU15" s="441"/>
      <c r="EV15" s="89">
        <v>41992</v>
      </c>
      <c r="EW15" s="89" t="s">
        <v>107</v>
      </c>
      <c r="EX15" s="89">
        <v>42158</v>
      </c>
      <c r="EY15" s="441"/>
      <c r="EZ15" s="746">
        <f t="shared" si="27"/>
        <v>41794</v>
      </c>
      <c r="FA15" s="333">
        <v>42158</v>
      </c>
      <c r="FB15" s="442">
        <v>2015</v>
      </c>
      <c r="FC15" s="637">
        <f t="shared" si="28"/>
        <v>12.133333333333333</v>
      </c>
      <c r="FD15" s="629">
        <f>184847.662644658/12</f>
        <v>15403.971887054833</v>
      </c>
      <c r="FE15" s="178">
        <f t="shared" si="29"/>
        <v>186901.52556293196</v>
      </c>
      <c r="FF15" s="89"/>
      <c r="FG15" s="498"/>
      <c r="FH15" s="624">
        <f t="shared" si="62"/>
        <v>20258</v>
      </c>
      <c r="FI15" s="502"/>
      <c r="FJ15" s="502"/>
      <c r="FK15" s="502"/>
      <c r="FL15" s="664">
        <f t="shared" si="31"/>
        <v>0</v>
      </c>
      <c r="FM15" s="499"/>
      <c r="FN15" s="511"/>
      <c r="FO15" s="499"/>
      <c r="FP15" s="499"/>
      <c r="FQ15" s="95"/>
      <c r="FR15" s="95"/>
      <c r="FS15" s="94"/>
      <c r="FT15" s="94"/>
      <c r="FU15" s="94"/>
      <c r="FV15" s="203" t="s">
        <v>245</v>
      </c>
      <c r="FW15" s="237">
        <f t="shared" si="64"/>
        <v>42524</v>
      </c>
      <c r="FX15" s="609">
        <v>10000</v>
      </c>
      <c r="FY15" s="180" t="s">
        <v>231</v>
      </c>
      <c r="FZ15" s="150">
        <v>42353</v>
      </c>
      <c r="GA15" s="150"/>
      <c r="GB15" s="94"/>
      <c r="GC15" s="94"/>
      <c r="GD15" s="584"/>
      <c r="GE15" s="94"/>
      <c r="GF15" s="95">
        <v>43006</v>
      </c>
      <c r="GG15" s="142"/>
      <c r="GH15" s="142"/>
      <c r="GI15" s="142"/>
      <c r="GJ15" s="94"/>
      <c r="GK15" s="94"/>
      <c r="GL15" s="552">
        <v>4670611</v>
      </c>
      <c r="GM15" s="979">
        <f t="shared" si="33"/>
        <v>4681218.38</v>
      </c>
      <c r="GN15" s="772">
        <f t="shared" si="34"/>
        <v>4681218.38</v>
      </c>
      <c r="GO15" s="683">
        <f t="shared" si="35"/>
        <v>4681218.38</v>
      </c>
      <c r="GP15" s="909">
        <f t="shared" si="36"/>
        <v>1111</v>
      </c>
      <c r="GQ15" s="35">
        <f t="shared" si="37"/>
        <v>1960.0465515508808</v>
      </c>
      <c r="GR15" s="35">
        <f t="shared" si="38"/>
        <v>161421.32344827586</v>
      </c>
      <c r="GS15" s="11">
        <v>1473759.38</v>
      </c>
      <c r="GT15" s="577"/>
      <c r="GU15" s="19">
        <f t="shared" si="39"/>
        <v>50819.28896551724</v>
      </c>
      <c r="GV15" s="11">
        <f t="shared" si="40"/>
        <v>3186090</v>
      </c>
      <c r="GW15" s="12">
        <v>549227</v>
      </c>
      <c r="GX15" s="12">
        <v>2636863</v>
      </c>
      <c r="GY15" s="567">
        <f t="shared" si="41"/>
        <v>109865.1724137931</v>
      </c>
      <c r="GZ15" s="11">
        <v>0</v>
      </c>
      <c r="HA15" s="14">
        <v>1</v>
      </c>
      <c r="HB15" s="52"/>
      <c r="HC15" s="28">
        <f t="shared" si="42"/>
        <v>2.1361960045965641E-7</v>
      </c>
      <c r="HD15" s="68"/>
      <c r="HE15" s="68"/>
      <c r="HF15" s="14">
        <v>1110</v>
      </c>
      <c r="HG15" s="35">
        <f t="shared" si="43"/>
        <v>3.4482758620689655E-2</v>
      </c>
      <c r="HH15" s="35">
        <f t="shared" si="44"/>
        <v>50819.323448275856</v>
      </c>
      <c r="HI15" s="27">
        <v>0</v>
      </c>
      <c r="HJ15" s="27">
        <v>0</v>
      </c>
      <c r="HK15" s="19" t="e">
        <f>(#REF!+#REF!+HJ15)/AE15</f>
        <v>#REF!</v>
      </c>
      <c r="HL15" s="27">
        <v>0</v>
      </c>
      <c r="HM15" s="19">
        <f t="shared" si="45"/>
        <v>50819.323448275856</v>
      </c>
      <c r="HN15" s="36">
        <f t="shared" si="46"/>
        <v>0.31482410354887136</v>
      </c>
      <c r="HO15" s="27"/>
      <c r="HP15" s="27"/>
      <c r="HQ15" s="11">
        <v>20258</v>
      </c>
      <c r="HR15" s="898"/>
      <c r="HS15" s="907">
        <f t="shared" si="47"/>
        <v>0</v>
      </c>
      <c r="HT15" s="915">
        <f t="shared" si="48"/>
        <v>4681218.38</v>
      </c>
      <c r="HU15" s="898">
        <f t="shared" ca="1" si="49"/>
        <v>4681218.38</v>
      </c>
      <c r="HV15" s="898"/>
      <c r="HW15" s="898"/>
      <c r="HX15" s="898">
        <f t="shared" si="50"/>
        <v>1111</v>
      </c>
      <c r="HY15" s="908">
        <f t="shared" si="51"/>
        <v>0</v>
      </c>
      <c r="HZ15" s="908"/>
      <c r="IA15" s="29" t="e">
        <f>#REF!+HI15</f>
        <v>#REF!</v>
      </c>
      <c r="IB15" s="752"/>
      <c r="IC15" s="73"/>
      <c r="ID15" s="73"/>
      <c r="IE15" s="73"/>
      <c r="IF15" s="73"/>
    </row>
    <row r="16" spans="1:246" ht="20.100000000000001" customHeight="1">
      <c r="A16" s="18" t="s">
        <v>76</v>
      </c>
      <c r="B16" s="297"/>
      <c r="C16" s="8" t="s">
        <v>21</v>
      </c>
      <c r="D16" s="8" t="s">
        <v>92</v>
      </c>
      <c r="E16" s="8">
        <v>2012</v>
      </c>
      <c r="F16" s="8" t="s">
        <v>66</v>
      </c>
      <c r="G16" s="8" t="s">
        <v>23</v>
      </c>
      <c r="H16" s="811"/>
      <c r="I16" s="8" t="s">
        <v>193</v>
      </c>
      <c r="J16" s="39"/>
      <c r="K16" s="39"/>
      <c r="L16" s="199"/>
      <c r="M16" s="122"/>
      <c r="N16" s="122"/>
      <c r="O16" s="122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 t="e">
        <f t="shared" si="0"/>
        <v>#DIV/0!</v>
      </c>
      <c r="AA16" s="162" t="s">
        <v>158</v>
      </c>
      <c r="AB16" s="164"/>
      <c r="AC16" s="165"/>
      <c r="AD16" s="8" t="s">
        <v>10</v>
      </c>
      <c r="AE16" s="674">
        <f t="shared" si="1"/>
        <v>13</v>
      </c>
      <c r="AF16" s="674">
        <f t="shared" si="2"/>
        <v>13</v>
      </c>
      <c r="AG16" s="9"/>
      <c r="AH16" s="8">
        <v>13</v>
      </c>
      <c r="AI16" s="50"/>
      <c r="AJ16" s="50"/>
      <c r="AK16" s="691">
        <v>759.6099999999999</v>
      </c>
      <c r="AL16" s="426">
        <v>926.6099999999999</v>
      </c>
      <c r="AM16" s="875">
        <f t="shared" si="3"/>
        <v>58.431538461538452</v>
      </c>
      <c r="AN16" s="10">
        <f t="shared" si="4"/>
        <v>71.277692307692305</v>
      </c>
      <c r="AO16" s="43">
        <v>6.37</v>
      </c>
      <c r="AP16" s="43">
        <v>5.22</v>
      </c>
      <c r="AQ16" s="43">
        <v>403.29796109582185</v>
      </c>
      <c r="AR16" s="45"/>
      <c r="AS16" s="45"/>
      <c r="AT16" s="45"/>
      <c r="AU16" s="45"/>
      <c r="AV16" s="45"/>
      <c r="AW16" s="9"/>
      <c r="AX16" s="141"/>
      <c r="AY16" s="83"/>
      <c r="AZ16" s="50"/>
      <c r="BA16" s="42" t="s">
        <v>439</v>
      </c>
      <c r="BB16" s="10" t="s">
        <v>100</v>
      </c>
      <c r="BC16" s="43"/>
      <c r="BD16" s="43"/>
      <c r="BE16" s="43"/>
      <c r="BF16" s="43"/>
      <c r="BG16" s="39"/>
      <c r="BH16" s="143">
        <v>40963</v>
      </c>
      <c r="BI16" s="159">
        <v>41081</v>
      </c>
      <c r="BJ16" s="75"/>
      <c r="BK16" s="867"/>
      <c r="BL16" s="766"/>
      <c r="BM16" s="785">
        <v>41285</v>
      </c>
      <c r="BN16" s="950"/>
      <c r="BO16" s="950"/>
      <c r="BP16" s="125">
        <f t="shared" si="63"/>
        <v>41375</v>
      </c>
      <c r="BQ16" s="78"/>
      <c r="BR16" s="224">
        <v>41395</v>
      </c>
      <c r="BS16" s="224">
        <f t="shared" si="5"/>
        <v>42125</v>
      </c>
      <c r="BT16" s="605">
        <v>39110</v>
      </c>
      <c r="BU16" s="224" t="str">
        <f t="shared" si="61"/>
        <v>oui</v>
      </c>
      <c r="BV16" s="784">
        <f t="shared" si="59"/>
        <v>-1.1000000000000001</v>
      </c>
      <c r="BW16" s="605" t="str">
        <f t="shared" si="60"/>
        <v>0</v>
      </c>
      <c r="BX16" s="605">
        <f t="shared" si="8"/>
        <v>39110</v>
      </c>
      <c r="BY16" s="700"/>
      <c r="BZ16" s="767"/>
      <c r="CA16" s="700"/>
      <c r="CB16" s="700"/>
      <c r="CC16" s="700"/>
      <c r="CD16" s="701"/>
      <c r="CE16" s="701"/>
      <c r="CF16" s="701"/>
      <c r="CG16" s="701"/>
      <c r="CH16" s="701"/>
      <c r="CI16" s="701"/>
      <c r="CJ16" s="701"/>
      <c r="CK16" s="701"/>
      <c r="CL16" s="701"/>
      <c r="CM16" s="701"/>
      <c r="CN16" s="701"/>
      <c r="CO16" s="701"/>
      <c r="CP16" s="701"/>
      <c r="CQ16" s="95"/>
      <c r="CR16" s="95"/>
      <c r="CS16" s="95"/>
      <c r="CT16" s="475" t="str">
        <f t="shared" si="9"/>
        <v>0</v>
      </c>
      <c r="CU16" s="95"/>
      <c r="CV16" s="95"/>
      <c r="CW16" s="475" t="str">
        <f t="shared" si="10"/>
        <v>0</v>
      </c>
      <c r="CX16" s="95"/>
      <c r="CY16" s="95"/>
      <c r="CZ16" s="475" t="str">
        <f t="shared" si="11"/>
        <v>0</v>
      </c>
      <c r="DA16" s="95"/>
      <c r="DB16" s="95"/>
      <c r="DC16" s="475" t="str">
        <f t="shared" si="12"/>
        <v>0</v>
      </c>
      <c r="DD16" s="97"/>
      <c r="DE16" s="514"/>
      <c r="DF16" s="475" t="str">
        <f t="shared" si="13"/>
        <v>0</v>
      </c>
      <c r="DG16" s="440"/>
      <c r="DH16" s="178"/>
      <c r="DI16" s="95"/>
      <c r="DJ16" s="178"/>
      <c r="DK16" s="475" t="str">
        <f t="shared" si="14"/>
        <v>0</v>
      </c>
      <c r="DL16" s="95"/>
      <c r="DM16" s="329">
        <v>41309</v>
      </c>
      <c r="DN16" s="323">
        <v>2013</v>
      </c>
      <c r="DO16" s="433">
        <f t="shared" si="15"/>
        <v>7.6</v>
      </c>
      <c r="DP16" s="475" t="str">
        <f t="shared" si="16"/>
        <v>0</v>
      </c>
      <c r="DQ16" s="90">
        <v>15</v>
      </c>
      <c r="DR16" s="90">
        <f t="shared" si="17"/>
        <v>27</v>
      </c>
      <c r="DS16" s="237"/>
      <c r="DT16" s="236"/>
      <c r="DU16" s="616" t="str">
        <f t="shared" si="18"/>
        <v>0</v>
      </c>
      <c r="DV16" s="633"/>
      <c r="DW16" s="555"/>
      <c r="DX16" s="556" t="str">
        <f t="shared" si="19"/>
        <v>0</v>
      </c>
      <c r="DY16" s="198"/>
      <c r="DZ16" s="237"/>
      <c r="EA16" s="616" t="str">
        <f t="shared" si="20"/>
        <v>0</v>
      </c>
      <c r="EB16" s="237"/>
      <c r="EC16" s="237"/>
      <c r="ED16" s="616" t="str">
        <f t="shared" si="21"/>
        <v>0</v>
      </c>
      <c r="EE16" s="237"/>
      <c r="EF16" s="237"/>
      <c r="EG16" s="616" t="str">
        <f t="shared" si="22"/>
        <v>0</v>
      </c>
      <c r="EH16" s="237"/>
      <c r="EI16" s="237"/>
      <c r="EJ16" s="616" t="str">
        <f t="shared" si="23"/>
        <v>0</v>
      </c>
      <c r="EK16" s="237"/>
      <c r="EL16" s="237"/>
      <c r="EM16" s="616" t="str">
        <f t="shared" si="24"/>
        <v>0</v>
      </c>
      <c r="EN16" s="237"/>
      <c r="EO16" s="237"/>
      <c r="EP16" s="237"/>
      <c r="EQ16" s="441">
        <f t="shared" si="25"/>
        <v>41763</v>
      </c>
      <c r="ER16" s="331">
        <v>42158</v>
      </c>
      <c r="ES16" s="642">
        <f t="shared" si="26"/>
        <v>13.166666666666666</v>
      </c>
      <c r="ET16" s="929"/>
      <c r="EU16" s="441"/>
      <c r="EV16" s="89">
        <v>41992</v>
      </c>
      <c r="EW16" s="89" t="s">
        <v>107</v>
      </c>
      <c r="EX16" s="89">
        <v>42158</v>
      </c>
      <c r="EY16" s="441"/>
      <c r="EZ16" s="746">
        <f t="shared" si="27"/>
        <v>41794</v>
      </c>
      <c r="FA16" s="333">
        <v>42158</v>
      </c>
      <c r="FB16" s="442">
        <v>2015</v>
      </c>
      <c r="FC16" s="637">
        <f t="shared" si="28"/>
        <v>12.133333333333333</v>
      </c>
      <c r="FD16" s="629">
        <f>55171.5718158662/12</f>
        <v>4597.6309846555168</v>
      </c>
      <c r="FE16" s="178">
        <f t="shared" si="29"/>
        <v>55784.589280486936</v>
      </c>
      <c r="FF16" s="89"/>
      <c r="FG16" s="498"/>
      <c r="FH16" s="624">
        <f t="shared" si="62"/>
        <v>90483</v>
      </c>
      <c r="FI16" s="502"/>
      <c r="FJ16" s="502"/>
      <c r="FK16" s="502"/>
      <c r="FL16" s="664">
        <f t="shared" si="31"/>
        <v>0</v>
      </c>
      <c r="FM16" s="499"/>
      <c r="FN16" s="511" t="s">
        <v>610</v>
      </c>
      <c r="FO16" s="499"/>
      <c r="FP16" s="499"/>
      <c r="FQ16" s="95"/>
      <c r="FR16" s="95"/>
      <c r="FS16" s="94"/>
      <c r="FT16" s="94"/>
      <c r="FU16" s="94"/>
      <c r="FV16" s="203" t="s">
        <v>245</v>
      </c>
      <c r="FW16" s="237">
        <f t="shared" si="64"/>
        <v>42524</v>
      </c>
      <c r="FX16" s="609">
        <v>59673</v>
      </c>
      <c r="FY16" s="180" t="s">
        <v>231</v>
      </c>
      <c r="FZ16" s="150">
        <v>42353</v>
      </c>
      <c r="GA16" s="150"/>
      <c r="GB16" s="94"/>
      <c r="GC16" s="94"/>
      <c r="GD16" s="584"/>
      <c r="GE16" s="94"/>
      <c r="GF16" s="95">
        <v>43006</v>
      </c>
      <c r="GG16" s="142"/>
      <c r="GH16" s="142"/>
      <c r="GI16" s="142"/>
      <c r="GJ16" s="94"/>
      <c r="GK16" s="94"/>
      <c r="GL16" s="552">
        <v>1808199</v>
      </c>
      <c r="GM16" s="979">
        <f t="shared" si="33"/>
        <v>1898659.47</v>
      </c>
      <c r="GN16" s="772">
        <f t="shared" si="34"/>
        <v>1898659.47</v>
      </c>
      <c r="GO16" s="683">
        <f t="shared" si="35"/>
        <v>1898659.47</v>
      </c>
      <c r="GP16" s="909">
        <f t="shared" si="36"/>
        <v>60430</v>
      </c>
      <c r="GQ16" s="35">
        <f t="shared" si="37"/>
        <v>2049.0383980315346</v>
      </c>
      <c r="GR16" s="35">
        <f t="shared" si="38"/>
        <v>146050.72846153847</v>
      </c>
      <c r="GS16" s="11">
        <v>706398.49</v>
      </c>
      <c r="GT16" s="577"/>
      <c r="GU16" s="19">
        <f t="shared" si="39"/>
        <v>54338.345384615386</v>
      </c>
      <c r="GV16" s="11">
        <f t="shared" si="40"/>
        <v>1041347.98</v>
      </c>
      <c r="GW16" s="12">
        <v>179485</v>
      </c>
      <c r="GX16" s="12">
        <v>861862.98</v>
      </c>
      <c r="GY16" s="567">
        <f t="shared" si="41"/>
        <v>80103.690769230772</v>
      </c>
      <c r="GZ16" s="11">
        <v>0</v>
      </c>
      <c r="HA16" s="14">
        <v>60000</v>
      </c>
      <c r="HB16" s="52"/>
      <c r="HC16" s="28">
        <f t="shared" si="42"/>
        <v>3.1601243376201633E-2</v>
      </c>
      <c r="HD16" s="53"/>
      <c r="HE16" s="53"/>
      <c r="HF16" s="14">
        <v>430</v>
      </c>
      <c r="HG16" s="35">
        <f t="shared" si="43"/>
        <v>4615.3846153846152</v>
      </c>
      <c r="HH16" s="35">
        <f t="shared" si="44"/>
        <v>58953.729999999996</v>
      </c>
      <c r="HI16" s="27">
        <v>0</v>
      </c>
      <c r="HJ16" s="27">
        <v>0</v>
      </c>
      <c r="HK16" s="19" t="e">
        <f>(#REF!+#REF!+HJ16)/AE16</f>
        <v>#REF!</v>
      </c>
      <c r="HL16" s="27">
        <v>0</v>
      </c>
      <c r="HM16" s="19">
        <f t="shared" si="45"/>
        <v>58953.729999999996</v>
      </c>
      <c r="HN16" s="36">
        <f t="shared" si="46"/>
        <v>0.40365242009405722</v>
      </c>
      <c r="HO16" s="27"/>
      <c r="HP16" s="27"/>
      <c r="HQ16" s="11">
        <v>90483</v>
      </c>
      <c r="HR16" s="898"/>
      <c r="HS16" s="907">
        <f t="shared" si="47"/>
        <v>0</v>
      </c>
      <c r="HT16" s="915">
        <f t="shared" si="48"/>
        <v>1898659.47</v>
      </c>
      <c r="HU16" s="898">
        <f t="shared" ca="1" si="49"/>
        <v>1898659.47</v>
      </c>
      <c r="HV16" s="898"/>
      <c r="HW16" s="898"/>
      <c r="HX16" s="898">
        <f t="shared" si="50"/>
        <v>60430</v>
      </c>
      <c r="HY16" s="908">
        <f t="shared" si="51"/>
        <v>0</v>
      </c>
      <c r="HZ16" s="908"/>
      <c r="IA16" s="29" t="e">
        <f>#REF!+HI16</f>
        <v>#REF!</v>
      </c>
      <c r="IB16" s="752"/>
      <c r="IC16" s="73"/>
      <c r="ID16" s="73"/>
      <c r="IE16" s="73"/>
      <c r="IF16" s="73"/>
    </row>
    <row r="17" spans="1:240" ht="20.100000000000001" customHeight="1">
      <c r="A17" s="769" t="s">
        <v>302</v>
      </c>
      <c r="B17" s="536"/>
      <c r="C17" s="8" t="s">
        <v>21</v>
      </c>
      <c r="D17" s="8" t="s">
        <v>92</v>
      </c>
      <c r="E17" s="8">
        <v>2012</v>
      </c>
      <c r="F17" s="8" t="s">
        <v>70</v>
      </c>
      <c r="G17" s="8"/>
      <c r="H17" s="671"/>
      <c r="I17" s="8" t="s">
        <v>193</v>
      </c>
      <c r="J17" s="39"/>
      <c r="K17" s="39"/>
      <c r="L17" s="199"/>
      <c r="M17" s="122"/>
      <c r="N17" s="122"/>
      <c r="O17" s="122"/>
      <c r="P17" s="161">
        <v>2666</v>
      </c>
      <c r="Q17" s="161">
        <v>209000</v>
      </c>
      <c r="R17" s="161">
        <v>154394</v>
      </c>
      <c r="S17" s="161">
        <f t="shared" ref="S17:S27" si="65">Q17/AE17</f>
        <v>12294.117647058823</v>
      </c>
      <c r="T17" s="161">
        <f t="shared" ref="T17:T27" si="66">Q17/P17</f>
        <v>78.394598649662413</v>
      </c>
      <c r="U17" s="161">
        <f t="shared" ref="U17:U27" si="67">R17/P17</f>
        <v>57.912228057014254</v>
      </c>
      <c r="V17" s="161">
        <f t="shared" ref="V17:V26" si="68">R17/AL17</f>
        <v>124.49121109498468</v>
      </c>
      <c r="W17" s="161">
        <f t="shared" ref="W17:W26" si="69">R17/AE17</f>
        <v>9082</v>
      </c>
      <c r="X17" s="161">
        <f t="shared" ref="X17:X26" si="70">P17/AE17</f>
        <v>156.8235294117647</v>
      </c>
      <c r="Y17" s="161"/>
      <c r="Z17" s="733">
        <f t="shared" si="0"/>
        <v>63.765941485371343</v>
      </c>
      <c r="AA17" s="162" t="s">
        <v>152</v>
      </c>
      <c r="AB17" s="164"/>
      <c r="AC17" s="165"/>
      <c r="AD17" s="8" t="s">
        <v>10</v>
      </c>
      <c r="AE17" s="674">
        <f t="shared" si="1"/>
        <v>17</v>
      </c>
      <c r="AF17" s="674">
        <f t="shared" si="2"/>
        <v>17</v>
      </c>
      <c r="AG17" s="9"/>
      <c r="AH17" s="8">
        <v>17</v>
      </c>
      <c r="AI17" s="50"/>
      <c r="AJ17" s="50"/>
      <c r="AK17" s="43">
        <v>1232.6100000000001</v>
      </c>
      <c r="AL17" s="426">
        <v>1240.2</v>
      </c>
      <c r="AM17" s="875">
        <f t="shared" si="3"/>
        <v>72.506470588235302</v>
      </c>
      <c r="AN17" s="10">
        <f t="shared" si="4"/>
        <v>72.952941176470588</v>
      </c>
      <c r="AO17" s="43">
        <v>5.2193642672028657</v>
      </c>
      <c r="AP17" s="43">
        <v>5.19</v>
      </c>
      <c r="AQ17" s="43">
        <v>378.43768172923086</v>
      </c>
      <c r="AR17" s="43"/>
      <c r="AS17" s="43"/>
      <c r="AT17" s="43"/>
      <c r="AU17" s="43"/>
      <c r="AV17" s="43"/>
      <c r="AW17" s="10">
        <v>760</v>
      </c>
      <c r="AX17" s="59">
        <f>30*10</f>
        <v>300</v>
      </c>
      <c r="AY17" s="61">
        <f t="shared" ref="AY17:AY35" si="71">AX17/P17</f>
        <v>0.11252813203300825</v>
      </c>
      <c r="AZ17" s="43">
        <v>3</v>
      </c>
      <c r="BA17" s="42" t="s">
        <v>439</v>
      </c>
      <c r="BB17" s="10" t="s">
        <v>101</v>
      </c>
      <c r="BC17" s="43"/>
      <c r="BD17" s="43"/>
      <c r="BE17" s="43"/>
      <c r="BF17" s="43"/>
      <c r="BG17" s="218"/>
      <c r="BH17" s="183">
        <v>40963</v>
      </c>
      <c r="BI17" s="159">
        <v>41170</v>
      </c>
      <c r="BJ17" s="75"/>
      <c r="BK17" s="867"/>
      <c r="BL17" s="766"/>
      <c r="BM17" s="785">
        <v>41288</v>
      </c>
      <c r="BN17" s="950"/>
      <c r="BO17" s="950"/>
      <c r="BP17" s="125">
        <f t="shared" si="63"/>
        <v>41378</v>
      </c>
      <c r="BQ17" s="78"/>
      <c r="BR17" s="224">
        <v>41395</v>
      </c>
      <c r="BS17" s="224">
        <f t="shared" si="5"/>
        <v>42125</v>
      </c>
      <c r="BT17" s="605">
        <v>52325</v>
      </c>
      <c r="BU17" s="224" t="str">
        <f t="shared" si="61"/>
        <v>oui</v>
      </c>
      <c r="BV17" s="784">
        <f t="shared" si="59"/>
        <v>-20.033333333333335</v>
      </c>
      <c r="BW17" s="605" t="str">
        <f t="shared" si="60"/>
        <v>0</v>
      </c>
      <c r="BX17" s="605">
        <f t="shared" si="8"/>
        <v>52325</v>
      </c>
      <c r="BY17" s="700"/>
      <c r="BZ17" s="767"/>
      <c r="CA17" s="700"/>
      <c r="CB17" s="700"/>
      <c r="CC17" s="700"/>
      <c r="CD17" s="701"/>
      <c r="CE17" s="701"/>
      <c r="CF17" s="701"/>
      <c r="CG17" s="701"/>
      <c r="CH17" s="701"/>
      <c r="CI17" s="701"/>
      <c r="CJ17" s="701"/>
      <c r="CK17" s="701"/>
      <c r="CL17" s="701"/>
      <c r="CM17" s="701"/>
      <c r="CN17" s="701"/>
      <c r="CO17" s="701"/>
      <c r="CP17" s="701"/>
      <c r="CQ17" s="95"/>
      <c r="CR17" s="95"/>
      <c r="CS17" s="95"/>
      <c r="CT17" s="475" t="str">
        <f t="shared" si="9"/>
        <v>0</v>
      </c>
      <c r="CU17" s="95"/>
      <c r="CV17" s="95"/>
      <c r="CW17" s="475" t="str">
        <f t="shared" si="10"/>
        <v>0</v>
      </c>
      <c r="CX17" s="95"/>
      <c r="CY17" s="95"/>
      <c r="CZ17" s="475" t="str">
        <f t="shared" si="11"/>
        <v>0</v>
      </c>
      <c r="DA17" s="95"/>
      <c r="DB17" s="95"/>
      <c r="DC17" s="475" t="str">
        <f t="shared" si="12"/>
        <v>0</v>
      </c>
      <c r="DD17" s="97"/>
      <c r="DE17" s="514"/>
      <c r="DF17" s="475" t="str">
        <f t="shared" si="13"/>
        <v>0</v>
      </c>
      <c r="DG17" s="440"/>
      <c r="DH17" s="178"/>
      <c r="DI17" s="95"/>
      <c r="DJ17" s="178"/>
      <c r="DK17" s="475" t="str">
        <f t="shared" si="14"/>
        <v>0</v>
      </c>
      <c r="DL17" s="95"/>
      <c r="DM17" s="332">
        <v>41309</v>
      </c>
      <c r="DN17" s="323">
        <v>2013</v>
      </c>
      <c r="DO17" s="433">
        <f t="shared" si="15"/>
        <v>4.6333333333333337</v>
      </c>
      <c r="DP17" s="475" t="str">
        <f t="shared" si="16"/>
        <v>0</v>
      </c>
      <c r="DQ17" s="198">
        <v>14</v>
      </c>
      <c r="DR17" s="300">
        <f t="shared" si="17"/>
        <v>46</v>
      </c>
      <c r="DS17" s="95"/>
      <c r="DT17" s="178"/>
      <c r="DU17" s="475" t="str">
        <f t="shared" si="18"/>
        <v>0</v>
      </c>
      <c r="DV17" s="515"/>
      <c r="DW17" s="512"/>
      <c r="DX17" s="478" t="str">
        <f t="shared" si="19"/>
        <v>0</v>
      </c>
      <c r="DY17" s="97"/>
      <c r="DZ17" s="237"/>
      <c r="EA17" s="475" t="str">
        <f t="shared" si="20"/>
        <v>0</v>
      </c>
      <c r="EB17" s="95"/>
      <c r="EC17" s="95"/>
      <c r="ED17" s="475" t="str">
        <f t="shared" si="21"/>
        <v>0</v>
      </c>
      <c r="EE17" s="95"/>
      <c r="EF17" s="95"/>
      <c r="EG17" s="475" t="str">
        <f t="shared" si="22"/>
        <v>0</v>
      </c>
      <c r="EH17" s="95"/>
      <c r="EI17" s="95"/>
      <c r="EJ17" s="475" t="str">
        <f t="shared" si="23"/>
        <v>0</v>
      </c>
      <c r="EK17" s="95"/>
      <c r="EL17" s="95"/>
      <c r="EM17" s="475" t="str">
        <f t="shared" si="24"/>
        <v>0</v>
      </c>
      <c r="EN17" s="95"/>
      <c r="EO17" s="95"/>
      <c r="EP17" s="95"/>
      <c r="EQ17" s="695">
        <f t="shared" si="25"/>
        <v>41733</v>
      </c>
      <c r="ER17" s="332">
        <v>42713</v>
      </c>
      <c r="ES17" s="642">
        <f t="shared" si="26"/>
        <v>32.666666666666664</v>
      </c>
      <c r="ET17" s="929"/>
      <c r="EU17" s="847"/>
      <c r="EV17" s="237">
        <v>42788</v>
      </c>
      <c r="EW17" s="237" t="s">
        <v>107</v>
      </c>
      <c r="EX17" s="98" t="s">
        <v>107</v>
      </c>
      <c r="EY17" s="534"/>
      <c r="EZ17" s="746">
        <f t="shared" si="27"/>
        <v>41763</v>
      </c>
      <c r="FA17" s="331">
        <v>42726</v>
      </c>
      <c r="FB17" s="325">
        <v>2016</v>
      </c>
      <c r="FC17" s="639">
        <f t="shared" si="28"/>
        <v>32.1</v>
      </c>
      <c r="FD17" s="630">
        <f>79535/12</f>
        <v>6627.916666666667</v>
      </c>
      <c r="FE17" s="236">
        <f t="shared" si="29"/>
        <v>212756.12500000003</v>
      </c>
      <c r="FF17" s="237" t="s">
        <v>107</v>
      </c>
      <c r="FG17" s="498"/>
      <c r="FH17" s="624">
        <f t="shared" si="62"/>
        <v>5573.57</v>
      </c>
      <c r="FI17" s="502"/>
      <c r="FJ17" s="502"/>
      <c r="FK17" s="502"/>
      <c r="FL17" s="664">
        <f t="shared" si="31"/>
        <v>0</v>
      </c>
      <c r="FM17" s="499"/>
      <c r="FN17" s="511" t="s">
        <v>607</v>
      </c>
      <c r="FO17" s="499"/>
      <c r="FP17" s="499"/>
      <c r="FQ17" s="92" t="s">
        <v>417</v>
      </c>
      <c r="FR17" s="92"/>
      <c r="FS17" s="295" t="s">
        <v>452</v>
      </c>
      <c r="FT17" s="92" t="s">
        <v>653</v>
      </c>
      <c r="FU17" s="156">
        <v>42928</v>
      </c>
      <c r="FV17" s="156">
        <v>43000</v>
      </c>
      <c r="FW17" s="95">
        <f t="shared" si="64"/>
        <v>43078</v>
      </c>
      <c r="FX17" s="609">
        <v>41687</v>
      </c>
      <c r="FY17" s="150">
        <v>42779</v>
      </c>
      <c r="FZ17" s="150">
        <v>42779</v>
      </c>
      <c r="GA17" s="150"/>
      <c r="GB17" s="94"/>
      <c r="GC17" s="94"/>
      <c r="GD17" s="584"/>
      <c r="GE17" s="94"/>
      <c r="GF17" s="142" t="s">
        <v>647</v>
      </c>
      <c r="GG17" s="94"/>
      <c r="GH17" s="180">
        <v>42808</v>
      </c>
      <c r="GI17" s="180" t="s">
        <v>107</v>
      </c>
      <c r="GJ17" s="95" t="s">
        <v>107</v>
      </c>
      <c r="GK17" s="95" t="s">
        <v>107</v>
      </c>
      <c r="GL17" s="552">
        <v>2618300</v>
      </c>
      <c r="GM17" s="979">
        <f t="shared" si="33"/>
        <v>3124473.57</v>
      </c>
      <c r="GN17" s="772">
        <f t="shared" si="34"/>
        <v>3124473.57</v>
      </c>
      <c r="GO17" s="683">
        <f t="shared" si="35"/>
        <v>3124473.57</v>
      </c>
      <c r="GP17" s="909">
        <f t="shared" si="36"/>
        <v>339997</v>
      </c>
      <c r="GQ17" s="35">
        <f t="shared" si="37"/>
        <v>2519.3304063860664</v>
      </c>
      <c r="GR17" s="35">
        <f t="shared" si="38"/>
        <v>183792.56294117647</v>
      </c>
      <c r="GS17" s="11">
        <v>750248</v>
      </c>
      <c r="GT17" s="577"/>
      <c r="GU17" s="19">
        <f t="shared" si="39"/>
        <v>44132.23529411765</v>
      </c>
      <c r="GV17" s="11">
        <f t="shared" si="40"/>
        <v>1395754</v>
      </c>
      <c r="GW17" s="12">
        <v>259962</v>
      </c>
      <c r="GX17" s="12">
        <v>1135792</v>
      </c>
      <c r="GY17" s="567">
        <f t="shared" si="41"/>
        <v>82103.176470588238</v>
      </c>
      <c r="GZ17" s="11">
        <v>717901</v>
      </c>
      <c r="HA17" s="14">
        <v>254997</v>
      </c>
      <c r="HB17" s="52">
        <v>85000</v>
      </c>
      <c r="HC17" s="28">
        <f t="shared" si="42"/>
        <v>8.161278829444539E-2</v>
      </c>
      <c r="HD17" s="862"/>
      <c r="HE17" s="862"/>
      <c r="HF17" s="14">
        <v>0</v>
      </c>
      <c r="HG17" s="35">
        <f t="shared" si="43"/>
        <v>14999.823529411764</v>
      </c>
      <c r="HH17" s="35">
        <f t="shared" si="44"/>
        <v>59132.058823529413</v>
      </c>
      <c r="HI17" s="27">
        <v>508572.84914999997</v>
      </c>
      <c r="HJ17" s="27">
        <v>340000</v>
      </c>
      <c r="HK17" s="19" t="e">
        <f>(#REF!+#REF!+HJ17)/AE17</f>
        <v>#REF!</v>
      </c>
      <c r="HL17" s="27">
        <v>0</v>
      </c>
      <c r="HM17" s="19">
        <f t="shared" si="45"/>
        <v>79132.058823529413</v>
      </c>
      <c r="HN17" s="36">
        <f t="shared" si="46"/>
        <v>0.38707522332546446</v>
      </c>
      <c r="HO17" s="27">
        <v>157636.68239999999</v>
      </c>
      <c r="HP17" s="27"/>
      <c r="HQ17" s="11">
        <v>5573.57</v>
      </c>
      <c r="HR17" s="898"/>
      <c r="HS17" s="907">
        <f t="shared" si="47"/>
        <v>0</v>
      </c>
      <c r="HT17" s="915">
        <f t="shared" si="48"/>
        <v>3124473.57</v>
      </c>
      <c r="HU17" s="898">
        <f t="shared" ca="1" si="49"/>
        <v>3124473.57</v>
      </c>
      <c r="HV17" s="898"/>
      <c r="HW17" s="898"/>
      <c r="HX17" s="898">
        <f t="shared" si="50"/>
        <v>339997</v>
      </c>
      <c r="HY17" s="908">
        <f t="shared" si="51"/>
        <v>0</v>
      </c>
      <c r="HZ17" s="908"/>
      <c r="IA17" s="29" t="e">
        <f>#REF!+HI17</f>
        <v>#REF!</v>
      </c>
      <c r="IB17" s="752"/>
      <c r="IC17" s="73"/>
      <c r="ID17" s="73"/>
      <c r="IE17" s="73"/>
      <c r="IF17" s="73"/>
    </row>
    <row r="18" spans="1:240" ht="20.100000000000001" customHeight="1">
      <c r="A18" s="65" t="s">
        <v>803</v>
      </c>
      <c r="B18" s="297"/>
      <c r="C18" s="8" t="s">
        <v>21</v>
      </c>
      <c r="D18" s="8" t="s">
        <v>92</v>
      </c>
      <c r="E18" s="8">
        <v>2012</v>
      </c>
      <c r="F18" s="8" t="s">
        <v>69</v>
      </c>
      <c r="G18" s="8" t="s">
        <v>299</v>
      </c>
      <c r="H18" s="671"/>
      <c r="I18" s="39" t="s">
        <v>193</v>
      </c>
      <c r="J18" s="39"/>
      <c r="K18" s="39"/>
      <c r="L18" s="374" t="s">
        <v>465</v>
      </c>
      <c r="M18" s="122"/>
      <c r="N18" s="122"/>
      <c r="O18" s="122"/>
      <c r="P18" s="161">
        <v>12495</v>
      </c>
      <c r="Q18" s="161">
        <v>825000</v>
      </c>
      <c r="R18" s="161">
        <v>546365</v>
      </c>
      <c r="S18" s="161">
        <f t="shared" si="65"/>
        <v>12692.307692307691</v>
      </c>
      <c r="T18" s="161">
        <f t="shared" si="66"/>
        <v>66.026410564225685</v>
      </c>
      <c r="U18" s="161">
        <f t="shared" si="67"/>
        <v>43.726690676270508</v>
      </c>
      <c r="V18" s="161">
        <f t="shared" si="68"/>
        <v>102.26067849365454</v>
      </c>
      <c r="W18" s="161">
        <f t="shared" si="69"/>
        <v>8405.6153846153848</v>
      </c>
      <c r="X18" s="161">
        <f t="shared" si="70"/>
        <v>192.23076923076923</v>
      </c>
      <c r="Y18" s="161"/>
      <c r="Z18" s="733">
        <f t="shared" si="0"/>
        <v>52.020808323329334</v>
      </c>
      <c r="AA18" s="162" t="s">
        <v>169</v>
      </c>
      <c r="AB18" s="164">
        <v>850</v>
      </c>
      <c r="AC18" s="165"/>
      <c r="AD18" s="8" t="s">
        <v>10</v>
      </c>
      <c r="AE18" s="674">
        <f t="shared" si="1"/>
        <v>65</v>
      </c>
      <c r="AF18" s="674">
        <f t="shared" si="2"/>
        <v>65</v>
      </c>
      <c r="AG18" s="9"/>
      <c r="AH18" s="8">
        <v>65</v>
      </c>
      <c r="AI18" s="50"/>
      <c r="AJ18" s="50"/>
      <c r="AK18" s="607">
        <v>4862.7300000000032</v>
      </c>
      <c r="AL18" s="426">
        <v>5342.8650000000043</v>
      </c>
      <c r="AM18" s="875">
        <f t="shared" si="3"/>
        <v>74.811230769230818</v>
      </c>
      <c r="AN18" s="10">
        <f t="shared" si="4"/>
        <v>82.197923076923146</v>
      </c>
      <c r="AO18" s="43">
        <v>5.51</v>
      </c>
      <c r="AP18" s="43">
        <v>5.01</v>
      </c>
      <c r="AQ18" s="43">
        <v>411.89554665846191</v>
      </c>
      <c r="AR18" s="61">
        <f>0/AE18</f>
        <v>0</v>
      </c>
      <c r="AS18" s="61">
        <f>19/AE18</f>
        <v>0.29230769230769232</v>
      </c>
      <c r="AT18" s="61">
        <f>20/AE18</f>
        <v>0.30769230769230771</v>
      </c>
      <c r="AU18" s="61">
        <f>23/AE18</f>
        <v>0.35384615384615387</v>
      </c>
      <c r="AV18" s="61">
        <f>3/AE18</f>
        <v>4.6153846153846156E-2</v>
      </c>
      <c r="AW18" s="10" t="s">
        <v>166</v>
      </c>
      <c r="AX18" s="59">
        <v>2000</v>
      </c>
      <c r="AY18" s="61">
        <f t="shared" si="71"/>
        <v>0.1600640256102441</v>
      </c>
      <c r="AZ18" s="43">
        <v>2.5</v>
      </c>
      <c r="BA18" s="42" t="s">
        <v>439</v>
      </c>
      <c r="BB18" s="10" t="s">
        <v>100</v>
      </c>
      <c r="BC18" s="43"/>
      <c r="BD18" s="43"/>
      <c r="BE18" s="43"/>
      <c r="BF18" s="43"/>
      <c r="BG18" s="39"/>
      <c r="BH18" s="143">
        <v>40963</v>
      </c>
      <c r="BI18" s="159">
        <v>41091</v>
      </c>
      <c r="BJ18" s="75"/>
      <c r="BK18" s="867"/>
      <c r="BL18" s="766"/>
      <c r="BM18" s="785">
        <v>41262</v>
      </c>
      <c r="BN18" s="950"/>
      <c r="BO18" s="950"/>
      <c r="BP18" s="125">
        <f t="shared" si="63"/>
        <v>41352</v>
      </c>
      <c r="BQ18" s="78"/>
      <c r="BR18" s="224">
        <v>41365</v>
      </c>
      <c r="BS18" s="224">
        <f t="shared" si="5"/>
        <v>42095</v>
      </c>
      <c r="BT18" s="605">
        <v>228526</v>
      </c>
      <c r="BU18" s="224" t="str">
        <f t="shared" si="61"/>
        <v>oui</v>
      </c>
      <c r="BV18" s="784">
        <f t="shared" si="59"/>
        <v>-26.133333333333333</v>
      </c>
      <c r="BW18" s="605" t="str">
        <f t="shared" si="60"/>
        <v>0</v>
      </c>
      <c r="BX18" s="605">
        <f t="shared" si="8"/>
        <v>228526</v>
      </c>
      <c r="BY18" s="700"/>
      <c r="BZ18" s="767"/>
      <c r="CA18" s="700"/>
      <c r="CB18" s="700"/>
      <c r="CC18" s="700"/>
      <c r="CD18" s="701"/>
      <c r="CE18" s="701"/>
      <c r="CF18" s="701"/>
      <c r="CG18" s="701"/>
      <c r="CH18" s="701"/>
      <c r="CI18" s="701"/>
      <c r="CJ18" s="701"/>
      <c r="CK18" s="701"/>
      <c r="CL18" s="701"/>
      <c r="CM18" s="701"/>
      <c r="CN18" s="701"/>
      <c r="CO18" s="701"/>
      <c r="CP18" s="701"/>
      <c r="CQ18" s="95"/>
      <c r="CR18" s="88"/>
      <c r="CS18" s="88"/>
      <c r="CT18" s="475" t="str">
        <f t="shared" si="9"/>
        <v>0</v>
      </c>
      <c r="CU18" s="95"/>
      <c r="CV18" s="95"/>
      <c r="CW18" s="475" t="str">
        <f t="shared" si="10"/>
        <v>0</v>
      </c>
      <c r="CX18" s="97"/>
      <c r="CY18" s="95"/>
      <c r="CZ18" s="475" t="str">
        <f t="shared" si="11"/>
        <v>0</v>
      </c>
      <c r="DA18" s="97"/>
      <c r="DB18" s="95"/>
      <c r="DC18" s="475" t="str">
        <f t="shared" si="12"/>
        <v>0</v>
      </c>
      <c r="DD18" s="97"/>
      <c r="DE18" s="514"/>
      <c r="DF18" s="475" t="str">
        <f t="shared" si="13"/>
        <v>0</v>
      </c>
      <c r="DG18" s="185"/>
      <c r="DH18" s="178"/>
      <c r="DI18" s="95"/>
      <c r="DJ18" s="178"/>
      <c r="DK18" s="475" t="str">
        <f t="shared" si="14"/>
        <v>0</v>
      </c>
      <c r="DL18" s="95"/>
      <c r="DM18" s="329">
        <v>41320</v>
      </c>
      <c r="DN18" s="323">
        <v>2013</v>
      </c>
      <c r="DO18" s="433">
        <f t="shared" si="15"/>
        <v>7.6333333333333337</v>
      </c>
      <c r="DP18" s="475" t="str">
        <f t="shared" si="16"/>
        <v>0</v>
      </c>
      <c r="DQ18" s="90">
        <v>21</v>
      </c>
      <c r="DR18" s="90">
        <f t="shared" si="17"/>
        <v>51</v>
      </c>
      <c r="DS18" s="95"/>
      <c r="DT18" s="178"/>
      <c r="DU18" s="475" t="str">
        <f t="shared" si="18"/>
        <v>0</v>
      </c>
      <c r="DV18" s="515"/>
      <c r="DW18" s="512"/>
      <c r="DX18" s="478" t="str">
        <f t="shared" si="19"/>
        <v>0</v>
      </c>
      <c r="DY18" s="97"/>
      <c r="DZ18" s="237"/>
      <c r="EA18" s="475" t="str">
        <f t="shared" si="20"/>
        <v>0</v>
      </c>
      <c r="EB18" s="178"/>
      <c r="EC18" s="95"/>
      <c r="ED18" s="475" t="str">
        <f t="shared" si="21"/>
        <v>0</v>
      </c>
      <c r="EE18" s="88"/>
      <c r="EF18" s="88"/>
      <c r="EG18" s="475" t="str">
        <f t="shared" si="22"/>
        <v>0</v>
      </c>
      <c r="EH18" s="88"/>
      <c r="EI18" s="88"/>
      <c r="EJ18" s="475" t="str">
        <f t="shared" si="23"/>
        <v>0</v>
      </c>
      <c r="EK18" s="88"/>
      <c r="EL18" s="88"/>
      <c r="EM18" s="475" t="str">
        <f t="shared" si="24"/>
        <v>0</v>
      </c>
      <c r="EN18" s="88"/>
      <c r="EO18" s="88"/>
      <c r="EP18" s="88"/>
      <c r="EQ18" s="517">
        <f t="shared" si="25"/>
        <v>41958</v>
      </c>
      <c r="ER18" s="330">
        <v>42875</v>
      </c>
      <c r="ES18" s="642">
        <f t="shared" si="26"/>
        <v>30.566666666666666</v>
      </c>
      <c r="ET18" s="929"/>
      <c r="EU18" s="441"/>
      <c r="EV18" s="89">
        <v>42879</v>
      </c>
      <c r="EW18" s="89">
        <v>42535</v>
      </c>
      <c r="EX18" s="98">
        <v>42864</v>
      </c>
      <c r="EY18" s="441"/>
      <c r="EZ18" s="746">
        <f t="shared" si="27"/>
        <v>41988</v>
      </c>
      <c r="FA18" s="331">
        <v>42879</v>
      </c>
      <c r="FB18" s="325">
        <v>2017</v>
      </c>
      <c r="FC18" s="639">
        <f t="shared" si="28"/>
        <v>29.7</v>
      </c>
      <c r="FD18" s="434">
        <f>329858.71178776/12</f>
        <v>27488.225982313335</v>
      </c>
      <c r="FE18" s="236">
        <f t="shared" si="29"/>
        <v>816400.31167470606</v>
      </c>
      <c r="FF18" s="144" t="s">
        <v>107</v>
      </c>
      <c r="FG18" s="498"/>
      <c r="FH18" s="624">
        <f t="shared" si="62"/>
        <v>36111</v>
      </c>
      <c r="FI18" s="502"/>
      <c r="FJ18" s="502"/>
      <c r="FK18" s="502"/>
      <c r="FL18" s="664">
        <f t="shared" si="31"/>
        <v>0</v>
      </c>
      <c r="FM18" s="499"/>
      <c r="FN18" s="511" t="s">
        <v>596</v>
      </c>
      <c r="FO18" s="499"/>
      <c r="FP18" s="499"/>
      <c r="FQ18" s="94"/>
      <c r="FR18" s="182" t="s">
        <v>107</v>
      </c>
      <c r="FS18" s="94"/>
      <c r="FT18" s="94"/>
      <c r="FU18" s="150">
        <v>43186</v>
      </c>
      <c r="FV18" s="202" t="s">
        <v>918</v>
      </c>
      <c r="FW18" s="237">
        <f t="shared" si="64"/>
        <v>43240</v>
      </c>
      <c r="FX18" s="609">
        <v>206245</v>
      </c>
      <c r="FY18" s="150" t="s">
        <v>107</v>
      </c>
      <c r="FZ18" s="150">
        <v>42907</v>
      </c>
      <c r="GA18" s="150"/>
      <c r="GB18" s="94"/>
      <c r="GC18" s="94"/>
      <c r="GD18" s="238">
        <v>43185</v>
      </c>
      <c r="GE18" s="94"/>
      <c r="GF18" s="142" t="s">
        <v>645</v>
      </c>
      <c r="GG18" s="39"/>
      <c r="GH18" s="238">
        <v>43223</v>
      </c>
      <c r="GI18" s="88" t="s">
        <v>107</v>
      </c>
      <c r="GJ18" s="94"/>
      <c r="GK18" s="94"/>
      <c r="GL18" s="552">
        <v>9682468.3900000006</v>
      </c>
      <c r="GM18" s="979">
        <f t="shared" si="33"/>
        <v>10359154.550000001</v>
      </c>
      <c r="GN18" s="772">
        <f t="shared" si="34"/>
        <v>10359154.550000001</v>
      </c>
      <c r="GO18" s="683">
        <f t="shared" si="35"/>
        <v>10359154.550000001</v>
      </c>
      <c r="GP18" s="909">
        <f t="shared" si="36"/>
        <v>790394</v>
      </c>
      <c r="GQ18" s="35">
        <f t="shared" si="37"/>
        <v>1938.8763425615268</v>
      </c>
      <c r="GR18" s="35">
        <f t="shared" si="38"/>
        <v>159371.60846153848</v>
      </c>
      <c r="GS18" s="11">
        <v>3195831</v>
      </c>
      <c r="GT18" s="577"/>
      <c r="GU18" s="19">
        <f t="shared" si="39"/>
        <v>49166.630769230767</v>
      </c>
      <c r="GV18" s="11">
        <f t="shared" si="40"/>
        <v>6112292.5499999998</v>
      </c>
      <c r="GW18" s="12">
        <v>1264343</v>
      </c>
      <c r="GX18" s="12">
        <v>4847949.55</v>
      </c>
      <c r="GY18" s="567">
        <f t="shared" si="41"/>
        <v>94035.27</v>
      </c>
      <c r="GZ18" s="11">
        <v>224526</v>
      </c>
      <c r="HA18" s="14">
        <v>790394</v>
      </c>
      <c r="HB18" s="52"/>
      <c r="HC18" s="28">
        <f t="shared" si="42"/>
        <v>7.6299083693079944E-2</v>
      </c>
      <c r="HD18" s="53"/>
      <c r="HE18" s="53"/>
      <c r="HF18" s="14">
        <v>0</v>
      </c>
      <c r="HG18" s="35">
        <f t="shared" si="43"/>
        <v>12159.907692307692</v>
      </c>
      <c r="HH18" s="35">
        <f t="shared" si="44"/>
        <v>61326.538461538461</v>
      </c>
      <c r="HI18" s="27">
        <v>1951680.4950927752</v>
      </c>
      <c r="HJ18" s="27">
        <v>1300000</v>
      </c>
      <c r="HK18" s="19">
        <f>(GS18+HA18+HJ18)/AE18</f>
        <v>81326.538461538468</v>
      </c>
      <c r="HL18" s="27">
        <v>0</v>
      </c>
      <c r="HM18" s="19">
        <f t="shared" si="45"/>
        <v>81326.538461538468</v>
      </c>
      <c r="HN18" s="36">
        <f t="shared" si="46"/>
        <v>0.44977679130011533</v>
      </c>
      <c r="HO18" s="27">
        <v>557838.66500000004</v>
      </c>
      <c r="HP18" s="773"/>
      <c r="HQ18" s="11">
        <v>36111</v>
      </c>
      <c r="HR18" s="898"/>
      <c r="HS18" s="907">
        <f t="shared" si="47"/>
        <v>0</v>
      </c>
      <c r="HT18" s="915">
        <f t="shared" si="48"/>
        <v>10359154.550000001</v>
      </c>
      <c r="HU18" s="898">
        <f t="shared" ca="1" si="49"/>
        <v>10359154.550000001</v>
      </c>
      <c r="HV18" s="898"/>
      <c r="HW18" s="898"/>
      <c r="HX18" s="898">
        <f t="shared" si="50"/>
        <v>790394</v>
      </c>
      <c r="HY18" s="908">
        <f t="shared" si="51"/>
        <v>0</v>
      </c>
      <c r="HZ18" s="908"/>
      <c r="IA18" s="29">
        <f>GN18+HI18</f>
        <v>12310835.045092776</v>
      </c>
      <c r="IB18" s="752"/>
      <c r="IC18" s="73"/>
      <c r="ID18" s="73"/>
      <c r="IE18" s="73"/>
      <c r="IF18" s="73"/>
    </row>
    <row r="19" spans="1:240" ht="20.100000000000001" customHeight="1">
      <c r="A19" s="18" t="s">
        <v>58</v>
      </c>
      <c r="B19" s="40"/>
      <c r="C19" s="8" t="s">
        <v>62</v>
      </c>
      <c r="D19" s="8" t="s">
        <v>94</v>
      </c>
      <c r="E19" s="8">
        <v>2012</v>
      </c>
      <c r="F19" s="8" t="s">
        <v>64</v>
      </c>
      <c r="G19" s="8" t="s">
        <v>40</v>
      </c>
      <c r="H19" s="671"/>
      <c r="I19" s="8" t="s">
        <v>193</v>
      </c>
      <c r="J19" s="39"/>
      <c r="K19" s="39"/>
      <c r="L19" s="199"/>
      <c r="M19" s="122"/>
      <c r="N19" s="122"/>
      <c r="O19" s="122"/>
      <c r="P19" s="161">
        <v>606</v>
      </c>
      <c r="Q19" s="161">
        <v>89040</v>
      </c>
      <c r="R19" s="161">
        <v>51520</v>
      </c>
      <c r="S19" s="161">
        <f t="shared" si="65"/>
        <v>12720</v>
      </c>
      <c r="T19" s="161">
        <f t="shared" si="66"/>
        <v>146.93069306930693</v>
      </c>
      <c r="U19" s="161">
        <f t="shared" si="67"/>
        <v>85.016501650165011</v>
      </c>
      <c r="V19" s="161">
        <f t="shared" si="68"/>
        <v>96.464949071300168</v>
      </c>
      <c r="W19" s="161">
        <f t="shared" si="69"/>
        <v>7360</v>
      </c>
      <c r="X19" s="161">
        <f t="shared" si="70"/>
        <v>86.571428571428569</v>
      </c>
      <c r="Y19" s="162">
        <v>300</v>
      </c>
      <c r="Z19" s="733">
        <f t="shared" si="0"/>
        <v>115.51155115511551</v>
      </c>
      <c r="AA19" s="162" t="s">
        <v>169</v>
      </c>
      <c r="AB19" s="164">
        <v>606</v>
      </c>
      <c r="AC19" s="164"/>
      <c r="AD19" s="8" t="s">
        <v>10</v>
      </c>
      <c r="AE19" s="674">
        <f t="shared" si="1"/>
        <v>7</v>
      </c>
      <c r="AF19" s="674">
        <f t="shared" si="2"/>
        <v>7</v>
      </c>
      <c r="AG19" s="9"/>
      <c r="AH19" s="8">
        <v>7</v>
      </c>
      <c r="AI19" s="50"/>
      <c r="AJ19" s="50"/>
      <c r="AK19" s="44">
        <v>477.68999999999994</v>
      </c>
      <c r="AL19" s="426">
        <v>534.08000000000004</v>
      </c>
      <c r="AM19" s="875">
        <f t="shared" si="3"/>
        <v>68.241428571428557</v>
      </c>
      <c r="AN19" s="10">
        <f t="shared" si="4"/>
        <v>76.297142857142859</v>
      </c>
      <c r="AO19" s="43">
        <v>5.72</v>
      </c>
      <c r="AP19" s="43">
        <v>5.12</v>
      </c>
      <c r="AQ19" s="43">
        <v>390.42</v>
      </c>
      <c r="AR19" s="61"/>
      <c r="AS19" s="61">
        <f>2/AH19</f>
        <v>0.2857142857142857</v>
      </c>
      <c r="AT19" s="61">
        <f>4/AH19</f>
        <v>0.5714285714285714</v>
      </c>
      <c r="AU19" s="61">
        <f>1/AH19</f>
        <v>0.14285714285714285</v>
      </c>
      <c r="AV19" s="61"/>
      <c r="AW19" s="10">
        <v>217.58</v>
      </c>
      <c r="AX19" s="59">
        <v>238</v>
      </c>
      <c r="AY19" s="61">
        <f t="shared" si="71"/>
        <v>0.39273927392739272</v>
      </c>
      <c r="AZ19" s="43">
        <v>2</v>
      </c>
      <c r="BA19" s="42" t="s">
        <v>439</v>
      </c>
      <c r="BB19" s="10" t="s">
        <v>100</v>
      </c>
      <c r="BC19" s="43"/>
      <c r="BD19" s="43"/>
      <c r="BE19" s="43"/>
      <c r="BF19" s="43"/>
      <c r="BG19" s="39"/>
      <c r="BH19" s="143">
        <v>40963</v>
      </c>
      <c r="BI19" s="159">
        <v>41171</v>
      </c>
      <c r="BJ19" s="75"/>
      <c r="BK19" s="867"/>
      <c r="BL19" s="766"/>
      <c r="BM19" s="785">
        <v>41274</v>
      </c>
      <c r="BN19" s="950"/>
      <c r="BO19" s="950"/>
      <c r="BP19" s="125">
        <f t="shared" si="63"/>
        <v>41364</v>
      </c>
      <c r="BQ19" s="78"/>
      <c r="BR19" s="224">
        <v>41365</v>
      </c>
      <c r="BS19" s="224">
        <f t="shared" si="5"/>
        <v>42095</v>
      </c>
      <c r="BT19" s="605">
        <v>22679</v>
      </c>
      <c r="BU19" s="224" t="str">
        <f t="shared" si="61"/>
        <v>non</v>
      </c>
      <c r="BV19" s="784">
        <f t="shared" si="59"/>
        <v>6.7</v>
      </c>
      <c r="BW19" s="605">
        <f t="shared" si="60"/>
        <v>18864.408333333336</v>
      </c>
      <c r="BX19" s="605">
        <f t="shared" si="8"/>
        <v>3814.5916666666635</v>
      </c>
      <c r="BY19" s="700"/>
      <c r="BZ19" s="767"/>
      <c r="CA19" s="700"/>
      <c r="CB19" s="700"/>
      <c r="CC19" s="700"/>
      <c r="CD19" s="701"/>
      <c r="CE19" s="701"/>
      <c r="CF19" s="701"/>
      <c r="CG19" s="701"/>
      <c r="CH19" s="701"/>
      <c r="CI19" s="701"/>
      <c r="CJ19" s="701"/>
      <c r="CK19" s="701"/>
      <c r="CL19" s="701"/>
      <c r="CM19" s="701"/>
      <c r="CN19" s="701"/>
      <c r="CO19" s="701"/>
      <c r="CP19" s="701"/>
      <c r="CQ19" s="95"/>
      <c r="CR19" s="88"/>
      <c r="CS19" s="88"/>
      <c r="CT19" s="475" t="str">
        <f t="shared" si="9"/>
        <v>0</v>
      </c>
      <c r="CU19" s="95"/>
      <c r="CV19" s="95"/>
      <c r="CW19" s="475" t="str">
        <f t="shared" si="10"/>
        <v>0</v>
      </c>
      <c r="CX19" s="97"/>
      <c r="CY19" s="95"/>
      <c r="CZ19" s="475" t="str">
        <f t="shared" si="11"/>
        <v>0</v>
      </c>
      <c r="DA19" s="97"/>
      <c r="DB19" s="95"/>
      <c r="DC19" s="475" t="str">
        <f t="shared" si="12"/>
        <v>0</v>
      </c>
      <c r="DD19" s="97"/>
      <c r="DE19" s="514"/>
      <c r="DF19" s="475" t="str">
        <f t="shared" si="13"/>
        <v>0</v>
      </c>
      <c r="DG19" s="440"/>
      <c r="DH19" s="178"/>
      <c r="DI19" s="95"/>
      <c r="DJ19" s="178"/>
      <c r="DK19" s="475" t="str">
        <f t="shared" si="14"/>
        <v>0</v>
      </c>
      <c r="DL19" s="95"/>
      <c r="DM19" s="331">
        <v>41400</v>
      </c>
      <c r="DN19" s="323">
        <v>2013</v>
      </c>
      <c r="DO19" s="433">
        <f t="shared" si="15"/>
        <v>7.6333333333333337</v>
      </c>
      <c r="DP19" s="475" t="str">
        <f t="shared" si="16"/>
        <v>0</v>
      </c>
      <c r="DQ19" s="97">
        <v>10</v>
      </c>
      <c r="DR19" s="90">
        <f t="shared" si="17"/>
        <v>14</v>
      </c>
      <c r="DS19" s="237"/>
      <c r="DT19" s="236"/>
      <c r="DU19" s="616" t="str">
        <f t="shared" si="18"/>
        <v>0</v>
      </c>
      <c r="DV19" s="633"/>
      <c r="DW19" s="555"/>
      <c r="DX19" s="556" t="str">
        <f t="shared" si="19"/>
        <v>0</v>
      </c>
      <c r="DY19" s="198"/>
      <c r="DZ19" s="237"/>
      <c r="EA19" s="616" t="str">
        <f t="shared" si="20"/>
        <v>0</v>
      </c>
      <c r="EB19" s="236"/>
      <c r="EC19" s="237"/>
      <c r="ED19" s="616" t="str">
        <f t="shared" si="21"/>
        <v>0</v>
      </c>
      <c r="EE19" s="297"/>
      <c r="EF19" s="297"/>
      <c r="EG19" s="616" t="str">
        <f t="shared" si="22"/>
        <v>0</v>
      </c>
      <c r="EH19" s="297"/>
      <c r="EI19" s="298"/>
      <c r="EJ19" s="616" t="str">
        <f t="shared" si="23"/>
        <v>0</v>
      </c>
      <c r="EK19" s="237"/>
      <c r="EL19" s="236"/>
      <c r="EM19" s="616" t="str">
        <f t="shared" si="24"/>
        <v>0</v>
      </c>
      <c r="EN19" s="236"/>
      <c r="EO19" s="236"/>
      <c r="EP19" s="236"/>
      <c r="EQ19" s="441">
        <f t="shared" si="25"/>
        <v>41704</v>
      </c>
      <c r="ER19" s="333">
        <v>41831</v>
      </c>
      <c r="ES19" s="642">
        <f t="shared" si="26"/>
        <v>4.2333333333333334</v>
      </c>
      <c r="ET19" s="929"/>
      <c r="EU19" s="533"/>
      <c r="EV19" s="98">
        <v>41883</v>
      </c>
      <c r="EW19" s="89" t="s">
        <v>107</v>
      </c>
      <c r="EX19" s="89">
        <v>41894</v>
      </c>
      <c r="EY19" s="441"/>
      <c r="EZ19" s="746">
        <f t="shared" si="27"/>
        <v>41735</v>
      </c>
      <c r="FA19" s="331">
        <v>41894</v>
      </c>
      <c r="FB19" s="530">
        <v>2014</v>
      </c>
      <c r="FC19" s="639">
        <f t="shared" si="28"/>
        <v>5.3</v>
      </c>
      <c r="FD19" s="629">
        <f>33787/12</f>
        <v>2815.5833333333335</v>
      </c>
      <c r="FE19" s="178">
        <f t="shared" si="29"/>
        <v>14922.591666666667</v>
      </c>
      <c r="FF19" s="98"/>
      <c r="FG19" s="502"/>
      <c r="FH19" s="624">
        <f t="shared" si="62"/>
        <v>50607</v>
      </c>
      <c r="FI19" s="502"/>
      <c r="FJ19" s="502"/>
      <c r="FK19" s="502"/>
      <c r="FL19" s="664">
        <f t="shared" si="31"/>
        <v>0</v>
      </c>
      <c r="FM19" s="503"/>
      <c r="FN19" s="519"/>
      <c r="FO19" s="503"/>
      <c r="FP19" s="503"/>
      <c r="FQ19" s="95"/>
      <c r="FR19" s="95"/>
      <c r="FS19" s="95"/>
      <c r="FT19" s="95"/>
      <c r="FU19" s="150" t="s">
        <v>107</v>
      </c>
      <c r="FV19" s="95">
        <v>42082</v>
      </c>
      <c r="FW19" s="95">
        <f t="shared" si="64"/>
        <v>42196</v>
      </c>
      <c r="FX19" s="609">
        <v>10711</v>
      </c>
      <c r="FY19" s="95">
        <v>41915</v>
      </c>
      <c r="FZ19" s="95">
        <v>41918</v>
      </c>
      <c r="GA19" s="95"/>
      <c r="GB19" s="95" t="s">
        <v>107</v>
      </c>
      <c r="GC19" s="95">
        <v>42346</v>
      </c>
      <c r="GD19" s="95"/>
      <c r="GE19" s="95" t="s">
        <v>107</v>
      </c>
      <c r="GF19" s="95"/>
      <c r="GG19" s="87">
        <v>42851</v>
      </c>
      <c r="GH19" s="150" t="s">
        <v>107</v>
      </c>
      <c r="GI19" s="95" t="s">
        <v>107</v>
      </c>
      <c r="GJ19" s="150" t="s">
        <v>107</v>
      </c>
      <c r="GK19" s="150" t="s">
        <v>107</v>
      </c>
      <c r="GL19" s="743"/>
      <c r="GM19" s="979">
        <f t="shared" si="33"/>
        <v>1127563</v>
      </c>
      <c r="GN19" s="772">
        <f t="shared" si="34"/>
        <v>1127563</v>
      </c>
      <c r="GO19" s="683">
        <f t="shared" si="35"/>
        <v>1127563</v>
      </c>
      <c r="GP19" s="909">
        <f t="shared" si="36"/>
        <v>177688</v>
      </c>
      <c r="GQ19" s="35">
        <f t="shared" si="37"/>
        <v>2111.2249101258235</v>
      </c>
      <c r="GR19" s="35">
        <f t="shared" si="38"/>
        <v>161080.42857142858</v>
      </c>
      <c r="GS19" s="11">
        <v>294297</v>
      </c>
      <c r="GT19" s="577"/>
      <c r="GU19" s="19">
        <f t="shared" si="39"/>
        <v>42042.428571428572</v>
      </c>
      <c r="GV19" s="11">
        <f t="shared" si="40"/>
        <v>604971</v>
      </c>
      <c r="GW19" s="12">
        <v>112853</v>
      </c>
      <c r="GX19" s="12">
        <v>492118</v>
      </c>
      <c r="GY19" s="567">
        <f t="shared" si="41"/>
        <v>86424.428571428565</v>
      </c>
      <c r="GZ19" s="11">
        <v>0</v>
      </c>
      <c r="HA19" s="14">
        <v>177688</v>
      </c>
      <c r="HB19" s="52"/>
      <c r="HC19" s="28">
        <f t="shared" si="42"/>
        <v>0.15758587325054121</v>
      </c>
      <c r="HD19" s="53"/>
      <c r="HE19" s="53"/>
      <c r="HF19" s="14">
        <v>0</v>
      </c>
      <c r="HG19" s="35">
        <f t="shared" si="43"/>
        <v>25384</v>
      </c>
      <c r="HH19" s="35">
        <f t="shared" si="44"/>
        <v>67426.428571428565</v>
      </c>
      <c r="HI19" s="27">
        <v>176884.08837750001</v>
      </c>
      <c r="HJ19" s="27">
        <v>119543.69426743503</v>
      </c>
      <c r="HK19" s="19" t="e">
        <f>(#REF!+#REF!+HJ19)/AE19</f>
        <v>#REF!</v>
      </c>
      <c r="HL19" s="27">
        <v>0</v>
      </c>
      <c r="HM19" s="19">
        <f t="shared" si="45"/>
        <v>84504.099181062149</v>
      </c>
      <c r="HN19" s="36">
        <f t="shared" si="46"/>
        <v>0.47252544420817433</v>
      </c>
      <c r="HO19" s="27">
        <v>52601.919999999998</v>
      </c>
      <c r="HP19" s="27"/>
      <c r="HQ19" s="11">
        <v>50607</v>
      </c>
      <c r="HR19" s="898"/>
      <c r="HS19" s="907">
        <f t="shared" si="47"/>
        <v>0</v>
      </c>
      <c r="HT19" s="915">
        <f t="shared" si="48"/>
        <v>1127563</v>
      </c>
      <c r="HU19" s="898">
        <f t="shared" ca="1" si="49"/>
        <v>1127563</v>
      </c>
      <c r="HV19" s="898"/>
      <c r="HW19" s="898"/>
      <c r="HX19" s="898">
        <f t="shared" si="50"/>
        <v>177688</v>
      </c>
      <c r="HY19" s="908">
        <f t="shared" si="51"/>
        <v>0</v>
      </c>
      <c r="HZ19" s="908"/>
      <c r="IA19" s="29" t="e">
        <f>#REF!+HI19</f>
        <v>#REF!</v>
      </c>
      <c r="IB19" s="752"/>
      <c r="IC19" s="73"/>
      <c r="ID19" s="73"/>
      <c r="IE19" s="73"/>
      <c r="IF19" s="73"/>
    </row>
    <row r="20" spans="1:240" ht="20.100000000000001" customHeight="1">
      <c r="A20" s="769" t="s">
        <v>248</v>
      </c>
      <c r="B20" s="297"/>
      <c r="C20" s="8" t="s">
        <v>21</v>
      </c>
      <c r="D20" s="8" t="s">
        <v>92</v>
      </c>
      <c r="E20" s="8">
        <v>2012</v>
      </c>
      <c r="F20" s="8" t="s">
        <v>68</v>
      </c>
      <c r="G20" s="8" t="s">
        <v>74</v>
      </c>
      <c r="H20" s="671"/>
      <c r="I20" s="8" t="s">
        <v>193</v>
      </c>
      <c r="J20" s="39"/>
      <c r="K20" s="39"/>
      <c r="L20" s="199"/>
      <c r="M20" s="122"/>
      <c r="N20" s="122"/>
      <c r="O20" s="122"/>
      <c r="P20" s="161">
        <v>5530</v>
      </c>
      <c r="Q20" s="161">
        <f>R20</f>
        <v>1300000</v>
      </c>
      <c r="R20" s="161">
        <v>1300000</v>
      </c>
      <c r="S20" s="161">
        <f t="shared" si="65"/>
        <v>17333.333333333332</v>
      </c>
      <c r="T20" s="161">
        <f t="shared" si="66"/>
        <v>235.08137432188065</v>
      </c>
      <c r="U20" s="161">
        <f t="shared" si="67"/>
        <v>235.08137432188065</v>
      </c>
      <c r="V20" s="161">
        <f t="shared" si="68"/>
        <v>198.20517589947033</v>
      </c>
      <c r="W20" s="161">
        <f t="shared" si="69"/>
        <v>17333.333333333332</v>
      </c>
      <c r="X20" s="161">
        <f t="shared" si="70"/>
        <v>73.733333333333334</v>
      </c>
      <c r="Y20" s="161"/>
      <c r="Z20" s="733">
        <f t="shared" si="0"/>
        <v>135.62386980108499</v>
      </c>
      <c r="AA20" s="162" t="s">
        <v>170</v>
      </c>
      <c r="AB20" s="164"/>
      <c r="AC20" s="165"/>
      <c r="AD20" s="8" t="s">
        <v>10</v>
      </c>
      <c r="AE20" s="674">
        <f t="shared" si="1"/>
        <v>75</v>
      </c>
      <c r="AF20" s="674">
        <f t="shared" si="2"/>
        <v>75</v>
      </c>
      <c r="AG20" s="9"/>
      <c r="AH20" s="8">
        <v>75</v>
      </c>
      <c r="AI20" s="50"/>
      <c r="AJ20" s="50"/>
      <c r="AK20" s="607">
        <v>5619.25</v>
      </c>
      <c r="AL20" s="426">
        <v>6558.86</v>
      </c>
      <c r="AM20" s="875">
        <f t="shared" si="3"/>
        <v>74.923333333333332</v>
      </c>
      <c r="AN20" s="10">
        <f t="shared" si="4"/>
        <v>87.451466666666661</v>
      </c>
      <c r="AO20" s="43">
        <v>5.75</v>
      </c>
      <c r="AP20" s="43">
        <v>4.93</v>
      </c>
      <c r="AQ20" s="43">
        <v>431.01153885333326</v>
      </c>
      <c r="AR20" s="61">
        <f>5/AE20</f>
        <v>6.6666666666666666E-2</v>
      </c>
      <c r="AS20" s="61">
        <f>10/AE20</f>
        <v>0.13333333333333333</v>
      </c>
      <c r="AT20" s="61">
        <f>30/AE20</f>
        <v>0.4</v>
      </c>
      <c r="AU20" s="61">
        <f>25/AE20</f>
        <v>0.33333333333333331</v>
      </c>
      <c r="AV20" s="61">
        <f>5/AE20</f>
        <v>6.6666666666666666E-2</v>
      </c>
      <c r="AW20" s="10">
        <v>697.88</v>
      </c>
      <c r="AX20" s="59">
        <v>0</v>
      </c>
      <c r="AY20" s="61">
        <f t="shared" si="71"/>
        <v>0</v>
      </c>
      <c r="AZ20" s="43">
        <v>7</v>
      </c>
      <c r="BA20" s="42" t="s">
        <v>439</v>
      </c>
      <c r="BB20" s="10" t="s">
        <v>100</v>
      </c>
      <c r="BC20" s="43"/>
      <c r="BD20" s="43"/>
      <c r="BE20" s="43"/>
      <c r="BF20" s="43"/>
      <c r="BG20" s="39"/>
      <c r="BH20" s="143">
        <v>40963</v>
      </c>
      <c r="BI20" s="159">
        <v>41094</v>
      </c>
      <c r="BJ20" s="75"/>
      <c r="BK20" s="867"/>
      <c r="BL20" s="766"/>
      <c r="BM20" s="785">
        <v>41262</v>
      </c>
      <c r="BN20" s="950"/>
      <c r="BO20" s="950"/>
      <c r="BP20" s="125">
        <f t="shared" si="63"/>
        <v>41352</v>
      </c>
      <c r="BQ20" s="78"/>
      <c r="BR20" s="224">
        <v>41365</v>
      </c>
      <c r="BS20" s="224">
        <f t="shared" si="5"/>
        <v>42095</v>
      </c>
      <c r="BT20" s="605">
        <v>282342</v>
      </c>
      <c r="BU20" s="224" t="str">
        <f t="shared" si="61"/>
        <v>oui</v>
      </c>
      <c r="BV20" s="784">
        <f t="shared" si="59"/>
        <v>-7.9</v>
      </c>
      <c r="BW20" s="605" t="str">
        <f t="shared" si="60"/>
        <v>0</v>
      </c>
      <c r="BX20" s="605">
        <f t="shared" si="8"/>
        <v>282342</v>
      </c>
      <c r="BY20" s="700"/>
      <c r="BZ20" s="767"/>
      <c r="CA20" s="700"/>
      <c r="CB20" s="700"/>
      <c r="CC20" s="700"/>
      <c r="CD20" s="701"/>
      <c r="CE20" s="701"/>
      <c r="CF20" s="701"/>
      <c r="CG20" s="701"/>
      <c r="CH20" s="701"/>
      <c r="CI20" s="701"/>
      <c r="CJ20" s="701"/>
      <c r="CK20" s="701"/>
      <c r="CL20" s="701"/>
      <c r="CM20" s="701"/>
      <c r="CN20" s="701"/>
      <c r="CO20" s="701"/>
      <c r="CP20" s="701"/>
      <c r="CQ20" s="95"/>
      <c r="CR20" s="95"/>
      <c r="CS20" s="95"/>
      <c r="CT20" s="475" t="str">
        <f t="shared" si="9"/>
        <v>0</v>
      </c>
      <c r="CU20" s="95"/>
      <c r="CV20" s="95"/>
      <c r="CW20" s="475" t="str">
        <f t="shared" si="10"/>
        <v>0</v>
      </c>
      <c r="CX20" s="95"/>
      <c r="CY20" s="95"/>
      <c r="CZ20" s="475" t="str">
        <f t="shared" si="11"/>
        <v>0</v>
      </c>
      <c r="DA20" s="95"/>
      <c r="DB20" s="95"/>
      <c r="DC20" s="475" t="str">
        <f t="shared" si="12"/>
        <v>0</v>
      </c>
      <c r="DD20" s="97"/>
      <c r="DE20" s="514"/>
      <c r="DF20" s="475" t="str">
        <f t="shared" si="13"/>
        <v>0</v>
      </c>
      <c r="DG20" s="440"/>
      <c r="DH20" s="178"/>
      <c r="DI20" s="95"/>
      <c r="DJ20" s="178"/>
      <c r="DK20" s="475" t="str">
        <f t="shared" si="14"/>
        <v>0</v>
      </c>
      <c r="DL20" s="95"/>
      <c r="DM20" s="329">
        <v>41428</v>
      </c>
      <c r="DN20" s="323">
        <v>2013</v>
      </c>
      <c r="DO20" s="433">
        <f t="shared" si="15"/>
        <v>11.133333333333333</v>
      </c>
      <c r="DP20" s="475" t="str">
        <f t="shared" si="16"/>
        <v>0</v>
      </c>
      <c r="DQ20" s="187">
        <v>20</v>
      </c>
      <c r="DR20" s="187">
        <f t="shared" si="17"/>
        <v>28</v>
      </c>
      <c r="DS20" s="237"/>
      <c r="DT20" s="236"/>
      <c r="DU20" s="616" t="str">
        <f t="shared" si="18"/>
        <v>0</v>
      </c>
      <c r="DV20" s="633"/>
      <c r="DW20" s="555"/>
      <c r="DX20" s="556" t="str">
        <f t="shared" si="19"/>
        <v>0</v>
      </c>
      <c r="DY20" s="198"/>
      <c r="DZ20" s="237"/>
      <c r="EA20" s="616" t="str">
        <f t="shared" si="20"/>
        <v>0</v>
      </c>
      <c r="EB20" s="236"/>
      <c r="EC20" s="237"/>
      <c r="ED20" s="616" t="str">
        <f t="shared" si="21"/>
        <v>0</v>
      </c>
      <c r="EE20" s="297"/>
      <c r="EF20" s="297"/>
      <c r="EG20" s="616" t="str">
        <f t="shared" si="22"/>
        <v>0</v>
      </c>
      <c r="EH20" s="297"/>
      <c r="EI20" s="298"/>
      <c r="EJ20" s="616" t="str">
        <f t="shared" si="23"/>
        <v>0</v>
      </c>
      <c r="EK20" s="237"/>
      <c r="EL20" s="237"/>
      <c r="EM20" s="616" t="str">
        <f t="shared" si="24"/>
        <v>0</v>
      </c>
      <c r="EN20" s="298"/>
      <c r="EO20" s="298"/>
      <c r="EP20" s="298"/>
      <c r="EQ20" s="441">
        <f t="shared" si="25"/>
        <v>42038</v>
      </c>
      <c r="ER20" s="329">
        <v>42296</v>
      </c>
      <c r="ES20" s="642">
        <f t="shared" si="26"/>
        <v>8.6</v>
      </c>
      <c r="ET20" s="929"/>
      <c r="EU20" s="564"/>
      <c r="EV20" s="89">
        <v>42332</v>
      </c>
      <c r="EW20" s="89" t="s">
        <v>107</v>
      </c>
      <c r="EX20" s="89">
        <v>42332</v>
      </c>
      <c r="EY20" s="441"/>
      <c r="EZ20" s="746">
        <f t="shared" si="27"/>
        <v>42066</v>
      </c>
      <c r="FA20" s="331">
        <v>42332</v>
      </c>
      <c r="FB20" s="325">
        <v>2015</v>
      </c>
      <c r="FC20" s="639">
        <f t="shared" si="28"/>
        <v>8.8666666666666671</v>
      </c>
      <c r="FD20" s="629">
        <f>399634.976353658/12</f>
        <v>33302.91469613817</v>
      </c>
      <c r="FE20" s="236">
        <f t="shared" si="29"/>
        <v>295285.84363909176</v>
      </c>
      <c r="FF20" s="89"/>
      <c r="FG20" s="498"/>
      <c r="FH20" s="624">
        <f t="shared" si="62"/>
        <v>0</v>
      </c>
      <c r="FI20" s="502"/>
      <c r="FJ20" s="502"/>
      <c r="FK20" s="502"/>
      <c r="FL20" s="664">
        <f t="shared" si="31"/>
        <v>0</v>
      </c>
      <c r="FM20" s="499"/>
      <c r="FN20" s="511" t="s">
        <v>602</v>
      </c>
      <c r="FO20" s="499"/>
      <c r="FP20" s="499"/>
      <c r="FQ20" s="94">
        <v>42679</v>
      </c>
      <c r="FR20" s="94"/>
      <c r="FS20" s="94"/>
      <c r="FT20" s="94"/>
      <c r="FU20" s="95">
        <v>42341</v>
      </c>
      <c r="FV20" s="89">
        <v>42656</v>
      </c>
      <c r="FW20" s="237"/>
      <c r="FX20" s="609">
        <v>114015</v>
      </c>
      <c r="FY20" s="89" t="s">
        <v>107</v>
      </c>
      <c r="FZ20" s="89">
        <v>42424</v>
      </c>
      <c r="GA20" s="89"/>
      <c r="GB20" s="94"/>
      <c r="GC20" s="94"/>
      <c r="GD20" s="94"/>
      <c r="GE20" s="94"/>
      <c r="GF20" s="180">
        <v>43136</v>
      </c>
      <c r="GG20" s="180"/>
      <c r="GH20" s="180">
        <v>42808</v>
      </c>
      <c r="GI20" s="180"/>
      <c r="GJ20" s="94"/>
      <c r="GK20" s="94"/>
      <c r="GL20" s="552">
        <v>11693100</v>
      </c>
      <c r="GM20" s="979">
        <f t="shared" si="33"/>
        <v>12349548.309999999</v>
      </c>
      <c r="GN20" s="772">
        <f t="shared" si="34"/>
        <v>12349548.309999999</v>
      </c>
      <c r="GO20" s="683">
        <f t="shared" si="35"/>
        <v>12349548.309999999</v>
      </c>
      <c r="GP20" s="909">
        <f t="shared" si="36"/>
        <v>995000</v>
      </c>
      <c r="GQ20" s="35">
        <f t="shared" si="37"/>
        <v>1882.8803038942742</v>
      </c>
      <c r="GR20" s="35">
        <f t="shared" si="38"/>
        <v>164660.64413333332</v>
      </c>
      <c r="GS20" s="11">
        <v>3816022.8</v>
      </c>
      <c r="GT20" s="577"/>
      <c r="GU20" s="19">
        <f t="shared" si="39"/>
        <v>50880.303999999996</v>
      </c>
      <c r="GV20" s="11">
        <f t="shared" si="40"/>
        <v>7538525.5099999998</v>
      </c>
      <c r="GW20" s="12">
        <v>1459253.6</v>
      </c>
      <c r="GX20" s="12">
        <v>6079271.9100000001</v>
      </c>
      <c r="GY20" s="567">
        <f t="shared" si="41"/>
        <v>100513.67346666666</v>
      </c>
      <c r="GZ20" s="11">
        <v>0</v>
      </c>
      <c r="HA20" s="14">
        <v>995000</v>
      </c>
      <c r="HB20" s="52"/>
      <c r="HC20" s="28">
        <f t="shared" si="42"/>
        <v>8.0569748384586873E-2</v>
      </c>
      <c r="HD20" s="68"/>
      <c r="HE20" s="68"/>
      <c r="HF20" s="14">
        <v>0</v>
      </c>
      <c r="HG20" s="35">
        <f t="shared" si="43"/>
        <v>13266.666666666666</v>
      </c>
      <c r="HH20" s="35">
        <f t="shared" si="44"/>
        <v>64146.970666666661</v>
      </c>
      <c r="HI20" s="27">
        <v>0</v>
      </c>
      <c r="HJ20" s="27">
        <v>0</v>
      </c>
      <c r="HK20" s="19" t="e">
        <f>(#REF!+#REF!+HJ20)/AE20</f>
        <v>#REF!</v>
      </c>
      <c r="HL20" s="27">
        <v>0</v>
      </c>
      <c r="HM20" s="19">
        <f t="shared" si="45"/>
        <v>64146.970666666661</v>
      </c>
      <c r="HN20" s="36">
        <f t="shared" si="46"/>
        <v>0.38957075021960869</v>
      </c>
      <c r="HO20" s="27"/>
      <c r="HP20" s="27"/>
      <c r="HQ20" s="11"/>
      <c r="HR20" s="898"/>
      <c r="HS20" s="907">
        <f t="shared" si="47"/>
        <v>0</v>
      </c>
      <c r="HT20" s="915">
        <f t="shared" si="48"/>
        <v>12349548.309999999</v>
      </c>
      <c r="HU20" s="898">
        <f t="shared" ca="1" si="49"/>
        <v>12349548.309999999</v>
      </c>
      <c r="HV20" s="898"/>
      <c r="HW20" s="898"/>
      <c r="HX20" s="898">
        <f t="shared" si="50"/>
        <v>995000</v>
      </c>
      <c r="HY20" s="908">
        <f t="shared" si="51"/>
        <v>0</v>
      </c>
      <c r="HZ20" s="908"/>
      <c r="IA20" s="29" t="e">
        <f>#REF!+HI20</f>
        <v>#REF!</v>
      </c>
      <c r="IB20" s="752"/>
      <c r="IC20" s="73"/>
      <c r="ID20" s="73"/>
      <c r="IE20" s="73"/>
      <c r="IF20" s="73"/>
    </row>
    <row r="21" spans="1:240" ht="20.100000000000001" customHeight="1">
      <c r="A21" s="18" t="s">
        <v>214</v>
      </c>
      <c r="B21" s="297"/>
      <c r="C21" s="8" t="s">
        <v>20</v>
      </c>
      <c r="D21" s="8" t="s">
        <v>93</v>
      </c>
      <c r="E21" s="8">
        <v>2012</v>
      </c>
      <c r="F21" s="8" t="s">
        <v>73</v>
      </c>
      <c r="G21" s="8" t="s">
        <v>40</v>
      </c>
      <c r="H21" s="671" t="s">
        <v>371</v>
      </c>
      <c r="I21" s="8" t="s">
        <v>193</v>
      </c>
      <c r="J21" s="39"/>
      <c r="K21" s="39"/>
      <c r="L21" s="374" t="s">
        <v>502</v>
      </c>
      <c r="M21" s="122"/>
      <c r="N21" s="122"/>
      <c r="O21" s="122"/>
      <c r="P21" s="161">
        <v>3000</v>
      </c>
      <c r="Q21" s="161">
        <v>200500</v>
      </c>
      <c r="R21" s="161">
        <v>112930</v>
      </c>
      <c r="S21" s="161">
        <f t="shared" si="65"/>
        <v>20050</v>
      </c>
      <c r="T21" s="161">
        <f t="shared" si="66"/>
        <v>66.833333333333329</v>
      </c>
      <c r="U21" s="161">
        <f t="shared" si="67"/>
        <v>37.643333333333331</v>
      </c>
      <c r="V21" s="161">
        <f t="shared" si="68"/>
        <v>120.70587229312298</v>
      </c>
      <c r="W21" s="161">
        <f t="shared" si="69"/>
        <v>11293</v>
      </c>
      <c r="X21" s="161">
        <f t="shared" si="70"/>
        <v>300</v>
      </c>
      <c r="Y21" s="162">
        <v>691.97</v>
      </c>
      <c r="Z21" s="733">
        <f t="shared" si="0"/>
        <v>33.333333333333336</v>
      </c>
      <c r="AA21" s="162" t="s">
        <v>157</v>
      </c>
      <c r="AB21" s="164">
        <v>850</v>
      </c>
      <c r="AC21" s="165">
        <v>0.3</v>
      </c>
      <c r="AD21" s="8" t="s">
        <v>10</v>
      </c>
      <c r="AE21" s="674">
        <f t="shared" si="1"/>
        <v>10</v>
      </c>
      <c r="AF21" s="674">
        <f t="shared" si="2"/>
        <v>10</v>
      </c>
      <c r="AG21" s="9"/>
      <c r="AH21" s="8">
        <v>10</v>
      </c>
      <c r="AI21" s="50"/>
      <c r="AJ21" s="50"/>
      <c r="AK21" s="43">
        <v>930.18000000000006</v>
      </c>
      <c r="AL21" s="426">
        <v>935.58</v>
      </c>
      <c r="AM21" s="875">
        <f t="shared" si="3"/>
        <v>93.018000000000001</v>
      </c>
      <c r="AN21" s="10">
        <f t="shared" si="4"/>
        <v>93.558000000000007</v>
      </c>
      <c r="AO21" s="43">
        <v>4.87</v>
      </c>
      <c r="AP21" s="43">
        <v>4.84</v>
      </c>
      <c r="AQ21" s="43">
        <v>453.23</v>
      </c>
      <c r="AR21" s="45"/>
      <c r="AS21" s="45"/>
      <c r="AT21" s="61">
        <f>3/AE21</f>
        <v>0.3</v>
      </c>
      <c r="AU21" s="61">
        <f>5/AE21</f>
        <v>0.5</v>
      </c>
      <c r="AV21" s="61">
        <f>2/AE21</f>
        <v>0.2</v>
      </c>
      <c r="AW21" s="10">
        <v>884</v>
      </c>
      <c r="AX21" s="59">
        <v>91</v>
      </c>
      <c r="AY21" s="61">
        <f t="shared" si="71"/>
        <v>3.0333333333333334E-2</v>
      </c>
      <c r="AZ21" s="43">
        <v>1.5</v>
      </c>
      <c r="BA21" s="45" t="s">
        <v>438</v>
      </c>
      <c r="BB21" s="10" t="s">
        <v>101</v>
      </c>
      <c r="BC21" s="43"/>
      <c r="BD21" s="43"/>
      <c r="BE21" s="43"/>
      <c r="BF21" s="43"/>
      <c r="BG21" s="39"/>
      <c r="BH21" s="143">
        <v>40963</v>
      </c>
      <c r="BI21" s="159">
        <v>41179</v>
      </c>
      <c r="BJ21" s="75"/>
      <c r="BK21" s="867"/>
      <c r="BL21" s="766"/>
      <c r="BM21" s="785">
        <v>41256</v>
      </c>
      <c r="BN21" s="950"/>
      <c r="BO21" s="950"/>
      <c r="BP21" s="125">
        <f t="shared" si="63"/>
        <v>41346</v>
      </c>
      <c r="BQ21" s="78"/>
      <c r="BR21" s="224">
        <v>41365</v>
      </c>
      <c r="BS21" s="224">
        <f t="shared" si="5"/>
        <v>42095</v>
      </c>
      <c r="BT21" s="605">
        <v>41370</v>
      </c>
      <c r="BU21" s="224" t="str">
        <f t="shared" si="61"/>
        <v>oui</v>
      </c>
      <c r="BV21" s="784">
        <f t="shared" si="59"/>
        <v>-6.3666666666666663</v>
      </c>
      <c r="BW21" s="605" t="str">
        <f t="shared" si="60"/>
        <v>0</v>
      </c>
      <c r="BX21" s="605">
        <f t="shared" si="8"/>
        <v>41370</v>
      </c>
      <c r="BY21" s="700"/>
      <c r="BZ21" s="767"/>
      <c r="CA21" s="700"/>
      <c r="CB21" s="700"/>
      <c r="CC21" s="700"/>
      <c r="CD21" s="701"/>
      <c r="CE21" s="701"/>
      <c r="CF21" s="701"/>
      <c r="CG21" s="701"/>
      <c r="CH21" s="701"/>
      <c r="CI21" s="701"/>
      <c r="CJ21" s="701"/>
      <c r="CK21" s="701"/>
      <c r="CL21" s="701"/>
      <c r="CM21" s="701"/>
      <c r="CN21" s="701"/>
      <c r="CO21" s="701"/>
      <c r="CP21" s="701"/>
      <c r="CQ21" s="95"/>
      <c r="CR21" s="95"/>
      <c r="CS21" s="95"/>
      <c r="CT21" s="475" t="str">
        <f t="shared" si="9"/>
        <v>0</v>
      </c>
      <c r="CU21" s="95"/>
      <c r="CV21" s="95"/>
      <c r="CW21" s="475" t="str">
        <f t="shared" si="10"/>
        <v>0</v>
      </c>
      <c r="CX21" s="95"/>
      <c r="CY21" s="95"/>
      <c r="CZ21" s="475" t="str">
        <f t="shared" si="11"/>
        <v>0</v>
      </c>
      <c r="DA21" s="95"/>
      <c r="DB21" s="95"/>
      <c r="DC21" s="475" t="str">
        <f t="shared" si="12"/>
        <v>0</v>
      </c>
      <c r="DD21" s="97"/>
      <c r="DE21" s="514"/>
      <c r="DF21" s="475" t="str">
        <f t="shared" si="13"/>
        <v>0</v>
      </c>
      <c r="DG21" s="440"/>
      <c r="DH21" s="178"/>
      <c r="DI21" s="95"/>
      <c r="DJ21" s="178"/>
      <c r="DK21" s="475" t="str">
        <f t="shared" si="14"/>
        <v>0</v>
      </c>
      <c r="DL21" s="95"/>
      <c r="DM21" s="329">
        <v>41451</v>
      </c>
      <c r="DN21" s="323">
        <v>2013</v>
      </c>
      <c r="DO21" s="433">
        <f t="shared" si="15"/>
        <v>9.0666666666666664</v>
      </c>
      <c r="DP21" s="475" t="str">
        <f t="shared" si="16"/>
        <v>0</v>
      </c>
      <c r="DQ21" s="187">
        <v>14</v>
      </c>
      <c r="DR21" s="97">
        <f t="shared" si="17"/>
        <v>26</v>
      </c>
      <c r="DS21" s="237"/>
      <c r="DT21" s="236"/>
      <c r="DU21" s="616" t="str">
        <f t="shared" si="18"/>
        <v>0</v>
      </c>
      <c r="DV21" s="633"/>
      <c r="DW21" s="555"/>
      <c r="DX21" s="556" t="str">
        <f t="shared" si="19"/>
        <v>0</v>
      </c>
      <c r="DY21" s="198"/>
      <c r="DZ21" s="237">
        <f ca="1">IF(DY21&lt;TODAY(),TODAY(),DY21)</f>
        <v>43647</v>
      </c>
      <c r="EA21" s="616" t="str">
        <f t="shared" ca="1" si="20"/>
        <v>0</v>
      </c>
      <c r="EB21" s="237"/>
      <c r="EC21" s="237"/>
      <c r="ED21" s="616" t="str">
        <f t="shared" si="21"/>
        <v>0</v>
      </c>
      <c r="EE21" s="237"/>
      <c r="EF21" s="237"/>
      <c r="EG21" s="616" t="str">
        <f t="shared" si="22"/>
        <v>0</v>
      </c>
      <c r="EH21" s="237"/>
      <c r="EI21" s="237"/>
      <c r="EJ21" s="616" t="str">
        <f t="shared" si="23"/>
        <v>0</v>
      </c>
      <c r="EK21" s="237"/>
      <c r="EL21" s="237"/>
      <c r="EM21" s="616" t="str">
        <f t="shared" si="24"/>
        <v>0</v>
      </c>
      <c r="EN21" s="237"/>
      <c r="EO21" s="237"/>
      <c r="EP21" s="237"/>
      <c r="EQ21" s="441">
        <f t="shared" si="25"/>
        <v>41877</v>
      </c>
      <c r="ER21" s="331">
        <v>42265</v>
      </c>
      <c r="ES21" s="642">
        <f t="shared" si="26"/>
        <v>12.933333333333334</v>
      </c>
      <c r="ET21" s="929"/>
      <c r="EU21" s="441"/>
      <c r="EV21" s="98">
        <v>42285</v>
      </c>
      <c r="EW21" s="181" t="s">
        <v>107</v>
      </c>
      <c r="EX21" s="98">
        <v>42277</v>
      </c>
      <c r="EY21" s="533"/>
      <c r="EZ21" s="746">
        <f t="shared" si="27"/>
        <v>41908</v>
      </c>
      <c r="FA21" s="333">
        <v>42286</v>
      </c>
      <c r="FB21" s="442">
        <v>2015</v>
      </c>
      <c r="FC21" s="637">
        <f t="shared" si="28"/>
        <v>12.6</v>
      </c>
      <c r="FD21" s="632">
        <f>56031.6736154515/12</f>
        <v>4669.3061346209588</v>
      </c>
      <c r="FE21" s="178">
        <f t="shared" si="29"/>
        <v>58833.257296224081</v>
      </c>
      <c r="FF21" s="98"/>
      <c r="FG21" s="498"/>
      <c r="FH21" s="624">
        <f t="shared" si="62"/>
        <v>179385.62</v>
      </c>
      <c r="FI21" s="502"/>
      <c r="FJ21" s="502"/>
      <c r="FK21" s="502"/>
      <c r="FL21" s="664">
        <f t="shared" si="31"/>
        <v>0</v>
      </c>
      <c r="FM21" s="499"/>
      <c r="FN21" s="511" t="s">
        <v>608</v>
      </c>
      <c r="FO21" s="499"/>
      <c r="FP21" s="499"/>
      <c r="FQ21" s="98" t="s">
        <v>107</v>
      </c>
      <c r="FR21" s="98"/>
      <c r="FS21" s="95" t="s">
        <v>107</v>
      </c>
      <c r="FT21" s="95" t="s">
        <v>107</v>
      </c>
      <c r="FU21" s="95" t="s">
        <v>107</v>
      </c>
      <c r="FV21" s="561" t="s">
        <v>107</v>
      </c>
      <c r="FW21" s="95">
        <f t="shared" ref="FW21:FW28" si="72">DATE(YEAR(ER21)+1,MONTH(ER21),DAY(ER21))</f>
        <v>42631</v>
      </c>
      <c r="FX21" s="609"/>
      <c r="FY21" s="150">
        <v>42311</v>
      </c>
      <c r="FZ21" s="180" t="s">
        <v>291</v>
      </c>
      <c r="GA21" s="180"/>
      <c r="GB21" s="180" t="s">
        <v>107</v>
      </c>
      <c r="GC21" s="180">
        <v>42781</v>
      </c>
      <c r="GD21" s="180">
        <v>42781</v>
      </c>
      <c r="GE21" s="94"/>
      <c r="GF21" s="212"/>
      <c r="GG21" s="531" t="s">
        <v>492</v>
      </c>
      <c r="GH21" s="180">
        <v>42808</v>
      </c>
      <c r="GI21" s="140" t="s">
        <v>107</v>
      </c>
      <c r="GJ21" s="180">
        <v>43214</v>
      </c>
      <c r="GK21" s="150" t="s">
        <v>107</v>
      </c>
      <c r="GL21" s="552">
        <v>1723671</v>
      </c>
      <c r="GM21" s="979">
        <f t="shared" si="33"/>
        <v>2108085.62</v>
      </c>
      <c r="GN21" s="772">
        <f t="shared" si="34"/>
        <v>2108085.62</v>
      </c>
      <c r="GO21" s="683">
        <f t="shared" si="35"/>
        <v>2108085.62</v>
      </c>
      <c r="GP21" s="909">
        <f t="shared" si="36"/>
        <v>165000</v>
      </c>
      <c r="GQ21" s="35">
        <f t="shared" si="37"/>
        <v>2253.2392954103339</v>
      </c>
      <c r="GR21" s="35">
        <f t="shared" si="38"/>
        <v>210808.56200000001</v>
      </c>
      <c r="GS21" s="11">
        <v>553441</v>
      </c>
      <c r="GT21" s="577"/>
      <c r="GU21" s="19">
        <f t="shared" si="39"/>
        <v>55344.1</v>
      </c>
      <c r="GV21" s="11">
        <f t="shared" si="40"/>
        <v>1110259</v>
      </c>
      <c r="GW21" s="12">
        <v>257996</v>
      </c>
      <c r="GX21" s="12">
        <v>852263</v>
      </c>
      <c r="GY21" s="567">
        <f t="shared" si="41"/>
        <v>111025.9</v>
      </c>
      <c r="GZ21" s="11">
        <v>100000</v>
      </c>
      <c r="HA21" s="14">
        <v>165000</v>
      </c>
      <c r="HB21" s="52"/>
      <c r="HC21" s="28">
        <f t="shared" si="42"/>
        <v>7.8270065710139419E-2</v>
      </c>
      <c r="HD21" s="68"/>
      <c r="HE21" s="68"/>
      <c r="HF21" s="14">
        <v>0</v>
      </c>
      <c r="HG21" s="35">
        <f t="shared" si="43"/>
        <v>16500</v>
      </c>
      <c r="HH21" s="35">
        <f t="shared" si="44"/>
        <v>71844.100000000006</v>
      </c>
      <c r="HI21" s="27">
        <v>666201.89926500001</v>
      </c>
      <c r="HJ21" s="27">
        <v>200000</v>
      </c>
      <c r="HK21" s="19" t="e">
        <f>(#REF!+#REF!+HJ21)/AE21</f>
        <v>#REF!</v>
      </c>
      <c r="HL21" s="27">
        <v>206916.91</v>
      </c>
      <c r="HM21" s="19">
        <f t="shared" si="45"/>
        <v>112535.791</v>
      </c>
      <c r="HN21" s="36">
        <f t="shared" si="46"/>
        <v>0.42322822103740099</v>
      </c>
      <c r="HO21" s="27">
        <v>115301.53</v>
      </c>
      <c r="HP21" s="773"/>
      <c r="HQ21" s="11">
        <v>179385.62</v>
      </c>
      <c r="HR21" s="898"/>
      <c r="HS21" s="907">
        <f t="shared" si="47"/>
        <v>0</v>
      </c>
      <c r="HT21" s="915">
        <f t="shared" si="48"/>
        <v>2108085.62</v>
      </c>
      <c r="HU21" s="898">
        <f t="shared" ca="1" si="49"/>
        <v>2108085.62</v>
      </c>
      <c r="HV21" s="898"/>
      <c r="HW21" s="898"/>
      <c r="HX21" s="898">
        <f t="shared" si="50"/>
        <v>165000</v>
      </c>
      <c r="HY21" s="908">
        <f t="shared" si="51"/>
        <v>0</v>
      </c>
      <c r="HZ21" s="908"/>
      <c r="IA21" s="29" t="e">
        <f>#REF!+HI21</f>
        <v>#REF!</v>
      </c>
      <c r="IB21" s="752"/>
      <c r="IC21" s="73"/>
      <c r="ID21" s="73"/>
      <c r="IE21" s="73"/>
      <c r="IF21" s="73"/>
    </row>
    <row r="22" spans="1:240" ht="20.100000000000001" customHeight="1">
      <c r="A22" s="18" t="s">
        <v>60</v>
      </c>
      <c r="B22" s="731"/>
      <c r="C22" s="8" t="s">
        <v>20</v>
      </c>
      <c r="D22" s="8" t="s">
        <v>93</v>
      </c>
      <c r="E22" s="8">
        <v>2012</v>
      </c>
      <c r="F22" s="8" t="s">
        <v>71</v>
      </c>
      <c r="G22" s="8" t="s">
        <v>40</v>
      </c>
      <c r="H22" s="671" t="s">
        <v>371</v>
      </c>
      <c r="I22" s="8" t="s">
        <v>193</v>
      </c>
      <c r="J22" s="39"/>
      <c r="K22" s="39" t="s">
        <v>292</v>
      </c>
      <c r="L22" s="199" t="s">
        <v>400</v>
      </c>
      <c r="M22" s="122"/>
      <c r="N22" s="122"/>
      <c r="O22" s="122"/>
      <c r="P22" s="161">
        <v>7382</v>
      </c>
      <c r="Q22" s="161">
        <v>243429</v>
      </c>
      <c r="R22" s="161">
        <v>239545</v>
      </c>
      <c r="S22" s="161">
        <f t="shared" si="65"/>
        <v>10142.875</v>
      </c>
      <c r="T22" s="161">
        <f t="shared" si="66"/>
        <v>32.976022758060147</v>
      </c>
      <c r="U22" s="161">
        <f t="shared" si="67"/>
        <v>32.449878081820643</v>
      </c>
      <c r="V22" s="161">
        <f t="shared" si="68"/>
        <v>117.04534349653083</v>
      </c>
      <c r="W22" s="161">
        <f t="shared" si="69"/>
        <v>9981.0416666666661</v>
      </c>
      <c r="X22" s="161">
        <f t="shared" si="70"/>
        <v>307.58333333333331</v>
      </c>
      <c r="Y22" s="162"/>
      <c r="Z22" s="733">
        <f t="shared" si="0"/>
        <v>32.511514494716877</v>
      </c>
      <c r="AA22" s="162" t="s">
        <v>157</v>
      </c>
      <c r="AB22" s="164">
        <v>750</v>
      </c>
      <c r="AC22" s="165">
        <v>0.3</v>
      </c>
      <c r="AD22" s="8" t="s">
        <v>10</v>
      </c>
      <c r="AE22" s="674">
        <f t="shared" si="1"/>
        <v>24</v>
      </c>
      <c r="AF22" s="674">
        <f t="shared" si="2"/>
        <v>24</v>
      </c>
      <c r="AG22" s="9"/>
      <c r="AH22" s="8">
        <v>24</v>
      </c>
      <c r="AI22" s="50"/>
      <c r="AJ22" s="50"/>
      <c r="AK22" s="209">
        <v>2026.2599999999998</v>
      </c>
      <c r="AL22" s="426">
        <v>2046.6</v>
      </c>
      <c r="AM22" s="875">
        <f t="shared" si="3"/>
        <v>84.427499999999995</v>
      </c>
      <c r="AN22" s="10">
        <f t="shared" si="4"/>
        <v>85.274999999999991</v>
      </c>
      <c r="AO22" s="43">
        <v>5.01</v>
      </c>
      <c r="AP22" s="43">
        <v>4.96</v>
      </c>
      <c r="AQ22" s="43">
        <v>423.09</v>
      </c>
      <c r="AR22" s="45"/>
      <c r="AS22" s="45"/>
      <c r="AT22" s="45"/>
      <c r="AU22" s="45"/>
      <c r="AV22" s="45"/>
      <c r="AW22" s="10">
        <v>1700</v>
      </c>
      <c r="AX22" s="59">
        <v>486</v>
      </c>
      <c r="AY22" s="61">
        <f t="shared" si="71"/>
        <v>6.5835816851801676E-2</v>
      </c>
      <c r="AZ22" s="43">
        <v>1.5</v>
      </c>
      <c r="BA22" s="42" t="s">
        <v>439</v>
      </c>
      <c r="BB22" s="10" t="s">
        <v>101</v>
      </c>
      <c r="BC22" s="43"/>
      <c r="BD22" s="43"/>
      <c r="BE22" s="43"/>
      <c r="BF22" s="43"/>
      <c r="BG22" s="39"/>
      <c r="BH22" s="143">
        <v>40963</v>
      </c>
      <c r="BI22" s="159">
        <v>41170</v>
      </c>
      <c r="BJ22" s="75"/>
      <c r="BK22" s="867"/>
      <c r="BL22" s="766"/>
      <c r="BM22" s="785">
        <v>41256</v>
      </c>
      <c r="BN22" s="950"/>
      <c r="BO22" s="950"/>
      <c r="BP22" s="125">
        <f t="shared" si="63"/>
        <v>41346</v>
      </c>
      <c r="BQ22" s="78"/>
      <c r="BR22" s="224">
        <v>41365</v>
      </c>
      <c r="BS22" s="224">
        <f t="shared" si="5"/>
        <v>42095</v>
      </c>
      <c r="BT22" s="605">
        <v>87854</v>
      </c>
      <c r="BU22" s="224" t="str">
        <f t="shared" si="61"/>
        <v>oui</v>
      </c>
      <c r="BV22" s="784">
        <f t="shared" si="59"/>
        <v>-17.733333333333334</v>
      </c>
      <c r="BW22" s="605" t="str">
        <f t="shared" si="60"/>
        <v>0</v>
      </c>
      <c r="BX22" s="605">
        <f t="shared" si="8"/>
        <v>87854</v>
      </c>
      <c r="BY22" s="700"/>
      <c r="BZ22" s="767"/>
      <c r="CA22" s="700"/>
      <c r="CB22" s="700"/>
      <c r="CC22" s="700"/>
      <c r="CD22" s="701"/>
      <c r="CE22" s="701"/>
      <c r="CF22" s="701"/>
      <c r="CG22" s="701"/>
      <c r="CH22" s="701"/>
      <c r="CI22" s="701"/>
      <c r="CJ22" s="701"/>
      <c r="CK22" s="701"/>
      <c r="CL22" s="701"/>
      <c r="CM22" s="701"/>
      <c r="CN22" s="701"/>
      <c r="CO22" s="701"/>
      <c r="CP22" s="701"/>
      <c r="CQ22" s="95"/>
      <c r="CR22" s="95"/>
      <c r="CS22" s="95"/>
      <c r="CT22" s="475" t="str">
        <f t="shared" si="9"/>
        <v>0</v>
      </c>
      <c r="CU22" s="95"/>
      <c r="CV22" s="95"/>
      <c r="CW22" s="475" t="str">
        <f t="shared" si="10"/>
        <v>0</v>
      </c>
      <c r="CX22" s="95"/>
      <c r="CY22" s="95"/>
      <c r="CZ22" s="475" t="str">
        <f t="shared" si="11"/>
        <v>0</v>
      </c>
      <c r="DA22" s="95"/>
      <c r="DB22" s="95"/>
      <c r="DC22" s="475" t="str">
        <f t="shared" si="12"/>
        <v>0</v>
      </c>
      <c r="DD22" s="97"/>
      <c r="DE22" s="514"/>
      <c r="DF22" s="475" t="str">
        <f t="shared" si="13"/>
        <v>0</v>
      </c>
      <c r="DG22" s="440"/>
      <c r="DH22" s="178"/>
      <c r="DI22" s="95"/>
      <c r="DJ22" s="178"/>
      <c r="DK22" s="475" t="str">
        <f t="shared" si="14"/>
        <v>0</v>
      </c>
      <c r="DL22" s="95"/>
      <c r="DM22" s="329">
        <v>41572</v>
      </c>
      <c r="DN22" s="323">
        <v>2013</v>
      </c>
      <c r="DO22" s="433">
        <f t="shared" si="15"/>
        <v>13.4</v>
      </c>
      <c r="DP22" s="475" t="str">
        <f t="shared" si="16"/>
        <v>0</v>
      </c>
      <c r="DQ22" s="90">
        <v>17</v>
      </c>
      <c r="DR22" s="90">
        <f t="shared" si="17"/>
        <v>34</v>
      </c>
      <c r="DS22" s="237"/>
      <c r="DT22" s="236"/>
      <c r="DU22" s="616" t="str">
        <f t="shared" si="18"/>
        <v>0</v>
      </c>
      <c r="DV22" s="633"/>
      <c r="DW22" s="555"/>
      <c r="DX22" s="556" t="str">
        <f t="shared" si="19"/>
        <v>0</v>
      </c>
      <c r="DY22" s="198"/>
      <c r="DZ22" s="237"/>
      <c r="EA22" s="616" t="str">
        <f t="shared" si="20"/>
        <v>0</v>
      </c>
      <c r="EB22" s="236"/>
      <c r="EC22" s="237"/>
      <c r="ED22" s="616" t="str">
        <f t="shared" si="21"/>
        <v>0</v>
      </c>
      <c r="EE22" s="298"/>
      <c r="EF22" s="298"/>
      <c r="EG22" s="616" t="str">
        <f t="shared" si="22"/>
        <v>0</v>
      </c>
      <c r="EH22" s="298"/>
      <c r="EI22" s="298"/>
      <c r="EJ22" s="616" t="str">
        <f t="shared" si="23"/>
        <v>0</v>
      </c>
      <c r="EK22" s="237"/>
      <c r="EL22" s="237"/>
      <c r="EM22" s="616" t="str">
        <f t="shared" si="24"/>
        <v>0</v>
      </c>
      <c r="EN22" s="298"/>
      <c r="EO22" s="298"/>
      <c r="EP22" s="298"/>
      <c r="EQ22" s="441">
        <f t="shared" si="25"/>
        <v>42088</v>
      </c>
      <c r="ER22" s="329">
        <v>42619</v>
      </c>
      <c r="ES22" s="642">
        <f t="shared" si="26"/>
        <v>17.7</v>
      </c>
      <c r="ET22" s="929"/>
      <c r="EU22" s="441"/>
      <c r="EV22" s="89">
        <v>42633</v>
      </c>
      <c r="EW22" s="89">
        <v>42342</v>
      </c>
      <c r="EX22" s="89" t="s">
        <v>107</v>
      </c>
      <c r="EY22" s="441"/>
      <c r="EZ22" s="746">
        <f t="shared" si="27"/>
        <v>42119</v>
      </c>
      <c r="FA22" s="331">
        <v>42627</v>
      </c>
      <c r="FB22" s="325">
        <v>2016</v>
      </c>
      <c r="FC22" s="639">
        <f t="shared" si="28"/>
        <v>16.933333333333334</v>
      </c>
      <c r="FD22" s="629">
        <f>100906.540336335/12</f>
        <v>8408.8783613612504</v>
      </c>
      <c r="FE22" s="236">
        <f t="shared" si="29"/>
        <v>142390.34025238384</v>
      </c>
      <c r="FF22" s="89" t="s">
        <v>107</v>
      </c>
      <c r="FG22" s="498"/>
      <c r="FH22" s="624">
        <f t="shared" si="62"/>
        <v>0</v>
      </c>
      <c r="FI22" s="502"/>
      <c r="FJ22" s="502"/>
      <c r="FK22" s="502">
        <v>44803.79</v>
      </c>
      <c r="FL22" s="664">
        <f t="shared" si="31"/>
        <v>1.0920921423548439E-2</v>
      </c>
      <c r="FM22" s="499"/>
      <c r="FN22" s="511" t="s">
        <v>606</v>
      </c>
      <c r="FO22" s="499"/>
      <c r="FP22" s="499"/>
      <c r="FQ22" s="156">
        <v>42702</v>
      </c>
      <c r="FR22" s="156"/>
      <c r="FS22" s="156" t="s">
        <v>107</v>
      </c>
      <c r="FT22" s="95" t="s">
        <v>107</v>
      </c>
      <c r="FU22" s="156">
        <v>42766</v>
      </c>
      <c r="FV22" s="156">
        <v>42979</v>
      </c>
      <c r="FW22" s="95">
        <f t="shared" si="72"/>
        <v>42984</v>
      </c>
      <c r="FX22" s="609">
        <v>57355</v>
      </c>
      <c r="FY22" s="156">
        <v>42716</v>
      </c>
      <c r="FZ22" s="156">
        <v>42755</v>
      </c>
      <c r="GA22" s="156"/>
      <c r="GB22" s="95"/>
      <c r="GC22" s="95"/>
      <c r="GD22" s="584"/>
      <c r="GE22" s="94"/>
      <c r="GF22" s="592" t="s">
        <v>648</v>
      </c>
      <c r="GG22" s="531"/>
      <c r="GH22" s="180">
        <v>42808</v>
      </c>
      <c r="GI22" s="140" t="s">
        <v>107</v>
      </c>
      <c r="GJ22" s="180">
        <v>43214</v>
      </c>
      <c r="GK22" s="150" t="s">
        <v>107</v>
      </c>
      <c r="GL22" s="552">
        <v>3907101</v>
      </c>
      <c r="GM22" s="979">
        <f t="shared" si="33"/>
        <v>4102565</v>
      </c>
      <c r="GN22" s="772">
        <f t="shared" si="34"/>
        <v>4102565</v>
      </c>
      <c r="GO22" s="683">
        <f t="shared" si="35"/>
        <v>4102565</v>
      </c>
      <c r="GP22" s="909">
        <f t="shared" si="36"/>
        <v>384000</v>
      </c>
      <c r="GQ22" s="35">
        <f t="shared" si="37"/>
        <v>2004.5758819505522</v>
      </c>
      <c r="GR22" s="35">
        <f t="shared" si="38"/>
        <v>170940.20833333334</v>
      </c>
      <c r="GS22" s="11">
        <v>1196851</v>
      </c>
      <c r="GT22" s="577"/>
      <c r="GU22" s="19">
        <f t="shared" si="39"/>
        <v>49868.791666666664</v>
      </c>
      <c r="GV22" s="11">
        <f t="shared" si="40"/>
        <v>2362522</v>
      </c>
      <c r="GW22" s="12">
        <v>585357</v>
      </c>
      <c r="GX22" s="12">
        <v>1777165</v>
      </c>
      <c r="GY22" s="567">
        <f t="shared" si="41"/>
        <v>98438.416666666672</v>
      </c>
      <c r="GZ22" s="11">
        <v>159192</v>
      </c>
      <c r="HA22" s="14">
        <v>384000</v>
      </c>
      <c r="HB22" s="52"/>
      <c r="HC22" s="28">
        <f t="shared" si="42"/>
        <v>9.3599979525004484E-2</v>
      </c>
      <c r="HD22" s="862"/>
      <c r="HE22" s="862"/>
      <c r="HF22" s="14">
        <v>0</v>
      </c>
      <c r="HG22" s="35">
        <f t="shared" si="43"/>
        <v>16000</v>
      </c>
      <c r="HH22" s="35">
        <f t="shared" si="44"/>
        <v>65868.791666666672</v>
      </c>
      <c r="HI22" s="27">
        <v>913316.69861249998</v>
      </c>
      <c r="HJ22" s="27">
        <v>480000</v>
      </c>
      <c r="HK22" s="19" t="e">
        <f>(#REF!+#REF!+HJ22)/AE22</f>
        <v>#REF!</v>
      </c>
      <c r="HL22" s="27">
        <v>148968.80577250005</v>
      </c>
      <c r="HM22" s="19">
        <f t="shared" si="45"/>
        <v>92075.825240520833</v>
      </c>
      <c r="HN22" s="36">
        <f t="shared" si="46"/>
        <v>0.46341443471424698</v>
      </c>
      <c r="HO22" s="27">
        <v>247321.11820000003</v>
      </c>
      <c r="HP22" s="773"/>
      <c r="HQ22" s="11"/>
      <c r="HR22" s="898"/>
      <c r="HS22" s="907">
        <f t="shared" si="47"/>
        <v>0</v>
      </c>
      <c r="HT22" s="915">
        <f t="shared" si="48"/>
        <v>4102565</v>
      </c>
      <c r="HU22" s="898">
        <f t="shared" ca="1" si="49"/>
        <v>4102565</v>
      </c>
      <c r="HV22" s="898"/>
      <c r="HW22" s="898"/>
      <c r="HX22" s="898">
        <f t="shared" si="50"/>
        <v>384000</v>
      </c>
      <c r="HY22" s="908">
        <f t="shared" si="51"/>
        <v>0</v>
      </c>
      <c r="HZ22" s="908"/>
      <c r="IA22" s="29" t="e">
        <f>#REF!+HI22</f>
        <v>#REF!</v>
      </c>
      <c r="IB22" s="752"/>
      <c r="IC22" s="73"/>
      <c r="ID22" s="73"/>
      <c r="IE22" s="73"/>
      <c r="IF22" s="73"/>
    </row>
    <row r="23" spans="1:240" ht="20.100000000000001" customHeight="1">
      <c r="A23" s="65" t="s">
        <v>328</v>
      </c>
      <c r="B23" s="297"/>
      <c r="C23" s="8" t="s">
        <v>14</v>
      </c>
      <c r="D23" s="8" t="s">
        <v>92</v>
      </c>
      <c r="E23" s="8">
        <v>2013</v>
      </c>
      <c r="F23" s="8" t="s">
        <v>36</v>
      </c>
      <c r="G23" s="8" t="s">
        <v>40</v>
      </c>
      <c r="H23" s="8" t="s">
        <v>704</v>
      </c>
      <c r="I23" s="8" t="s">
        <v>788</v>
      </c>
      <c r="J23" s="39"/>
      <c r="K23" s="39"/>
      <c r="L23" s="199" t="s">
        <v>526</v>
      </c>
      <c r="M23" s="126" t="s">
        <v>47</v>
      </c>
      <c r="N23" s="80" t="s">
        <v>52</v>
      </c>
      <c r="O23" s="81">
        <v>41627</v>
      </c>
      <c r="P23" s="161">
        <v>11354</v>
      </c>
      <c r="Q23" s="161">
        <v>444858</v>
      </c>
      <c r="R23" s="161">
        <v>247250</v>
      </c>
      <c r="S23" s="161">
        <f t="shared" si="65"/>
        <v>13084.058823529413</v>
      </c>
      <c r="T23" s="161">
        <f t="shared" si="66"/>
        <v>39.180729258411134</v>
      </c>
      <c r="U23" s="161">
        <f t="shared" si="67"/>
        <v>21.776466443544127</v>
      </c>
      <c r="V23" s="161">
        <f t="shared" si="68"/>
        <v>93.321959817772139</v>
      </c>
      <c r="W23" s="161">
        <f t="shared" si="69"/>
        <v>7272.0588235294117</v>
      </c>
      <c r="X23" s="161">
        <f t="shared" si="70"/>
        <v>333.94117647058823</v>
      </c>
      <c r="Y23" s="162"/>
      <c r="Z23" s="733">
        <f t="shared" si="0"/>
        <v>29.945393693852388</v>
      </c>
      <c r="AA23" s="162" t="s">
        <v>161</v>
      </c>
      <c r="AB23" s="164">
        <v>300</v>
      </c>
      <c r="AC23" s="165"/>
      <c r="AD23" s="8" t="s">
        <v>10</v>
      </c>
      <c r="AE23" s="674">
        <f t="shared" si="1"/>
        <v>34</v>
      </c>
      <c r="AF23" s="674">
        <f t="shared" si="2"/>
        <v>34</v>
      </c>
      <c r="AG23" s="9"/>
      <c r="AH23" s="8">
        <v>34</v>
      </c>
      <c r="AI23" s="50"/>
      <c r="AJ23" s="50"/>
      <c r="AK23" s="209">
        <v>2599.0999999999995</v>
      </c>
      <c r="AL23" s="426">
        <v>2649.4299999999994</v>
      </c>
      <c r="AM23" s="875">
        <f t="shared" si="3"/>
        <v>76.444117647058803</v>
      </c>
      <c r="AN23" s="10">
        <f t="shared" si="4"/>
        <v>77.924411764705866</v>
      </c>
      <c r="AO23" s="43">
        <v>5.3</v>
      </c>
      <c r="AP23" s="43">
        <v>5.2</v>
      </c>
      <c r="AQ23" s="43">
        <v>405.3</v>
      </c>
      <c r="AR23" s="45"/>
      <c r="AS23" s="45"/>
      <c r="AT23" s="45"/>
      <c r="AU23" s="45"/>
      <c r="AV23" s="45"/>
      <c r="AW23" s="10">
        <v>1035</v>
      </c>
      <c r="AX23" s="59" t="s">
        <v>250</v>
      </c>
      <c r="AY23" s="61" t="e">
        <f t="shared" si="71"/>
        <v>#VALUE!</v>
      </c>
      <c r="AZ23" s="45">
        <v>2</v>
      </c>
      <c r="BA23" s="39" t="s">
        <v>438</v>
      </c>
      <c r="BB23" s="8" t="s">
        <v>101</v>
      </c>
      <c r="BC23" s="39"/>
      <c r="BD23" s="39"/>
      <c r="BE23" s="39"/>
      <c r="BF23" s="39"/>
      <c r="BG23" s="87">
        <v>41173</v>
      </c>
      <c r="BH23" s="87">
        <v>41348</v>
      </c>
      <c r="BI23" s="159">
        <v>41484</v>
      </c>
      <c r="BJ23" s="75"/>
      <c r="BK23" s="867"/>
      <c r="BL23" s="124">
        <v>41549</v>
      </c>
      <c r="BM23" s="157">
        <v>41576</v>
      </c>
      <c r="BN23" s="1007">
        <f>(DATEDIF(BL23,BM23,"d"))/30</f>
        <v>0.9</v>
      </c>
      <c r="BO23" s="158"/>
      <c r="BP23" s="125">
        <f t="shared" si="63"/>
        <v>41668</v>
      </c>
      <c r="BQ23" s="125"/>
      <c r="BR23" s="225">
        <v>41671</v>
      </c>
      <c r="BS23" s="224">
        <f t="shared" si="5"/>
        <v>42401</v>
      </c>
      <c r="BT23" s="605">
        <f>72953+17154</f>
        <v>90107</v>
      </c>
      <c r="BU23" s="224" t="str">
        <f t="shared" si="61"/>
        <v>oui</v>
      </c>
      <c r="BV23" s="784">
        <f t="shared" si="59"/>
        <v>-22.4</v>
      </c>
      <c r="BW23" s="605" t="str">
        <f t="shared" si="60"/>
        <v>0</v>
      </c>
      <c r="BX23" s="605">
        <f t="shared" si="8"/>
        <v>90107</v>
      </c>
      <c r="BY23" s="702"/>
      <c r="BZ23" s="817" t="s">
        <v>144</v>
      </c>
      <c r="CA23" s="703"/>
      <c r="CB23" s="703"/>
      <c r="CC23" s="703"/>
      <c r="CD23" s="699"/>
      <c r="CE23" s="699"/>
      <c r="CF23" s="699"/>
      <c r="CG23" s="699"/>
      <c r="CH23" s="699"/>
      <c r="CI23" s="699"/>
      <c r="CJ23" s="699"/>
      <c r="CK23" s="704"/>
      <c r="CL23" s="704"/>
      <c r="CM23" s="704"/>
      <c r="CN23" s="704"/>
      <c r="CO23" s="704"/>
      <c r="CP23" s="704"/>
      <c r="CQ23" s="95"/>
      <c r="CR23" s="88"/>
      <c r="CS23" s="88"/>
      <c r="CT23" s="475" t="str">
        <f t="shared" si="9"/>
        <v>0</v>
      </c>
      <c r="CU23" s="95"/>
      <c r="CV23" s="95"/>
      <c r="CW23" s="475" t="str">
        <f t="shared" si="10"/>
        <v>0</v>
      </c>
      <c r="CX23" s="97"/>
      <c r="CY23" s="95"/>
      <c r="CZ23" s="475" t="str">
        <f t="shared" si="11"/>
        <v>0</v>
      </c>
      <c r="DA23" s="97"/>
      <c r="DB23" s="95"/>
      <c r="DC23" s="475" t="str">
        <f t="shared" si="12"/>
        <v>0</v>
      </c>
      <c r="DD23" s="97"/>
      <c r="DE23" s="514"/>
      <c r="DF23" s="475" t="str">
        <f t="shared" si="13"/>
        <v>0</v>
      </c>
      <c r="DG23" s="440"/>
      <c r="DH23" s="178"/>
      <c r="DI23" s="95"/>
      <c r="DJ23" s="178"/>
      <c r="DK23" s="475" t="str">
        <f t="shared" si="14"/>
        <v>0</v>
      </c>
      <c r="DL23" s="95"/>
      <c r="DM23" s="329">
        <v>41729</v>
      </c>
      <c r="DN23" s="323">
        <v>2014</v>
      </c>
      <c r="DO23" s="433">
        <f t="shared" si="15"/>
        <v>8.1666666666666661</v>
      </c>
      <c r="DP23" s="475" t="str">
        <f t="shared" si="16"/>
        <v>0</v>
      </c>
      <c r="DQ23" s="187">
        <v>18</v>
      </c>
      <c r="DR23" s="90">
        <f t="shared" si="17"/>
        <v>43</v>
      </c>
      <c r="DS23" s="95"/>
      <c r="DT23" s="178"/>
      <c r="DU23" s="475" t="str">
        <f t="shared" si="18"/>
        <v>0</v>
      </c>
      <c r="DV23" s="515"/>
      <c r="DW23" s="512"/>
      <c r="DX23" s="478" t="str">
        <f t="shared" si="19"/>
        <v>0</v>
      </c>
      <c r="DY23" s="97"/>
      <c r="DZ23" s="237"/>
      <c r="EA23" s="475" t="str">
        <f t="shared" si="20"/>
        <v>0</v>
      </c>
      <c r="EB23" s="178"/>
      <c r="EC23" s="95"/>
      <c r="ED23" s="475" t="str">
        <f t="shared" si="21"/>
        <v>0</v>
      </c>
      <c r="EE23" s="88"/>
      <c r="EF23" s="88"/>
      <c r="EG23" s="475" t="str">
        <f t="shared" si="22"/>
        <v>0</v>
      </c>
      <c r="EH23" s="88"/>
      <c r="EI23" s="88"/>
      <c r="EJ23" s="475" t="str">
        <f t="shared" si="23"/>
        <v>0</v>
      </c>
      <c r="EK23" s="88"/>
      <c r="EL23" s="88"/>
      <c r="EM23" s="475" t="str">
        <f t="shared" si="24"/>
        <v>0</v>
      </c>
      <c r="EN23" s="88"/>
      <c r="EO23" s="88"/>
      <c r="EP23" s="88"/>
      <c r="EQ23" s="517">
        <f t="shared" si="25"/>
        <v>42278</v>
      </c>
      <c r="ER23" s="331">
        <v>43068</v>
      </c>
      <c r="ES23" s="642">
        <f t="shared" si="26"/>
        <v>26.333333333333332</v>
      </c>
      <c r="ET23" s="929"/>
      <c r="EU23" s="564"/>
      <c r="EV23" s="89">
        <v>43131</v>
      </c>
      <c r="EW23" s="89">
        <v>42342</v>
      </c>
      <c r="EX23" s="89">
        <v>43054</v>
      </c>
      <c r="EY23" s="678"/>
      <c r="EZ23" s="746">
        <f t="shared" si="27"/>
        <v>42309</v>
      </c>
      <c r="FA23" s="535">
        <v>43073</v>
      </c>
      <c r="FB23" s="325">
        <v>2017</v>
      </c>
      <c r="FC23" s="638">
        <f t="shared" si="28"/>
        <v>25.466666666666665</v>
      </c>
      <c r="FD23" s="629">
        <f>170360/12</f>
        <v>14196.666666666666</v>
      </c>
      <c r="FE23" s="236">
        <f t="shared" si="29"/>
        <v>361541.77777777775</v>
      </c>
      <c r="FF23" s="237">
        <v>42982</v>
      </c>
      <c r="FG23" s="498">
        <v>51376</v>
      </c>
      <c r="FH23" s="498">
        <v>0</v>
      </c>
      <c r="FI23" s="502">
        <f>30000*1.021</f>
        <v>30629.999999999996</v>
      </c>
      <c r="FJ23" s="502"/>
      <c r="FK23" s="502">
        <f>124948*1.021</f>
        <v>127571.90799999998</v>
      </c>
      <c r="FL23" s="664">
        <f t="shared" si="31"/>
        <v>2.1677246353851463E-2</v>
      </c>
      <c r="FM23" s="499"/>
      <c r="FN23" s="511" t="s">
        <v>654</v>
      </c>
      <c r="FO23" s="499"/>
      <c r="FP23" s="499"/>
      <c r="FQ23" s="604" t="s">
        <v>836</v>
      </c>
      <c r="FR23" s="237">
        <v>43164</v>
      </c>
      <c r="FS23" s="93"/>
      <c r="FT23" s="93"/>
      <c r="FU23" s="237">
        <v>43236</v>
      </c>
      <c r="FV23" s="238">
        <v>43767</v>
      </c>
      <c r="FW23" s="237">
        <f t="shared" si="72"/>
        <v>43433</v>
      </c>
      <c r="FX23" s="610">
        <v>56500</v>
      </c>
      <c r="FY23" s="237">
        <v>43153</v>
      </c>
      <c r="FZ23" s="95">
        <v>43171</v>
      </c>
      <c r="GA23" s="95"/>
      <c r="GB23" s="94"/>
      <c r="GC23" s="94"/>
      <c r="GD23" s="238">
        <v>43213</v>
      </c>
      <c r="GE23" s="39"/>
      <c r="GF23" s="39"/>
      <c r="GG23" s="39"/>
      <c r="GH23" s="238">
        <v>43242</v>
      </c>
      <c r="GI23" s="88" t="s">
        <v>107</v>
      </c>
      <c r="GJ23" s="39"/>
      <c r="GK23" s="39"/>
      <c r="GL23" s="548">
        <v>5039187</v>
      </c>
      <c r="GM23" s="979">
        <f t="shared" si="33"/>
        <v>5885060.5800000001</v>
      </c>
      <c r="GN23" s="772">
        <f t="shared" si="34"/>
        <v>5885060.5800000001</v>
      </c>
      <c r="GO23" s="683">
        <f t="shared" si="35"/>
        <v>5885060.5800000001</v>
      </c>
      <c r="GP23" s="909">
        <f t="shared" si="36"/>
        <v>680000</v>
      </c>
      <c r="GQ23" s="35">
        <f t="shared" si="37"/>
        <v>2221.2553568125982</v>
      </c>
      <c r="GR23" s="35">
        <f t="shared" si="38"/>
        <v>173090.01705882352</v>
      </c>
      <c r="GS23" s="11">
        <v>1600171.58</v>
      </c>
      <c r="GT23" s="577"/>
      <c r="GU23" s="19">
        <f t="shared" si="39"/>
        <v>47063.87</v>
      </c>
      <c r="GV23" s="11">
        <f t="shared" si="40"/>
        <v>3023907</v>
      </c>
      <c r="GW23" s="12">
        <v>650910</v>
      </c>
      <c r="GX23" s="12">
        <v>2372997</v>
      </c>
      <c r="GY23" s="567">
        <f t="shared" si="41"/>
        <v>88938.441176470587</v>
      </c>
      <c r="GZ23" s="11">
        <v>580982</v>
      </c>
      <c r="HA23" s="11">
        <v>680000</v>
      </c>
      <c r="HB23" s="53"/>
      <c r="HC23" s="28">
        <f t="shared" si="42"/>
        <v>0.11554681396329823</v>
      </c>
      <c r="HD23" s="53"/>
      <c r="HE23" s="53"/>
      <c r="HF23" s="11">
        <v>0</v>
      </c>
      <c r="HG23" s="35">
        <f t="shared" si="43"/>
        <v>20000</v>
      </c>
      <c r="HH23" s="35">
        <f t="shared" si="44"/>
        <v>67063.87</v>
      </c>
      <c r="HI23" s="27">
        <v>1298644.9078014998</v>
      </c>
      <c r="HJ23" s="27">
        <v>680000</v>
      </c>
      <c r="HK23" s="19" t="e">
        <f>(#REF!+#REF!+HJ23)/AE23</f>
        <v>#REF!</v>
      </c>
      <c r="HL23" s="27">
        <v>0</v>
      </c>
      <c r="HM23" s="19">
        <f t="shared" si="45"/>
        <v>87063.87</v>
      </c>
      <c r="HN23" s="36">
        <f t="shared" si="46"/>
        <v>0.42707533654989638</v>
      </c>
      <c r="HO23" s="27">
        <v>252442.25</v>
      </c>
      <c r="HP23" s="27"/>
      <c r="HQ23" s="11">
        <v>0</v>
      </c>
      <c r="HR23" s="898"/>
      <c r="HS23" s="907">
        <f t="shared" si="47"/>
        <v>0</v>
      </c>
      <c r="HT23" s="915">
        <f t="shared" si="48"/>
        <v>5885060.5800000001</v>
      </c>
      <c r="HU23" s="898">
        <f t="shared" ca="1" si="49"/>
        <v>5885060.5800000001</v>
      </c>
      <c r="HV23" s="898"/>
      <c r="HW23" s="898"/>
      <c r="HX23" s="898">
        <f t="shared" si="50"/>
        <v>680000</v>
      </c>
      <c r="HY23" s="908">
        <f t="shared" si="51"/>
        <v>0</v>
      </c>
      <c r="HZ23" s="908"/>
      <c r="IA23" s="29" t="e">
        <f>#REF!+HI23</f>
        <v>#REF!</v>
      </c>
      <c r="IB23" s="752"/>
      <c r="IC23" s="73"/>
      <c r="ID23" s="73"/>
      <c r="IE23" s="73"/>
      <c r="IF23" s="73"/>
    </row>
    <row r="24" spans="1:240" ht="20.100000000000001" customHeight="1">
      <c r="A24" s="20" t="s">
        <v>30</v>
      </c>
      <c r="B24" s="297"/>
      <c r="C24" s="8" t="s">
        <v>31</v>
      </c>
      <c r="D24" s="8" t="s">
        <v>92</v>
      </c>
      <c r="E24" s="8">
        <v>2013</v>
      </c>
      <c r="F24" s="8" t="s">
        <v>32</v>
      </c>
      <c r="G24" s="8"/>
      <c r="H24" s="671" t="s">
        <v>705</v>
      </c>
      <c r="I24" s="8" t="s">
        <v>193</v>
      </c>
      <c r="J24" s="39"/>
      <c r="K24" s="39"/>
      <c r="L24" s="199"/>
      <c r="M24" s="425" t="s">
        <v>45</v>
      </c>
      <c r="N24" s="425" t="s">
        <v>52</v>
      </c>
      <c r="O24" s="819">
        <v>41591</v>
      </c>
      <c r="P24" s="161">
        <v>1547</v>
      </c>
      <c r="Q24" s="161">
        <f>R24</f>
        <v>259906</v>
      </c>
      <c r="R24" s="161">
        <v>259906</v>
      </c>
      <c r="S24" s="161">
        <f t="shared" si="65"/>
        <v>14439.222222222223</v>
      </c>
      <c r="T24" s="161">
        <f t="shared" si="66"/>
        <v>168.00646412411118</v>
      </c>
      <c r="U24" s="161">
        <f t="shared" si="67"/>
        <v>168.00646412411118</v>
      </c>
      <c r="V24" s="161">
        <f t="shared" si="68"/>
        <v>197.05075133815524</v>
      </c>
      <c r="W24" s="161">
        <f t="shared" si="69"/>
        <v>14439.222222222223</v>
      </c>
      <c r="X24" s="161">
        <f t="shared" si="70"/>
        <v>85.944444444444443</v>
      </c>
      <c r="Y24" s="162">
        <v>836</v>
      </c>
      <c r="Z24" s="733">
        <f t="shared" si="0"/>
        <v>116.35423400129282</v>
      </c>
      <c r="AA24" s="162" t="s">
        <v>158</v>
      </c>
      <c r="AB24" s="164">
        <v>383</v>
      </c>
      <c r="AC24" s="165">
        <v>0</v>
      </c>
      <c r="AD24" s="8" t="s">
        <v>10</v>
      </c>
      <c r="AE24" s="674">
        <f t="shared" si="1"/>
        <v>18</v>
      </c>
      <c r="AF24" s="674">
        <f t="shared" si="2"/>
        <v>18</v>
      </c>
      <c r="AG24" s="9"/>
      <c r="AH24" s="8">
        <v>18</v>
      </c>
      <c r="AI24" s="50"/>
      <c r="AJ24" s="50"/>
      <c r="AK24" s="209">
        <v>1120.54</v>
      </c>
      <c r="AL24" s="426">
        <v>1318.98</v>
      </c>
      <c r="AM24" s="875">
        <f t="shared" si="3"/>
        <v>62.252222222222223</v>
      </c>
      <c r="AN24" s="10">
        <f t="shared" si="4"/>
        <v>73.276666666666671</v>
      </c>
      <c r="AO24" s="43">
        <v>6.23</v>
      </c>
      <c r="AP24" s="43">
        <v>5.3</v>
      </c>
      <c r="AQ24" s="43">
        <v>388.01</v>
      </c>
      <c r="AR24" s="178"/>
      <c r="AS24" s="61">
        <f>12/AE24</f>
        <v>0.66666666666666663</v>
      </c>
      <c r="AT24" s="61">
        <f>6/AE24</f>
        <v>0.33333333333333331</v>
      </c>
      <c r="AU24" s="178"/>
      <c r="AV24" s="178"/>
      <c r="AW24" s="10"/>
      <c r="AX24" s="59">
        <v>0</v>
      </c>
      <c r="AY24" s="61">
        <f t="shared" si="71"/>
        <v>0</v>
      </c>
      <c r="AZ24" s="43">
        <v>3.5</v>
      </c>
      <c r="BA24" s="42" t="s">
        <v>439</v>
      </c>
      <c r="BB24" s="8" t="s">
        <v>100</v>
      </c>
      <c r="BC24" s="39"/>
      <c r="BD24" s="39"/>
      <c r="BE24" s="39"/>
      <c r="BF24" s="39"/>
      <c r="BG24" s="751">
        <v>41313</v>
      </c>
      <c r="BH24" s="87">
        <v>41348</v>
      </c>
      <c r="BI24" s="159">
        <v>41463</v>
      </c>
      <c r="BJ24" s="75"/>
      <c r="BK24" s="867"/>
      <c r="BL24" s="124">
        <v>41549</v>
      </c>
      <c r="BM24" s="157">
        <v>41576</v>
      </c>
      <c r="BN24" s="1007">
        <f t="shared" ref="BN24:BN87" si="73">(DATEDIF(BL24,BM24,"d"))/30</f>
        <v>0.9</v>
      </c>
      <c r="BO24" s="158"/>
      <c r="BP24" s="125">
        <f t="shared" si="63"/>
        <v>41668</v>
      </c>
      <c r="BQ24" s="125"/>
      <c r="BR24" s="225">
        <v>41671</v>
      </c>
      <c r="BS24" s="224">
        <f t="shared" si="5"/>
        <v>42401</v>
      </c>
      <c r="BT24" s="605">
        <f>9005+35312</f>
        <v>44317</v>
      </c>
      <c r="BU24" s="224" t="str">
        <f t="shared" si="61"/>
        <v>oui</v>
      </c>
      <c r="BV24" s="784">
        <f t="shared" si="59"/>
        <v>-22.266666666666666</v>
      </c>
      <c r="BW24" s="605" t="str">
        <f t="shared" si="60"/>
        <v>0</v>
      </c>
      <c r="BX24" s="605">
        <f t="shared" si="8"/>
        <v>44317</v>
      </c>
      <c r="BY24" s="702"/>
      <c r="BZ24" s="817" t="s">
        <v>144</v>
      </c>
      <c r="CA24" s="703"/>
      <c r="CB24" s="703"/>
      <c r="CC24" s="703"/>
      <c r="CD24" s="699"/>
      <c r="CE24" s="699"/>
      <c r="CF24" s="699"/>
      <c r="CG24" s="699"/>
      <c r="CH24" s="699"/>
      <c r="CI24" s="699"/>
      <c r="CJ24" s="699"/>
      <c r="CK24" s="704"/>
      <c r="CL24" s="704"/>
      <c r="CM24" s="704"/>
      <c r="CN24" s="704"/>
      <c r="CO24" s="704"/>
      <c r="CP24" s="704"/>
      <c r="CQ24" s="95">
        <v>41184</v>
      </c>
      <c r="CR24" s="95">
        <f>CQ24</f>
        <v>41184</v>
      </c>
      <c r="CS24" s="95">
        <v>41185</v>
      </c>
      <c r="CT24" s="475">
        <f t="shared" si="9"/>
        <v>1</v>
      </c>
      <c r="CU24" s="95">
        <f>CS24+21+21</f>
        <v>41227</v>
      </c>
      <c r="CV24" s="95">
        <v>41311</v>
      </c>
      <c r="CW24" s="475">
        <f t="shared" si="10"/>
        <v>84</v>
      </c>
      <c r="CX24" s="95">
        <v>41373</v>
      </c>
      <c r="CY24" s="95">
        <v>41375</v>
      </c>
      <c r="CZ24" s="475">
        <f t="shared" si="11"/>
        <v>2</v>
      </c>
      <c r="DA24" s="95">
        <f>CY24+30+30</f>
        <v>41435</v>
      </c>
      <c r="DB24" s="95">
        <v>41437</v>
      </c>
      <c r="DC24" s="475">
        <f t="shared" si="12"/>
        <v>2</v>
      </c>
      <c r="DD24" s="95">
        <f>DB24+37+37</f>
        <v>41511</v>
      </c>
      <c r="DE24" s="565">
        <v>41529</v>
      </c>
      <c r="DF24" s="475">
        <f t="shared" si="13"/>
        <v>18</v>
      </c>
      <c r="DG24" s="440"/>
      <c r="DH24" s="95">
        <v>41684</v>
      </c>
      <c r="DI24" s="95">
        <f>DE24+7+7+30</f>
        <v>41573</v>
      </c>
      <c r="DJ24" s="95">
        <v>41743</v>
      </c>
      <c r="DK24" s="475">
        <f t="shared" si="14"/>
        <v>170</v>
      </c>
      <c r="DL24" s="95">
        <v>41743</v>
      </c>
      <c r="DM24" s="329">
        <v>41751</v>
      </c>
      <c r="DN24" s="323">
        <v>2014</v>
      </c>
      <c r="DO24" s="433">
        <f t="shared" si="15"/>
        <v>9.6</v>
      </c>
      <c r="DP24" s="475">
        <f t="shared" si="16"/>
        <v>8</v>
      </c>
      <c r="DQ24" s="90">
        <v>15</v>
      </c>
      <c r="DR24" s="90">
        <f t="shared" si="17"/>
        <v>42</v>
      </c>
      <c r="DS24" s="95">
        <v>41835</v>
      </c>
      <c r="DT24" s="178">
        <v>41835</v>
      </c>
      <c r="DU24" s="475">
        <f t="shared" si="18"/>
        <v>0</v>
      </c>
      <c r="DV24" s="515">
        <f>DS24+45</f>
        <v>41880</v>
      </c>
      <c r="DW24" s="512">
        <v>42153</v>
      </c>
      <c r="DX24" s="478">
        <f t="shared" si="19"/>
        <v>273</v>
      </c>
      <c r="DY24" s="95">
        <f>DM24+300</f>
        <v>42051</v>
      </c>
      <c r="DZ24" s="237">
        <v>42255</v>
      </c>
      <c r="EA24" s="475">
        <f t="shared" si="20"/>
        <v>204</v>
      </c>
      <c r="EB24" s="95">
        <f>DY24+30</f>
        <v>42081</v>
      </c>
      <c r="EC24" s="95">
        <v>42943</v>
      </c>
      <c r="ED24" s="475">
        <f t="shared" si="21"/>
        <v>862</v>
      </c>
      <c r="EE24" s="95">
        <f>EB24</f>
        <v>42081</v>
      </c>
      <c r="EF24" s="95">
        <v>42943</v>
      </c>
      <c r="EG24" s="475">
        <f t="shared" si="22"/>
        <v>862</v>
      </c>
      <c r="EH24" s="95">
        <f>EE24+60</f>
        <v>42141</v>
      </c>
      <c r="EI24" s="95">
        <v>42934</v>
      </c>
      <c r="EJ24" s="475">
        <f t="shared" si="23"/>
        <v>793</v>
      </c>
      <c r="EK24" s="95">
        <f>EH24+90</f>
        <v>42231</v>
      </c>
      <c r="EL24" s="95">
        <v>42985</v>
      </c>
      <c r="EM24" s="475">
        <f t="shared" si="24"/>
        <v>754</v>
      </c>
      <c r="EN24" s="95">
        <v>43052</v>
      </c>
      <c r="EO24" s="95">
        <v>43041</v>
      </c>
      <c r="EP24" s="95">
        <v>43031</v>
      </c>
      <c r="EQ24" s="517">
        <f t="shared" si="25"/>
        <v>42207</v>
      </c>
      <c r="ER24" s="331">
        <v>43055</v>
      </c>
      <c r="ES24" s="642">
        <f t="shared" si="26"/>
        <v>28.266666666666666</v>
      </c>
      <c r="ET24" s="929"/>
      <c r="EU24" s="564"/>
      <c r="EV24" s="89">
        <v>43082</v>
      </c>
      <c r="EW24" s="89">
        <v>42382</v>
      </c>
      <c r="EX24" s="89">
        <v>43059</v>
      </c>
      <c r="EY24" s="441"/>
      <c r="EZ24" s="746">
        <f t="shared" si="27"/>
        <v>42238</v>
      </c>
      <c r="FA24" s="331">
        <v>43069</v>
      </c>
      <c r="FB24" s="325">
        <v>2017</v>
      </c>
      <c r="FC24" s="639">
        <f t="shared" si="28"/>
        <v>27.7</v>
      </c>
      <c r="FD24" s="629">
        <f>86289.3386701777/12</f>
        <v>7190.7782225148085</v>
      </c>
      <c r="FE24" s="236">
        <f t="shared" si="29"/>
        <v>199184.55676366019</v>
      </c>
      <c r="FF24" s="237">
        <v>42999</v>
      </c>
      <c r="FG24" s="881">
        <v>366248</v>
      </c>
      <c r="FH24" s="624">
        <f>HQ24</f>
        <v>0</v>
      </c>
      <c r="FI24" s="502"/>
      <c r="FJ24" s="502"/>
      <c r="FK24" s="502">
        <v>110247.29</v>
      </c>
      <c r="FL24" s="664">
        <f t="shared" si="31"/>
        <v>3.2927085246660541E-2</v>
      </c>
      <c r="FM24" s="883" t="s">
        <v>639</v>
      </c>
      <c r="FN24" s="885" t="s">
        <v>640</v>
      </c>
      <c r="FO24" s="499"/>
      <c r="FP24" s="885" t="s">
        <v>641</v>
      </c>
      <c r="FQ24" s="604" t="s">
        <v>414</v>
      </c>
      <c r="FR24" s="557">
        <v>43164</v>
      </c>
      <c r="FS24" s="146" t="s">
        <v>243</v>
      </c>
      <c r="FT24" s="146" t="s">
        <v>243</v>
      </c>
      <c r="FU24" s="156">
        <v>43152</v>
      </c>
      <c r="FV24" s="156" t="s">
        <v>107</v>
      </c>
      <c r="FW24" s="237">
        <f t="shared" si="72"/>
        <v>43420</v>
      </c>
      <c r="FX24" s="611">
        <v>26813</v>
      </c>
      <c r="FY24" s="557">
        <v>43151</v>
      </c>
      <c r="FZ24" s="557">
        <v>43157</v>
      </c>
      <c r="GA24" s="557"/>
      <c r="GB24" s="146"/>
      <c r="GC24" s="146"/>
      <c r="GD24" s="586">
        <v>43210</v>
      </c>
      <c r="GE24" s="61"/>
      <c r="GF24" s="61" t="s">
        <v>857</v>
      </c>
      <c r="GG24" s="143"/>
      <c r="GH24" s="586">
        <v>43242</v>
      </c>
      <c r="GI24" s="61"/>
      <c r="GJ24" s="61"/>
      <c r="GK24" s="61"/>
      <c r="GL24" s="548">
        <v>2715924</v>
      </c>
      <c r="GM24" s="979">
        <f t="shared" si="33"/>
        <v>3348225</v>
      </c>
      <c r="GN24" s="772">
        <f t="shared" si="34"/>
        <v>3348225</v>
      </c>
      <c r="GO24" s="683">
        <f t="shared" si="35"/>
        <v>3348225</v>
      </c>
      <c r="GP24" s="909">
        <f t="shared" si="36"/>
        <v>432000</v>
      </c>
      <c r="GQ24" s="35">
        <f t="shared" si="37"/>
        <v>2538.495655733976</v>
      </c>
      <c r="GR24" s="35">
        <f t="shared" si="38"/>
        <v>186012.5</v>
      </c>
      <c r="GS24" s="11">
        <v>736924</v>
      </c>
      <c r="GT24" s="577"/>
      <c r="GU24" s="19">
        <f t="shared" si="39"/>
        <v>40940.222222222219</v>
      </c>
      <c r="GV24" s="11">
        <f t="shared" si="40"/>
        <v>1490303</v>
      </c>
      <c r="GW24" s="12">
        <v>341701</v>
      </c>
      <c r="GX24" s="12">
        <v>1148602</v>
      </c>
      <c r="GY24" s="567">
        <f t="shared" si="41"/>
        <v>82794.611111111109</v>
      </c>
      <c r="GZ24" s="11"/>
      <c r="HA24" s="11">
        <v>432000</v>
      </c>
      <c r="HB24" s="53"/>
      <c r="HC24" s="28">
        <f t="shared" si="42"/>
        <v>0.12902358712452119</v>
      </c>
      <c r="HD24" s="53">
        <v>688998</v>
      </c>
      <c r="HE24" s="53"/>
      <c r="HF24" s="11">
        <v>0</v>
      </c>
      <c r="HG24" s="35">
        <f t="shared" si="43"/>
        <v>24000</v>
      </c>
      <c r="HH24" s="35">
        <f t="shared" si="44"/>
        <v>64940.222222222219</v>
      </c>
      <c r="HI24" s="27">
        <v>0</v>
      </c>
      <c r="HJ24" s="27">
        <v>0</v>
      </c>
      <c r="HK24" s="19" t="e">
        <f>(#REF!+#REF!+HJ24)/AE24</f>
        <v>#REF!</v>
      </c>
      <c r="HL24" s="27">
        <v>0</v>
      </c>
      <c r="HM24" s="19">
        <f t="shared" si="45"/>
        <v>64940.222222222219</v>
      </c>
      <c r="HN24" s="36">
        <f t="shared" si="46"/>
        <v>0.34911751749061071</v>
      </c>
      <c r="HO24" s="27"/>
      <c r="HP24" s="27"/>
      <c r="HQ24" s="11">
        <v>0</v>
      </c>
      <c r="HR24" s="898"/>
      <c r="HS24" s="907">
        <f t="shared" si="47"/>
        <v>0</v>
      </c>
      <c r="HT24" s="915">
        <f t="shared" si="48"/>
        <v>3348225</v>
      </c>
      <c r="HU24" s="898">
        <f t="shared" ca="1" si="49"/>
        <v>3348225</v>
      </c>
      <c r="HV24" s="898"/>
      <c r="HW24" s="898"/>
      <c r="HX24" s="898">
        <f t="shared" si="50"/>
        <v>432000</v>
      </c>
      <c r="HY24" s="908">
        <f t="shared" si="51"/>
        <v>0</v>
      </c>
      <c r="HZ24" s="908"/>
      <c r="IA24" s="73" t="e">
        <f>#REF!+HI24</f>
        <v>#REF!</v>
      </c>
      <c r="IB24" s="752"/>
      <c r="IC24" s="73"/>
      <c r="ID24" s="73"/>
      <c r="IE24" s="73"/>
      <c r="IF24" s="73"/>
    </row>
    <row r="25" spans="1:240" ht="20.100000000000001" customHeight="1">
      <c r="A25" s="20" t="s">
        <v>707</v>
      </c>
      <c r="B25" s="297"/>
      <c r="C25" s="8" t="s">
        <v>21</v>
      </c>
      <c r="D25" s="8" t="s">
        <v>92</v>
      </c>
      <c r="E25" s="8">
        <v>2013</v>
      </c>
      <c r="F25" s="8" t="s">
        <v>24</v>
      </c>
      <c r="G25" s="8" t="s">
        <v>40</v>
      </c>
      <c r="H25" s="671" t="s">
        <v>705</v>
      </c>
      <c r="I25" s="8" t="s">
        <v>193</v>
      </c>
      <c r="J25" s="39"/>
      <c r="K25" s="39"/>
      <c r="L25" s="199"/>
      <c r="M25" s="425" t="s">
        <v>48</v>
      </c>
      <c r="N25" s="425" t="s">
        <v>50</v>
      </c>
      <c r="O25" s="819">
        <v>41619</v>
      </c>
      <c r="P25" s="161">
        <v>5146</v>
      </c>
      <c r="Q25" s="161">
        <f>R25</f>
        <v>1069200</v>
      </c>
      <c r="R25" s="161">
        <v>1069200</v>
      </c>
      <c r="S25" s="161">
        <f t="shared" si="65"/>
        <v>19800</v>
      </c>
      <c r="T25" s="161">
        <f t="shared" si="66"/>
        <v>207.77302759424796</v>
      </c>
      <c r="U25" s="161">
        <f t="shared" si="67"/>
        <v>207.77302759424796</v>
      </c>
      <c r="V25" s="161">
        <f t="shared" si="68"/>
        <v>233.10530125478914</v>
      </c>
      <c r="W25" s="161">
        <f t="shared" si="69"/>
        <v>19800</v>
      </c>
      <c r="X25" s="161">
        <f t="shared" si="70"/>
        <v>95.296296296296291</v>
      </c>
      <c r="Y25" s="162">
        <v>2205.9499999999998</v>
      </c>
      <c r="Z25" s="733">
        <f t="shared" si="0"/>
        <v>104.93587252234745</v>
      </c>
      <c r="AA25" s="162" t="s">
        <v>158</v>
      </c>
      <c r="AB25" s="164">
        <v>570</v>
      </c>
      <c r="AC25" s="165">
        <v>0.15</v>
      </c>
      <c r="AD25" s="8" t="s">
        <v>9</v>
      </c>
      <c r="AE25" s="674">
        <f t="shared" si="1"/>
        <v>54</v>
      </c>
      <c r="AF25" s="674">
        <f t="shared" si="2"/>
        <v>54</v>
      </c>
      <c r="AG25" s="8">
        <v>54</v>
      </c>
      <c r="AH25" s="9"/>
      <c r="AI25" s="50"/>
      <c r="AJ25" s="50"/>
      <c r="AK25" s="209">
        <v>3955.3599999999983</v>
      </c>
      <c r="AL25" s="426">
        <v>4586.7682727272741</v>
      </c>
      <c r="AM25" s="875">
        <f t="shared" si="3"/>
        <v>73.24740740740738</v>
      </c>
      <c r="AN25" s="10">
        <f t="shared" si="4"/>
        <v>84.940153198653221</v>
      </c>
      <c r="AO25" s="43">
        <v>7.36</v>
      </c>
      <c r="AP25" s="43">
        <v>6.35</v>
      </c>
      <c r="AQ25" s="43">
        <v>539.26</v>
      </c>
      <c r="AR25" s="45"/>
      <c r="AS25" s="45"/>
      <c r="AT25" s="45"/>
      <c r="AU25" s="45"/>
      <c r="AV25" s="45"/>
      <c r="AW25" s="10"/>
      <c r="AX25" s="59">
        <v>0</v>
      </c>
      <c r="AY25" s="61">
        <f t="shared" si="71"/>
        <v>0</v>
      </c>
      <c r="AZ25" s="49" t="s">
        <v>159</v>
      </c>
      <c r="BA25" s="42" t="s">
        <v>439</v>
      </c>
      <c r="BB25" s="8" t="s">
        <v>100</v>
      </c>
      <c r="BC25" s="39"/>
      <c r="BD25" s="39"/>
      <c r="BE25" s="39"/>
      <c r="BF25" s="39"/>
      <c r="BG25" s="87">
        <v>41233</v>
      </c>
      <c r="BH25" s="87">
        <v>41348</v>
      </c>
      <c r="BI25" s="159">
        <v>41466</v>
      </c>
      <c r="BJ25" s="75"/>
      <c r="BK25" s="867"/>
      <c r="BL25" s="124">
        <v>41550</v>
      </c>
      <c r="BM25" s="157">
        <v>41576</v>
      </c>
      <c r="BN25" s="1007">
        <f t="shared" si="73"/>
        <v>0.8666666666666667</v>
      </c>
      <c r="BO25" s="158"/>
      <c r="BP25" s="125">
        <f t="shared" si="63"/>
        <v>41668</v>
      </c>
      <c r="BQ25" s="125"/>
      <c r="BR25" s="225">
        <v>41671</v>
      </c>
      <c r="BS25" s="224">
        <f t="shared" si="5"/>
        <v>42401</v>
      </c>
      <c r="BT25" s="605">
        <f>169432+39625</f>
        <v>209057</v>
      </c>
      <c r="BU25" s="224" t="str">
        <f t="shared" si="61"/>
        <v>oui</v>
      </c>
      <c r="BV25" s="784">
        <f t="shared" si="59"/>
        <v>-22.666666666666668</v>
      </c>
      <c r="BW25" s="605" t="str">
        <f t="shared" si="60"/>
        <v>0</v>
      </c>
      <c r="BX25" s="605">
        <f t="shared" si="8"/>
        <v>209057</v>
      </c>
      <c r="BY25" s="702"/>
      <c r="BZ25" s="817" t="s">
        <v>144</v>
      </c>
      <c r="CA25" s="703"/>
      <c r="CB25" s="703"/>
      <c r="CC25" s="703"/>
      <c r="CD25" s="699"/>
      <c r="CE25" s="699"/>
      <c r="CF25" s="699"/>
      <c r="CG25" s="699"/>
      <c r="CH25" s="699"/>
      <c r="CI25" s="699"/>
      <c r="CJ25" s="699"/>
      <c r="CK25" s="704"/>
      <c r="CL25" s="704"/>
      <c r="CM25" s="704"/>
      <c r="CN25" s="704"/>
      <c r="CO25" s="704"/>
      <c r="CP25" s="704"/>
      <c r="CQ25" s="95"/>
      <c r="CR25" s="95"/>
      <c r="CS25" s="95"/>
      <c r="CT25" s="475" t="str">
        <f t="shared" si="9"/>
        <v>0</v>
      </c>
      <c r="CU25" s="95"/>
      <c r="CV25" s="95"/>
      <c r="CW25" s="475" t="str">
        <f t="shared" si="10"/>
        <v>0</v>
      </c>
      <c r="CX25" s="95"/>
      <c r="CY25" s="95"/>
      <c r="CZ25" s="475" t="str">
        <f t="shared" si="11"/>
        <v>0</v>
      </c>
      <c r="DA25" s="95"/>
      <c r="DB25" s="95"/>
      <c r="DC25" s="475" t="str">
        <f t="shared" si="12"/>
        <v>0</v>
      </c>
      <c r="DD25" s="97"/>
      <c r="DE25" s="514"/>
      <c r="DF25" s="475" t="str">
        <f t="shared" si="13"/>
        <v>0</v>
      </c>
      <c r="DG25" s="61"/>
      <c r="DH25" s="178"/>
      <c r="DI25" s="95"/>
      <c r="DJ25" s="178"/>
      <c r="DK25" s="475" t="str">
        <f t="shared" si="14"/>
        <v>0</v>
      </c>
      <c r="DL25" s="95"/>
      <c r="DM25" s="329">
        <v>41764</v>
      </c>
      <c r="DN25" s="325">
        <v>2014</v>
      </c>
      <c r="DO25" s="434">
        <f t="shared" si="15"/>
        <v>9.9333333333333336</v>
      </c>
      <c r="DP25" s="475" t="str">
        <f t="shared" si="16"/>
        <v>0</v>
      </c>
      <c r="DQ25" s="187">
        <v>15</v>
      </c>
      <c r="DR25" s="90">
        <f t="shared" si="17"/>
        <v>43</v>
      </c>
      <c r="DS25" s="95"/>
      <c r="DT25" s="178"/>
      <c r="DU25" s="475" t="str">
        <f t="shared" si="18"/>
        <v>0</v>
      </c>
      <c r="DV25" s="515"/>
      <c r="DW25" s="512"/>
      <c r="DX25" s="478" t="str">
        <f t="shared" si="19"/>
        <v>0</v>
      </c>
      <c r="DY25" s="97"/>
      <c r="DZ25" s="237"/>
      <c r="EA25" s="475" t="str">
        <f t="shared" si="20"/>
        <v>0</v>
      </c>
      <c r="EB25" s="95"/>
      <c r="EC25" s="95"/>
      <c r="ED25" s="475" t="str">
        <f t="shared" si="21"/>
        <v>0</v>
      </c>
      <c r="EE25" s="95"/>
      <c r="EF25" s="95"/>
      <c r="EG25" s="475" t="str">
        <f t="shared" si="22"/>
        <v>0</v>
      </c>
      <c r="EH25" s="95"/>
      <c r="EI25" s="95"/>
      <c r="EJ25" s="475" t="str">
        <f t="shared" si="23"/>
        <v>0</v>
      </c>
      <c r="EK25" s="95"/>
      <c r="EL25" s="95"/>
      <c r="EM25" s="475" t="str">
        <f t="shared" si="24"/>
        <v>0</v>
      </c>
      <c r="EN25" s="95"/>
      <c r="EO25" s="95"/>
      <c r="EP25" s="95"/>
      <c r="EQ25" s="517">
        <f t="shared" si="25"/>
        <v>42221</v>
      </c>
      <c r="ER25" s="331">
        <v>43076</v>
      </c>
      <c r="ES25" s="642">
        <f t="shared" si="26"/>
        <v>28.5</v>
      </c>
      <c r="ET25" s="929"/>
      <c r="EU25" s="564"/>
      <c r="EV25" s="89">
        <v>43131</v>
      </c>
      <c r="EW25" s="89">
        <v>42527</v>
      </c>
      <c r="EX25" s="89">
        <v>43066</v>
      </c>
      <c r="EY25" s="678"/>
      <c r="EZ25" s="746">
        <f t="shared" si="27"/>
        <v>42252</v>
      </c>
      <c r="FA25" s="331">
        <v>43081</v>
      </c>
      <c r="FB25" s="325">
        <v>2017</v>
      </c>
      <c r="FC25" s="639">
        <f t="shared" si="28"/>
        <v>27.633333333333333</v>
      </c>
      <c r="FD25" s="629">
        <f>366249.787559262/12</f>
        <v>30520.815629938501</v>
      </c>
      <c r="FE25" s="236">
        <f t="shared" si="29"/>
        <v>843391.87190730055</v>
      </c>
      <c r="FF25" s="237">
        <v>42970</v>
      </c>
      <c r="FG25" s="498">
        <v>0</v>
      </c>
      <c r="FH25" s="624">
        <v>222887</v>
      </c>
      <c r="FI25" s="502"/>
      <c r="FJ25" s="502"/>
      <c r="FK25" s="502">
        <f>170334.64*1.021</f>
        <v>173911.66743999999</v>
      </c>
      <c r="FL25" s="664">
        <f t="shared" si="31"/>
        <v>1.666655653230081E-2</v>
      </c>
      <c r="FM25" s="499"/>
      <c r="FN25" s="511" t="s">
        <v>609</v>
      </c>
      <c r="FO25" s="499"/>
      <c r="FP25" s="499"/>
      <c r="FQ25" s="182" t="s">
        <v>107</v>
      </c>
      <c r="FR25" s="95">
        <v>43166</v>
      </c>
      <c r="FS25" s="94"/>
      <c r="FT25" s="94"/>
      <c r="FU25" s="95">
        <v>43297</v>
      </c>
      <c r="FV25" s="87">
        <v>43767</v>
      </c>
      <c r="FW25" s="237">
        <f t="shared" si="72"/>
        <v>43441</v>
      </c>
      <c r="FX25" s="610">
        <v>280724</v>
      </c>
      <c r="FY25" s="237">
        <v>43152</v>
      </c>
      <c r="FZ25" s="95">
        <v>43186</v>
      </c>
      <c r="GA25" s="95"/>
      <c r="GB25" s="94"/>
      <c r="GC25" s="94"/>
      <c r="GD25" s="95">
        <v>43217</v>
      </c>
      <c r="GE25" s="39"/>
      <c r="GF25" s="39"/>
      <c r="GG25" s="143"/>
      <c r="GH25" s="560">
        <v>43287</v>
      </c>
      <c r="GI25" s="88" t="s">
        <v>107</v>
      </c>
      <c r="GJ25" s="39"/>
      <c r="GK25" s="39"/>
      <c r="GL25" s="548">
        <v>9099071</v>
      </c>
      <c r="GM25" s="979">
        <f t="shared" si="33"/>
        <v>10434769</v>
      </c>
      <c r="GN25" s="772">
        <f t="shared" si="34"/>
        <v>10434769</v>
      </c>
      <c r="GO25" s="683">
        <f t="shared" si="35"/>
        <v>10434769</v>
      </c>
      <c r="GP25" s="909">
        <f t="shared" si="36"/>
        <v>17351</v>
      </c>
      <c r="GQ25" s="35">
        <f t="shared" si="37"/>
        <v>2274.9719147672417</v>
      </c>
      <c r="GR25" s="35">
        <f t="shared" si="38"/>
        <v>193236.46296296295</v>
      </c>
      <c r="GS25" s="11">
        <v>3287400</v>
      </c>
      <c r="GT25" s="577"/>
      <c r="GU25" s="19">
        <f t="shared" si="39"/>
        <v>60877.777777777781</v>
      </c>
      <c r="GV25" s="11">
        <f t="shared" si="40"/>
        <v>5918673</v>
      </c>
      <c r="GW25" s="12">
        <v>1256197</v>
      </c>
      <c r="GX25" s="12">
        <v>4662476</v>
      </c>
      <c r="GY25" s="567">
        <f t="shared" si="41"/>
        <v>109605.05555555556</v>
      </c>
      <c r="GZ25" s="11">
        <v>822995</v>
      </c>
      <c r="HA25" s="11">
        <v>1</v>
      </c>
      <c r="HB25" s="53"/>
      <c r="HC25" s="28">
        <f t="shared" si="42"/>
        <v>9.5833458316135224E-8</v>
      </c>
      <c r="HD25" s="53">
        <v>0</v>
      </c>
      <c r="HE25" s="53"/>
      <c r="HF25" s="11">
        <v>17350</v>
      </c>
      <c r="HG25" s="35">
        <f t="shared" si="43"/>
        <v>1.8518518518518517E-2</v>
      </c>
      <c r="HH25" s="35">
        <f t="shared" si="44"/>
        <v>60877.796296296299</v>
      </c>
      <c r="HI25" s="27"/>
      <c r="HJ25" s="27"/>
      <c r="HK25" s="19">
        <f>(GS25+HA25+HJ25)/AE25</f>
        <v>60877.796296296299</v>
      </c>
      <c r="HL25" s="27">
        <v>0</v>
      </c>
      <c r="HM25" s="19">
        <f t="shared" si="45"/>
        <v>60877.796296296299</v>
      </c>
      <c r="HN25" s="36">
        <f t="shared" si="46"/>
        <v>0.31504300670192126</v>
      </c>
      <c r="HO25" s="27"/>
      <c r="HP25" s="27"/>
      <c r="HQ25" s="11">
        <v>388350</v>
      </c>
      <c r="HR25" s="898"/>
      <c r="HS25" s="907">
        <f t="shared" si="47"/>
        <v>0</v>
      </c>
      <c r="HT25" s="915">
        <f t="shared" si="48"/>
        <v>10434769</v>
      </c>
      <c r="HU25" s="898">
        <f t="shared" ca="1" si="49"/>
        <v>10434769</v>
      </c>
      <c r="HV25" s="898"/>
      <c r="HW25" s="898"/>
      <c r="HX25" s="898">
        <f t="shared" si="50"/>
        <v>17351</v>
      </c>
      <c r="HY25" s="908">
        <f t="shared" si="51"/>
        <v>0</v>
      </c>
      <c r="HZ25" s="908"/>
      <c r="IA25" s="29">
        <f>GN25+HI25</f>
        <v>10434769</v>
      </c>
      <c r="IB25" s="752"/>
      <c r="IC25" s="73"/>
      <c r="ID25" s="73"/>
      <c r="IE25" s="73"/>
      <c r="IF25" s="73"/>
    </row>
    <row r="26" spans="1:240" ht="20.100000000000001" customHeight="1">
      <c r="A26" s="65" t="s">
        <v>303</v>
      </c>
      <c r="B26" s="297"/>
      <c r="C26" s="8" t="s">
        <v>21</v>
      </c>
      <c r="D26" s="8" t="s">
        <v>92</v>
      </c>
      <c r="E26" s="8">
        <v>2013</v>
      </c>
      <c r="F26" s="8" t="s">
        <v>22</v>
      </c>
      <c r="G26" s="8"/>
      <c r="H26" s="671" t="s">
        <v>537</v>
      </c>
      <c r="I26" s="8" t="s">
        <v>193</v>
      </c>
      <c r="J26" s="39"/>
      <c r="K26" s="39"/>
      <c r="L26" s="199"/>
      <c r="M26" s="126" t="s">
        <v>46</v>
      </c>
      <c r="N26" s="80"/>
      <c r="O26" s="81" t="s">
        <v>107</v>
      </c>
      <c r="P26" s="161">
        <v>2330</v>
      </c>
      <c r="Q26" s="161">
        <f>R26</f>
        <v>800000</v>
      </c>
      <c r="R26" s="161">
        <v>800000</v>
      </c>
      <c r="S26" s="161">
        <f t="shared" si="65"/>
        <v>18181.81818181818</v>
      </c>
      <c r="T26" s="161">
        <f t="shared" si="66"/>
        <v>343.34763948497852</v>
      </c>
      <c r="U26" s="161">
        <f t="shared" si="67"/>
        <v>343.34763948497852</v>
      </c>
      <c r="V26" s="161">
        <f t="shared" si="68"/>
        <v>219.88532980050908</v>
      </c>
      <c r="W26" s="161">
        <f t="shared" si="69"/>
        <v>18181.81818181818</v>
      </c>
      <c r="X26" s="161">
        <f t="shared" si="70"/>
        <v>52.954545454545453</v>
      </c>
      <c r="Y26" s="162"/>
      <c r="Z26" s="733">
        <f t="shared" si="0"/>
        <v>188.8412017167382</v>
      </c>
      <c r="AA26" s="162" t="s">
        <v>158</v>
      </c>
      <c r="AB26" s="164">
        <v>580</v>
      </c>
      <c r="AC26" s="165"/>
      <c r="AD26" s="8" t="s">
        <v>9</v>
      </c>
      <c r="AE26" s="674">
        <f t="shared" si="1"/>
        <v>44</v>
      </c>
      <c r="AF26" s="674">
        <f t="shared" si="2"/>
        <v>44</v>
      </c>
      <c r="AG26" s="8">
        <v>44</v>
      </c>
      <c r="AH26" s="9"/>
      <c r="AI26" s="50"/>
      <c r="AJ26" s="50"/>
      <c r="AK26" s="209">
        <v>3139.3500000000004</v>
      </c>
      <c r="AL26" s="426">
        <v>3638.2599999999993</v>
      </c>
      <c r="AM26" s="875">
        <f t="shared" si="3"/>
        <v>71.348863636363646</v>
      </c>
      <c r="AN26" s="10">
        <f t="shared" si="4"/>
        <v>82.687727272727258</v>
      </c>
      <c r="AO26" s="43">
        <v>7.4111716116393511</v>
      </c>
      <c r="AP26" s="43">
        <v>6.39</v>
      </c>
      <c r="AQ26" s="43">
        <v>528.77867270454544</v>
      </c>
      <c r="AR26" s="61">
        <f>6/AE26</f>
        <v>0.13636363636363635</v>
      </c>
      <c r="AS26" s="61"/>
      <c r="AT26" s="61">
        <f>17/AG26</f>
        <v>0.38636363636363635</v>
      </c>
      <c r="AU26" s="61">
        <f>17/AE26</f>
        <v>0.38636363636363635</v>
      </c>
      <c r="AV26" s="61">
        <f>4/AE26</f>
        <v>9.0909090909090912E-2</v>
      </c>
      <c r="AW26" s="10">
        <v>1428</v>
      </c>
      <c r="AX26" s="59">
        <v>0</v>
      </c>
      <c r="AY26" s="61">
        <f t="shared" si="71"/>
        <v>0</v>
      </c>
      <c r="AZ26" s="43">
        <v>4</v>
      </c>
      <c r="BA26" s="42" t="s">
        <v>439</v>
      </c>
      <c r="BB26" s="8" t="s">
        <v>100</v>
      </c>
      <c r="BC26" s="39"/>
      <c r="BD26" s="39"/>
      <c r="BE26" s="39"/>
      <c r="BF26" s="39"/>
      <c r="BG26" s="39"/>
      <c r="BH26" s="143">
        <v>41348</v>
      </c>
      <c r="BI26" s="159">
        <v>41446</v>
      </c>
      <c r="BJ26" s="75"/>
      <c r="BK26" s="867"/>
      <c r="BL26" s="124">
        <v>41550</v>
      </c>
      <c r="BM26" s="157">
        <v>41576</v>
      </c>
      <c r="BN26" s="1007">
        <f t="shared" si="73"/>
        <v>0.8666666666666667</v>
      </c>
      <c r="BO26" s="158"/>
      <c r="BP26" s="125">
        <f t="shared" si="63"/>
        <v>41668</v>
      </c>
      <c r="BQ26" s="125"/>
      <c r="BR26" s="225">
        <v>41671</v>
      </c>
      <c r="BS26" s="224">
        <f t="shared" si="5"/>
        <v>42401</v>
      </c>
      <c r="BT26" s="605">
        <f>31422+134351</f>
        <v>165773</v>
      </c>
      <c r="BU26" s="224" t="str">
        <f t="shared" si="61"/>
        <v>oui</v>
      </c>
      <c r="BV26" s="784">
        <f t="shared" si="59"/>
        <v>-9</v>
      </c>
      <c r="BW26" s="605" t="str">
        <f t="shared" si="60"/>
        <v>0</v>
      </c>
      <c r="BX26" s="605">
        <f t="shared" si="8"/>
        <v>165773</v>
      </c>
      <c r="BY26" s="702"/>
      <c r="BZ26" s="817" t="s">
        <v>144</v>
      </c>
      <c r="CA26" s="703"/>
      <c r="CB26" s="703"/>
      <c r="CC26" s="703"/>
      <c r="CD26" s="699"/>
      <c r="CE26" s="699"/>
      <c r="CF26" s="699"/>
      <c r="CG26" s="699"/>
      <c r="CH26" s="699"/>
      <c r="CI26" s="699"/>
      <c r="CJ26" s="699"/>
      <c r="CK26" s="704"/>
      <c r="CL26" s="704"/>
      <c r="CM26" s="704"/>
      <c r="CN26" s="704"/>
      <c r="CO26" s="704"/>
      <c r="CP26" s="704"/>
      <c r="CQ26" s="95"/>
      <c r="CR26" s="95"/>
      <c r="CS26" s="95"/>
      <c r="CT26" s="475" t="str">
        <f t="shared" si="9"/>
        <v>0</v>
      </c>
      <c r="CU26" s="95"/>
      <c r="CV26" s="95"/>
      <c r="CW26" s="475" t="str">
        <f t="shared" si="10"/>
        <v>0</v>
      </c>
      <c r="CX26" s="95"/>
      <c r="CY26" s="95"/>
      <c r="CZ26" s="475" t="str">
        <f t="shared" si="11"/>
        <v>0</v>
      </c>
      <c r="DA26" s="95"/>
      <c r="DB26" s="95"/>
      <c r="DC26" s="475" t="str">
        <f t="shared" si="12"/>
        <v>0</v>
      </c>
      <c r="DD26" s="97"/>
      <c r="DE26" s="514"/>
      <c r="DF26" s="475" t="str">
        <f t="shared" si="13"/>
        <v>0</v>
      </c>
      <c r="DG26" s="440"/>
      <c r="DH26" s="178"/>
      <c r="DI26" s="95"/>
      <c r="DJ26" s="178"/>
      <c r="DK26" s="475" t="str">
        <f t="shared" si="14"/>
        <v>0</v>
      </c>
      <c r="DL26" s="95"/>
      <c r="DM26" s="329">
        <v>41766</v>
      </c>
      <c r="DN26" s="323">
        <v>2014</v>
      </c>
      <c r="DO26" s="433">
        <f t="shared" si="15"/>
        <v>10.666666666666666</v>
      </c>
      <c r="DP26" s="475" t="str">
        <f t="shared" si="16"/>
        <v>0</v>
      </c>
      <c r="DQ26" s="90">
        <v>15</v>
      </c>
      <c r="DR26" s="90">
        <f t="shared" si="17"/>
        <v>28</v>
      </c>
      <c r="DS26" s="237"/>
      <c r="DT26" s="236"/>
      <c r="DU26" s="616" t="str">
        <f t="shared" si="18"/>
        <v>0</v>
      </c>
      <c r="DV26" s="633"/>
      <c r="DW26" s="555"/>
      <c r="DX26" s="556" t="str">
        <f t="shared" si="19"/>
        <v>0</v>
      </c>
      <c r="DY26" s="198"/>
      <c r="DZ26" s="237"/>
      <c r="EA26" s="616" t="str">
        <f t="shared" si="20"/>
        <v>0</v>
      </c>
      <c r="EB26" s="236"/>
      <c r="EC26" s="237"/>
      <c r="ED26" s="616" t="str">
        <f t="shared" si="21"/>
        <v>0</v>
      </c>
      <c r="EE26" s="298"/>
      <c r="EF26" s="298"/>
      <c r="EG26" s="616" t="str">
        <f t="shared" si="22"/>
        <v>0</v>
      </c>
      <c r="EH26" s="298"/>
      <c r="EI26" s="298"/>
      <c r="EJ26" s="616" t="str">
        <f t="shared" si="23"/>
        <v>0</v>
      </c>
      <c r="EK26" s="237"/>
      <c r="EL26" s="237"/>
      <c r="EM26" s="616" t="str">
        <f t="shared" si="24"/>
        <v>0</v>
      </c>
      <c r="EN26" s="298"/>
      <c r="EO26" s="298"/>
      <c r="EP26" s="298"/>
      <c r="EQ26" s="678">
        <f t="shared" si="25"/>
        <v>42223</v>
      </c>
      <c r="ER26" s="331">
        <v>42640</v>
      </c>
      <c r="ES26" s="642">
        <f t="shared" si="26"/>
        <v>13.9</v>
      </c>
      <c r="ET26" s="929"/>
      <c r="EU26" s="441"/>
      <c r="EV26" s="295">
        <v>42745</v>
      </c>
      <c r="EW26" s="89">
        <v>42523</v>
      </c>
      <c r="EX26" s="89">
        <f>DATE(YEAR(ER26),MONTH(ER26)+1,DAY(ER26))</f>
        <v>42670</v>
      </c>
      <c r="EY26" s="441"/>
      <c r="EZ26" s="746">
        <f t="shared" si="27"/>
        <v>42254</v>
      </c>
      <c r="FA26" s="331">
        <v>42671</v>
      </c>
      <c r="FB26" s="325">
        <v>2016</v>
      </c>
      <c r="FC26" s="639">
        <f t="shared" si="28"/>
        <v>13.9</v>
      </c>
      <c r="FD26" s="629">
        <v>27218</v>
      </c>
      <c r="FE26" s="236">
        <f t="shared" si="29"/>
        <v>378330.2</v>
      </c>
      <c r="FF26" s="89" t="s">
        <v>107</v>
      </c>
      <c r="FG26" s="498"/>
      <c r="FH26" s="624">
        <f t="shared" ref="FH26:FH32" si="74">HQ26</f>
        <v>0</v>
      </c>
      <c r="FI26" s="502">
        <v>285000</v>
      </c>
      <c r="FJ26" s="502"/>
      <c r="FK26" s="502">
        <f>190041.07*1.021</f>
        <v>194031.93247</v>
      </c>
      <c r="FL26" s="664">
        <f t="shared" si="31"/>
        <v>2.6509981000663596E-2</v>
      </c>
      <c r="FM26" s="499"/>
      <c r="FN26" s="511"/>
      <c r="FO26" s="499"/>
      <c r="FP26" s="499"/>
      <c r="FQ26" s="295" t="s">
        <v>107</v>
      </c>
      <c r="FR26" s="156">
        <v>42851</v>
      </c>
      <c r="FS26" s="237" t="s">
        <v>107</v>
      </c>
      <c r="FT26" s="237" t="s">
        <v>107</v>
      </c>
      <c r="FU26" s="186">
        <v>42912</v>
      </c>
      <c r="FV26" s="156" t="s">
        <v>107</v>
      </c>
      <c r="FW26" s="156">
        <f t="shared" si="72"/>
        <v>43005</v>
      </c>
      <c r="FX26" s="611">
        <v>205656</v>
      </c>
      <c r="FY26" s="186">
        <v>42705</v>
      </c>
      <c r="FZ26" s="186">
        <v>42873</v>
      </c>
      <c r="GA26" s="186"/>
      <c r="GB26" s="88"/>
      <c r="GC26" s="88"/>
      <c r="GD26" s="88"/>
      <c r="GE26" s="39"/>
      <c r="GF26" s="41" t="s">
        <v>646</v>
      </c>
      <c r="GG26" s="39"/>
      <c r="GH26" s="140">
        <v>42955</v>
      </c>
      <c r="GI26" s="140">
        <v>43139</v>
      </c>
      <c r="GJ26" s="39"/>
      <c r="GK26" s="39"/>
      <c r="GL26" s="548">
        <v>7150691</v>
      </c>
      <c r="GM26" s="979">
        <f t="shared" si="33"/>
        <v>7319203</v>
      </c>
      <c r="GN26" s="772">
        <f t="shared" si="34"/>
        <v>7319203</v>
      </c>
      <c r="GO26" s="683">
        <f t="shared" si="35"/>
        <v>7319203</v>
      </c>
      <c r="GP26" s="909">
        <f t="shared" si="36"/>
        <v>15486</v>
      </c>
      <c r="GQ26" s="35">
        <f t="shared" si="37"/>
        <v>2011.7317069148444</v>
      </c>
      <c r="GR26" s="35">
        <f t="shared" si="38"/>
        <v>166345.52272727274</v>
      </c>
      <c r="GS26" s="11">
        <v>2438948</v>
      </c>
      <c r="GT26" s="577"/>
      <c r="GU26" s="19">
        <f t="shared" si="39"/>
        <v>55430.63636363636</v>
      </c>
      <c r="GV26" s="11">
        <f t="shared" si="40"/>
        <v>4693223</v>
      </c>
      <c r="GW26" s="12">
        <v>982573</v>
      </c>
      <c r="GX26" s="12">
        <v>3710650</v>
      </c>
      <c r="GY26" s="567">
        <f t="shared" si="41"/>
        <v>106664.15909090909</v>
      </c>
      <c r="GZ26" s="11">
        <v>171546</v>
      </c>
      <c r="HA26" s="11">
        <v>1</v>
      </c>
      <c r="HB26" s="53"/>
      <c r="HC26" s="28">
        <f t="shared" si="42"/>
        <v>1.3662689776468832E-7</v>
      </c>
      <c r="HD26" s="862"/>
      <c r="HE26" s="862"/>
      <c r="HF26" s="11">
        <v>15485</v>
      </c>
      <c r="HG26" s="35">
        <f t="shared" si="43"/>
        <v>2.2727272727272728E-2</v>
      </c>
      <c r="HH26" s="35">
        <f t="shared" si="44"/>
        <v>55430.659090909088</v>
      </c>
      <c r="HI26" s="27"/>
      <c r="HJ26" s="27"/>
      <c r="HK26" s="19" t="e">
        <f>(#REF!+#REF!+HJ26)/AE26</f>
        <v>#REF!</v>
      </c>
      <c r="HL26" s="27"/>
      <c r="HM26" s="19">
        <f t="shared" si="45"/>
        <v>55430.659090909088</v>
      </c>
      <c r="HN26" s="36">
        <f t="shared" si="46"/>
        <v>0.33322603567628878</v>
      </c>
      <c r="HO26" s="27"/>
      <c r="HP26" s="27"/>
      <c r="HQ26" s="11">
        <v>0</v>
      </c>
      <c r="HR26" s="898"/>
      <c r="HS26" s="907">
        <f t="shared" si="47"/>
        <v>0</v>
      </c>
      <c r="HT26" s="915">
        <f t="shared" si="48"/>
        <v>7319203</v>
      </c>
      <c r="HU26" s="898">
        <f t="shared" ca="1" si="49"/>
        <v>7319203</v>
      </c>
      <c r="HV26" s="898"/>
      <c r="HW26" s="898"/>
      <c r="HX26" s="898">
        <f t="shared" si="50"/>
        <v>15486</v>
      </c>
      <c r="HY26" s="908">
        <f t="shared" si="51"/>
        <v>0</v>
      </c>
      <c r="HZ26" s="908"/>
      <c r="IA26" s="29" t="e">
        <f>#REF!+HI26</f>
        <v>#REF!</v>
      </c>
      <c r="IB26" s="752"/>
      <c r="IC26" s="73"/>
      <c r="ID26" s="73"/>
      <c r="IE26" s="73"/>
      <c r="IF26" s="73"/>
    </row>
    <row r="27" spans="1:240" s="48" customFormat="1" ht="20.100000000000001" customHeight="1">
      <c r="A27" s="20" t="s">
        <v>263</v>
      </c>
      <c r="B27" s="297"/>
      <c r="C27" s="8" t="s">
        <v>20</v>
      </c>
      <c r="D27" s="8" t="s">
        <v>93</v>
      </c>
      <c r="E27" s="8">
        <v>2013</v>
      </c>
      <c r="F27" s="8" t="s">
        <v>35</v>
      </c>
      <c r="G27" s="8" t="s">
        <v>854</v>
      </c>
      <c r="H27" s="671" t="s">
        <v>371</v>
      </c>
      <c r="I27" s="8" t="s">
        <v>193</v>
      </c>
      <c r="J27" s="39"/>
      <c r="K27" s="39" t="s">
        <v>293</v>
      </c>
      <c r="L27" s="374" t="s">
        <v>524</v>
      </c>
      <c r="M27" s="126" t="s">
        <v>45</v>
      </c>
      <c r="N27" s="80" t="s">
        <v>53</v>
      </c>
      <c r="O27" s="81"/>
      <c r="P27" s="161">
        <v>18523</v>
      </c>
      <c r="Q27" s="161">
        <v>492000</v>
      </c>
      <c r="R27" s="161">
        <v>699015</v>
      </c>
      <c r="S27" s="161">
        <f t="shared" si="65"/>
        <v>13297.297297297297</v>
      </c>
      <c r="T27" s="161">
        <f t="shared" si="66"/>
        <v>26.56157209955191</v>
      </c>
      <c r="U27" s="161">
        <f t="shared" si="67"/>
        <v>37.737677482049342</v>
      </c>
      <c r="V27" s="161">
        <f>R27/(AL27+AL67)</f>
        <v>194.78766092626654</v>
      </c>
      <c r="W27" s="161">
        <f>R27/(AE27+AE67)</f>
        <v>10433.059701492537</v>
      </c>
      <c r="X27" s="161">
        <f>P27/(AE27+AE67)</f>
        <v>276.46268656716416</v>
      </c>
      <c r="Y27" s="162"/>
      <c r="Z27" s="733">
        <f t="shared" si="0"/>
        <v>19.975166009825621</v>
      </c>
      <c r="AA27" s="162" t="s">
        <v>162</v>
      </c>
      <c r="AB27" s="164"/>
      <c r="AC27" s="165"/>
      <c r="AD27" s="8" t="s">
        <v>9</v>
      </c>
      <c r="AE27" s="674">
        <f t="shared" si="1"/>
        <v>37</v>
      </c>
      <c r="AF27" s="674">
        <f t="shared" si="2"/>
        <v>37</v>
      </c>
      <c r="AG27" s="8">
        <v>37</v>
      </c>
      <c r="AH27" s="9"/>
      <c r="AI27" s="50"/>
      <c r="AJ27" s="50"/>
      <c r="AK27" s="209">
        <v>3242.2099999999996</v>
      </c>
      <c r="AL27" s="426">
        <v>3588.5999999999995</v>
      </c>
      <c r="AM27" s="875">
        <f t="shared" si="3"/>
        <v>87.627297297297289</v>
      </c>
      <c r="AN27" s="10">
        <f t="shared" si="4"/>
        <v>96.989189189189176</v>
      </c>
      <c r="AO27" s="43">
        <v>6.79</v>
      </c>
      <c r="AP27" s="43">
        <v>6.1377656857827567</v>
      </c>
      <c r="AQ27" s="43">
        <v>595.29691729729723</v>
      </c>
      <c r="AR27" s="45"/>
      <c r="AS27" s="45"/>
      <c r="AT27" s="45"/>
      <c r="AU27" s="45"/>
      <c r="AV27" s="45"/>
      <c r="AW27" s="10">
        <v>3236</v>
      </c>
      <c r="AX27" s="59"/>
      <c r="AY27" s="61">
        <f t="shared" si="71"/>
        <v>0</v>
      </c>
      <c r="AZ27" s="43">
        <v>3.5</v>
      </c>
      <c r="BA27" s="42" t="s">
        <v>439</v>
      </c>
      <c r="BB27" s="18" t="s">
        <v>100</v>
      </c>
      <c r="BC27" s="40"/>
      <c r="BD27" s="40"/>
      <c r="BE27" s="40"/>
      <c r="BF27" s="40"/>
      <c r="BG27" s="87">
        <v>41170</v>
      </c>
      <c r="BH27" s="87">
        <v>40963</v>
      </c>
      <c r="BI27" s="159">
        <v>41493</v>
      </c>
      <c r="BJ27" s="75"/>
      <c r="BK27" s="867"/>
      <c r="BL27" s="124">
        <v>41549</v>
      </c>
      <c r="BM27" s="157">
        <v>41576</v>
      </c>
      <c r="BN27" s="1007">
        <f t="shared" si="73"/>
        <v>0.9</v>
      </c>
      <c r="BO27" s="158"/>
      <c r="BP27" s="125">
        <f t="shared" si="63"/>
        <v>41668</v>
      </c>
      <c r="BQ27" s="125"/>
      <c r="BR27" s="225">
        <v>41671</v>
      </c>
      <c r="BS27" s="224">
        <f t="shared" si="5"/>
        <v>42401</v>
      </c>
      <c r="BT27" s="605"/>
      <c r="BU27" s="224" t="str">
        <f t="shared" si="61"/>
        <v>oui</v>
      </c>
      <c r="BV27" s="784">
        <f t="shared" si="59"/>
        <v>-10.1</v>
      </c>
      <c r="BW27" s="605" t="str">
        <f t="shared" si="60"/>
        <v>0</v>
      </c>
      <c r="BX27" s="605">
        <f t="shared" si="8"/>
        <v>0</v>
      </c>
      <c r="BY27" s="702"/>
      <c r="BZ27" s="705">
        <v>41652</v>
      </c>
      <c r="CA27" s="703"/>
      <c r="CB27" s="703"/>
      <c r="CC27" s="703"/>
      <c r="CD27" s="699"/>
      <c r="CE27" s="699"/>
      <c r="CF27" s="699"/>
      <c r="CG27" s="699"/>
      <c r="CH27" s="699"/>
      <c r="CI27" s="699"/>
      <c r="CJ27" s="699"/>
      <c r="CK27" s="699"/>
      <c r="CL27" s="704"/>
      <c r="CM27" s="704"/>
      <c r="CN27" s="704"/>
      <c r="CO27" s="704"/>
      <c r="CP27" s="704"/>
      <c r="CQ27" s="95"/>
      <c r="CR27" s="95"/>
      <c r="CS27" s="95"/>
      <c r="CT27" s="475" t="str">
        <f t="shared" si="9"/>
        <v>0</v>
      </c>
      <c r="CU27" s="95"/>
      <c r="CV27" s="95"/>
      <c r="CW27" s="475" t="str">
        <f t="shared" si="10"/>
        <v>0</v>
      </c>
      <c r="CX27" s="95"/>
      <c r="CY27" s="95"/>
      <c r="CZ27" s="475" t="str">
        <f t="shared" si="11"/>
        <v>0</v>
      </c>
      <c r="DA27" s="95"/>
      <c r="DB27" s="95"/>
      <c r="DC27" s="475" t="str">
        <f t="shared" si="12"/>
        <v>0</v>
      </c>
      <c r="DD27" s="97"/>
      <c r="DE27" s="514"/>
      <c r="DF27" s="475" t="str">
        <f t="shared" si="13"/>
        <v>0</v>
      </c>
      <c r="DG27" s="440"/>
      <c r="DH27" s="178"/>
      <c r="DI27" s="95"/>
      <c r="DJ27" s="178"/>
      <c r="DK27" s="475" t="str">
        <f t="shared" si="14"/>
        <v>0</v>
      </c>
      <c r="DL27" s="95"/>
      <c r="DM27" s="329">
        <v>41801</v>
      </c>
      <c r="DN27" s="323">
        <v>2014</v>
      </c>
      <c r="DO27" s="433">
        <f t="shared" si="15"/>
        <v>10.266666666666667</v>
      </c>
      <c r="DP27" s="475" t="str">
        <f t="shared" si="16"/>
        <v>0</v>
      </c>
      <c r="DQ27" s="187">
        <v>24</v>
      </c>
      <c r="DR27" s="90">
        <f t="shared" si="17"/>
        <v>28</v>
      </c>
      <c r="DS27" s="95"/>
      <c r="DT27" s="178"/>
      <c r="DU27" s="475" t="str">
        <f t="shared" si="18"/>
        <v>0</v>
      </c>
      <c r="DV27" s="515"/>
      <c r="DW27" s="512"/>
      <c r="DX27" s="478" t="str">
        <f t="shared" si="19"/>
        <v>0</v>
      </c>
      <c r="DY27" s="97"/>
      <c r="DZ27" s="237"/>
      <c r="EA27" s="475" t="str">
        <f t="shared" si="20"/>
        <v>0</v>
      </c>
      <c r="EB27" s="95"/>
      <c r="EC27" s="95"/>
      <c r="ED27" s="475" t="str">
        <f t="shared" si="21"/>
        <v>0</v>
      </c>
      <c r="EE27" s="95"/>
      <c r="EF27" s="95"/>
      <c r="EG27" s="475" t="str">
        <f t="shared" si="22"/>
        <v>0</v>
      </c>
      <c r="EH27" s="95"/>
      <c r="EI27" s="95"/>
      <c r="EJ27" s="475" t="str">
        <f t="shared" si="23"/>
        <v>0</v>
      </c>
      <c r="EK27" s="95"/>
      <c r="EL27" s="95"/>
      <c r="EM27" s="475" t="str">
        <f t="shared" si="24"/>
        <v>0</v>
      </c>
      <c r="EN27" s="95"/>
      <c r="EO27" s="95"/>
      <c r="EP27" s="95"/>
      <c r="EQ27" s="517">
        <f t="shared" si="25"/>
        <v>42532</v>
      </c>
      <c r="ER27" s="329">
        <v>42682</v>
      </c>
      <c r="ES27" s="642">
        <f t="shared" si="26"/>
        <v>5</v>
      </c>
      <c r="ET27" s="929"/>
      <c r="EU27" s="564"/>
      <c r="EV27" s="89">
        <v>42726</v>
      </c>
      <c r="EW27" s="89">
        <v>42538</v>
      </c>
      <c r="EX27" s="89">
        <v>42692</v>
      </c>
      <c r="EY27" s="441"/>
      <c r="EZ27" s="746">
        <f t="shared" si="27"/>
        <v>42562</v>
      </c>
      <c r="FA27" s="331">
        <v>42704</v>
      </c>
      <c r="FB27" s="325">
        <v>2016</v>
      </c>
      <c r="FC27" s="639">
        <f t="shared" si="28"/>
        <v>4.7333333333333334</v>
      </c>
      <c r="FD27" s="629">
        <f>277640.753085829/12</f>
        <v>23136.729423819084</v>
      </c>
      <c r="FE27" s="236">
        <f t="shared" si="29"/>
        <v>109513.85260607699</v>
      </c>
      <c r="FF27" s="89">
        <v>42670</v>
      </c>
      <c r="FG27" s="498"/>
      <c r="FH27" s="624">
        <f t="shared" si="74"/>
        <v>0</v>
      </c>
      <c r="FI27" s="502"/>
      <c r="FJ27" s="502"/>
      <c r="FK27" s="502">
        <f>128413*1.021</f>
        <v>131109.67299999998</v>
      </c>
      <c r="FL27" s="664">
        <f>FK27/(GN27+GN28)</f>
        <v>9.6389719953015856E-3</v>
      </c>
      <c r="FM27" s="499"/>
      <c r="FN27" s="511"/>
      <c r="FO27" s="499"/>
      <c r="FP27" s="499"/>
      <c r="FQ27" s="295" t="s">
        <v>107</v>
      </c>
      <c r="FR27" s="295" t="s">
        <v>107</v>
      </c>
      <c r="FS27" s="295" t="s">
        <v>107</v>
      </c>
      <c r="FT27" s="295" t="s">
        <v>107</v>
      </c>
      <c r="FU27" s="95">
        <v>43224</v>
      </c>
      <c r="FV27" s="561" t="s">
        <v>107</v>
      </c>
      <c r="FW27" s="95">
        <f t="shared" si="72"/>
        <v>43047</v>
      </c>
      <c r="FX27" s="609">
        <v>91095</v>
      </c>
      <c r="FY27" s="238">
        <v>42795</v>
      </c>
      <c r="FZ27" s="298"/>
      <c r="GA27" s="298"/>
      <c r="GB27" s="298"/>
      <c r="GC27" s="298"/>
      <c r="GD27" s="210"/>
      <c r="GE27" s="39"/>
      <c r="GF27" s="421" t="s">
        <v>497</v>
      </c>
      <c r="GG27" s="39" t="s">
        <v>327</v>
      </c>
      <c r="GH27" s="180" t="s">
        <v>107</v>
      </c>
      <c r="GI27" s="142"/>
      <c r="GJ27" s="88" t="s">
        <v>107</v>
      </c>
      <c r="GK27" s="39"/>
      <c r="GL27" s="554">
        <v>6447379</v>
      </c>
      <c r="GM27" s="979">
        <f t="shared" si="33"/>
        <v>7137960</v>
      </c>
      <c r="GN27" s="772">
        <f t="shared" si="34"/>
        <v>7137960</v>
      </c>
      <c r="GO27" s="683">
        <f t="shared" si="35"/>
        <v>7137960</v>
      </c>
      <c r="GP27" s="909">
        <f t="shared" si="36"/>
        <v>1</v>
      </c>
      <c r="GQ27" s="35">
        <f t="shared" si="37"/>
        <v>1989.0653736833308</v>
      </c>
      <c r="GR27" s="35">
        <f t="shared" si="38"/>
        <v>192917.83783783784</v>
      </c>
      <c r="GS27" s="11">
        <v>2453735</v>
      </c>
      <c r="GT27" s="577"/>
      <c r="GU27" s="19">
        <f t="shared" si="39"/>
        <v>66317.16216216216</v>
      </c>
      <c r="GV27" s="11">
        <f t="shared" si="40"/>
        <v>4684224</v>
      </c>
      <c r="GW27" s="12">
        <v>641413</v>
      </c>
      <c r="GX27" s="12">
        <v>4042811</v>
      </c>
      <c r="GY27" s="567">
        <f t="shared" si="41"/>
        <v>126600.64864864865</v>
      </c>
      <c r="GZ27" s="11"/>
      <c r="HA27" s="11">
        <v>1</v>
      </c>
      <c r="HB27" s="53"/>
      <c r="HC27" s="28">
        <f t="shared" si="42"/>
        <v>1.4009604985177837E-7</v>
      </c>
      <c r="HD27" s="53"/>
      <c r="HE27" s="53"/>
      <c r="HF27" s="11">
        <v>0</v>
      </c>
      <c r="HG27" s="35">
        <f t="shared" si="43"/>
        <v>2.7027027027027029E-2</v>
      </c>
      <c r="HH27" s="35">
        <f t="shared" si="44"/>
        <v>66317.189189189186</v>
      </c>
      <c r="HI27" s="27">
        <v>2196102.662575</v>
      </c>
      <c r="HJ27" s="27">
        <v>1303101.6922500001</v>
      </c>
      <c r="HK27" s="19" t="e">
        <f>(#REF!+#REF!+HJ27)/AE27</f>
        <v>#REF!</v>
      </c>
      <c r="HL27" s="27">
        <v>0</v>
      </c>
      <c r="HM27" s="19">
        <f t="shared" si="45"/>
        <v>101536.15384459461</v>
      </c>
      <c r="HN27" s="36">
        <f t="shared" si="46"/>
        <v>0.41994795777936861</v>
      </c>
      <c r="HO27" s="27">
        <v>388102.52</v>
      </c>
      <c r="HP27" s="27"/>
      <c r="HQ27" s="11">
        <v>0</v>
      </c>
      <c r="HR27" s="898"/>
      <c r="HS27" s="907">
        <f t="shared" si="47"/>
        <v>0</v>
      </c>
      <c r="HT27" s="915">
        <f t="shared" si="48"/>
        <v>7137960</v>
      </c>
      <c r="HU27" s="898">
        <f t="shared" ca="1" si="49"/>
        <v>7137960</v>
      </c>
      <c r="HV27" s="898"/>
      <c r="HW27" s="898"/>
      <c r="HX27" s="898">
        <f t="shared" si="50"/>
        <v>1</v>
      </c>
      <c r="HY27" s="908">
        <f t="shared" si="51"/>
        <v>0</v>
      </c>
      <c r="HZ27" s="908"/>
      <c r="IA27" s="29" t="e">
        <f>#REF!+HI27</f>
        <v>#REF!</v>
      </c>
      <c r="IB27" s="752"/>
      <c r="IC27" s="73"/>
      <c r="ID27" s="73"/>
      <c r="IE27" s="73"/>
      <c r="IF27" s="73"/>
    </row>
    <row r="28" spans="1:240" ht="20.100000000000001" customHeight="1">
      <c r="A28" s="20" t="s">
        <v>264</v>
      </c>
      <c r="B28" s="297"/>
      <c r="C28" s="8" t="s">
        <v>20</v>
      </c>
      <c r="D28" s="8" t="s">
        <v>93</v>
      </c>
      <c r="E28" s="8">
        <v>2013</v>
      </c>
      <c r="F28" s="8" t="s">
        <v>35</v>
      </c>
      <c r="G28" s="8" t="s">
        <v>854</v>
      </c>
      <c r="H28" s="811"/>
      <c r="I28" s="8" t="s">
        <v>193</v>
      </c>
      <c r="J28" s="39"/>
      <c r="K28" s="39" t="s">
        <v>293</v>
      </c>
      <c r="L28" s="199"/>
      <c r="M28" s="126" t="s">
        <v>45</v>
      </c>
      <c r="N28" s="80" t="s">
        <v>53</v>
      </c>
      <c r="O28" s="81"/>
      <c r="P28" s="51"/>
      <c r="Q28" s="51"/>
      <c r="R28" s="51"/>
      <c r="S28" s="51"/>
      <c r="T28" s="51"/>
      <c r="U28" s="51"/>
      <c r="V28" s="51"/>
      <c r="W28" s="51"/>
      <c r="X28" s="51"/>
      <c r="Y28" s="50"/>
      <c r="Z28" s="50" t="e">
        <f t="shared" si="0"/>
        <v>#DIV/0!</v>
      </c>
      <c r="AA28" s="50"/>
      <c r="AB28" s="164"/>
      <c r="AC28" s="835"/>
      <c r="AD28" s="8" t="s">
        <v>10</v>
      </c>
      <c r="AE28" s="674">
        <f t="shared" si="1"/>
        <v>44</v>
      </c>
      <c r="AF28" s="674">
        <f t="shared" si="2"/>
        <v>44</v>
      </c>
      <c r="AG28" s="9"/>
      <c r="AH28" s="8">
        <v>44</v>
      </c>
      <c r="AI28" s="50"/>
      <c r="AJ28" s="50"/>
      <c r="AK28" s="692">
        <v>3100.0900000000011</v>
      </c>
      <c r="AL28" s="426">
        <v>3544.2900000000009</v>
      </c>
      <c r="AM28" s="875">
        <f t="shared" si="3"/>
        <v>70.456590909090934</v>
      </c>
      <c r="AN28" s="10">
        <f t="shared" si="4"/>
        <v>80.552045454545478</v>
      </c>
      <c r="AO28" s="43">
        <v>5.8912336179917348</v>
      </c>
      <c r="AP28" s="43">
        <v>5.15</v>
      </c>
      <c r="AQ28" s="43">
        <v>415.07623697272737</v>
      </c>
      <c r="AR28" s="45"/>
      <c r="AS28" s="45"/>
      <c r="AT28" s="45"/>
      <c r="AU28" s="45"/>
      <c r="AV28" s="45"/>
      <c r="AW28" s="10"/>
      <c r="AX28" s="59"/>
      <c r="AY28" s="61" t="e">
        <f t="shared" si="71"/>
        <v>#DIV/0!</v>
      </c>
      <c r="AZ28" s="43">
        <v>3.5</v>
      </c>
      <c r="BA28" s="42" t="s">
        <v>439</v>
      </c>
      <c r="BB28" s="18" t="s">
        <v>100</v>
      </c>
      <c r="BC28" s="40"/>
      <c r="BD28" s="40"/>
      <c r="BE28" s="40"/>
      <c r="BF28" s="40"/>
      <c r="BG28" s="87">
        <v>41170</v>
      </c>
      <c r="BH28" s="87">
        <v>40963</v>
      </c>
      <c r="BI28" s="159">
        <v>41465</v>
      </c>
      <c r="BJ28" s="75"/>
      <c r="BK28" s="867"/>
      <c r="BL28" s="124">
        <v>41549</v>
      </c>
      <c r="BM28" s="157">
        <v>41583</v>
      </c>
      <c r="BN28" s="1007">
        <f t="shared" si="73"/>
        <v>1.1333333333333333</v>
      </c>
      <c r="BO28" s="158"/>
      <c r="BP28" s="125">
        <f t="shared" si="63"/>
        <v>41675</v>
      </c>
      <c r="BQ28" s="125"/>
      <c r="BR28" s="225">
        <v>41699</v>
      </c>
      <c r="BS28" s="224">
        <f t="shared" si="5"/>
        <v>42430</v>
      </c>
      <c r="BT28" s="605">
        <f>100032+11205</f>
        <v>111237</v>
      </c>
      <c r="BU28" s="224" t="str">
        <f t="shared" si="61"/>
        <v>oui</v>
      </c>
      <c r="BV28" s="784">
        <f t="shared" si="59"/>
        <v>-9.1333333333333329</v>
      </c>
      <c r="BW28" s="605" t="str">
        <f t="shared" si="60"/>
        <v>0</v>
      </c>
      <c r="BX28" s="605">
        <f t="shared" si="8"/>
        <v>111237</v>
      </c>
      <c r="BY28" s="702"/>
      <c r="BZ28" s="705">
        <v>41659</v>
      </c>
      <c r="CA28" s="703"/>
      <c r="CB28" s="703"/>
      <c r="CC28" s="703"/>
      <c r="CD28" s="699"/>
      <c r="CE28" s="699"/>
      <c r="CF28" s="699"/>
      <c r="CG28" s="699"/>
      <c r="CH28" s="699"/>
      <c r="CI28" s="699"/>
      <c r="CJ28" s="699"/>
      <c r="CK28" s="704"/>
      <c r="CL28" s="704"/>
      <c r="CM28" s="704"/>
      <c r="CN28" s="704"/>
      <c r="CO28" s="704"/>
      <c r="CP28" s="704"/>
      <c r="CQ28" s="95"/>
      <c r="CR28" s="95"/>
      <c r="CS28" s="95"/>
      <c r="CT28" s="475" t="str">
        <f t="shared" si="9"/>
        <v>0</v>
      </c>
      <c r="CU28" s="95"/>
      <c r="CV28" s="95"/>
      <c r="CW28" s="475" t="str">
        <f t="shared" si="10"/>
        <v>0</v>
      </c>
      <c r="CX28" s="95"/>
      <c r="CY28" s="95"/>
      <c r="CZ28" s="475" t="str">
        <f t="shared" si="11"/>
        <v>0</v>
      </c>
      <c r="DA28" s="95"/>
      <c r="DB28" s="95"/>
      <c r="DC28" s="475" t="str">
        <f t="shared" si="12"/>
        <v>0</v>
      </c>
      <c r="DD28" s="97"/>
      <c r="DE28" s="514"/>
      <c r="DF28" s="475" t="str">
        <f t="shared" si="13"/>
        <v>0</v>
      </c>
      <c r="DG28" s="440"/>
      <c r="DH28" s="178"/>
      <c r="DI28" s="95"/>
      <c r="DJ28" s="178"/>
      <c r="DK28" s="475" t="str">
        <f t="shared" si="14"/>
        <v>0</v>
      </c>
      <c r="DL28" s="95"/>
      <c r="DM28" s="329">
        <v>41801</v>
      </c>
      <c r="DN28" s="323">
        <v>2014</v>
      </c>
      <c r="DO28" s="433">
        <f t="shared" si="15"/>
        <v>11.2</v>
      </c>
      <c r="DP28" s="475" t="str">
        <f t="shared" si="16"/>
        <v>0</v>
      </c>
      <c r="DQ28" s="187">
        <v>24</v>
      </c>
      <c r="DR28" s="90">
        <f t="shared" si="17"/>
        <v>28</v>
      </c>
      <c r="DS28" s="95"/>
      <c r="DT28" s="178"/>
      <c r="DU28" s="475" t="str">
        <f t="shared" si="18"/>
        <v>0</v>
      </c>
      <c r="DV28" s="515"/>
      <c r="DW28" s="512"/>
      <c r="DX28" s="478" t="str">
        <f t="shared" si="19"/>
        <v>0</v>
      </c>
      <c r="DY28" s="97"/>
      <c r="DZ28" s="237"/>
      <c r="EA28" s="475" t="str">
        <f t="shared" si="20"/>
        <v>0</v>
      </c>
      <c r="EB28" s="95"/>
      <c r="EC28" s="95"/>
      <c r="ED28" s="475" t="str">
        <f t="shared" si="21"/>
        <v>0</v>
      </c>
      <c r="EE28" s="95"/>
      <c r="EF28" s="95"/>
      <c r="EG28" s="475" t="str">
        <f t="shared" si="22"/>
        <v>0</v>
      </c>
      <c r="EH28" s="95"/>
      <c r="EI28" s="95"/>
      <c r="EJ28" s="475" t="str">
        <f t="shared" si="23"/>
        <v>0</v>
      </c>
      <c r="EK28" s="95"/>
      <c r="EL28" s="95"/>
      <c r="EM28" s="475" t="str">
        <f t="shared" si="24"/>
        <v>0</v>
      </c>
      <c r="EN28" s="95"/>
      <c r="EO28" s="95"/>
      <c r="EP28" s="95"/>
      <c r="EQ28" s="517">
        <f t="shared" si="25"/>
        <v>42532</v>
      </c>
      <c r="ER28" s="329">
        <v>42682</v>
      </c>
      <c r="ES28" s="642">
        <f t="shared" si="26"/>
        <v>5</v>
      </c>
      <c r="ET28" s="929"/>
      <c r="EU28" s="564"/>
      <c r="EV28" s="89">
        <v>42726</v>
      </c>
      <c r="EW28" s="89">
        <v>42538</v>
      </c>
      <c r="EX28" s="89">
        <v>42692</v>
      </c>
      <c r="EY28" s="441"/>
      <c r="EZ28" s="746">
        <f t="shared" si="27"/>
        <v>42562</v>
      </c>
      <c r="FA28" s="331">
        <v>42704</v>
      </c>
      <c r="FB28" s="325">
        <v>2016</v>
      </c>
      <c r="FC28" s="639">
        <f t="shared" si="28"/>
        <v>4.7333333333333334</v>
      </c>
      <c r="FD28" s="629">
        <f>215379.952064433/12</f>
        <v>17948.329338702748</v>
      </c>
      <c r="FE28" s="236">
        <f t="shared" si="29"/>
        <v>84955.425536526338</v>
      </c>
      <c r="FF28" s="89">
        <v>42670</v>
      </c>
      <c r="FG28" s="88"/>
      <c r="FH28" s="609">
        <f t="shared" si="74"/>
        <v>0</v>
      </c>
      <c r="FI28" s="178"/>
      <c r="FJ28" s="178"/>
      <c r="FK28" s="178"/>
      <c r="FL28" s="665"/>
      <c r="FM28" s="499"/>
      <c r="FN28" s="511" t="s">
        <v>612</v>
      </c>
      <c r="FO28" s="499"/>
      <c r="FP28" s="499"/>
      <c r="FQ28" s="295" t="s">
        <v>107</v>
      </c>
      <c r="FR28" s="295" t="s">
        <v>107</v>
      </c>
      <c r="FS28" s="295" t="s">
        <v>107</v>
      </c>
      <c r="FT28" s="295" t="s">
        <v>107</v>
      </c>
      <c r="FU28" s="95">
        <v>43224</v>
      </c>
      <c r="FV28" s="561" t="s">
        <v>107</v>
      </c>
      <c r="FW28" s="95">
        <f t="shared" si="72"/>
        <v>43047</v>
      </c>
      <c r="FX28" s="609">
        <v>82104</v>
      </c>
      <c r="FY28" s="238">
        <v>42795</v>
      </c>
      <c r="FZ28" s="298"/>
      <c r="GA28" s="298"/>
      <c r="GB28" s="298"/>
      <c r="GC28" s="298"/>
      <c r="GD28" s="210"/>
      <c r="GE28" s="39"/>
      <c r="GF28" s="421" t="s">
        <v>497</v>
      </c>
      <c r="GG28" s="39" t="s">
        <v>327</v>
      </c>
      <c r="GH28" s="180" t="s">
        <v>107</v>
      </c>
      <c r="GI28" s="142"/>
      <c r="GJ28" s="39"/>
      <c r="GK28" s="39"/>
      <c r="GL28" s="554">
        <v>6402537</v>
      </c>
      <c r="GM28" s="979">
        <f t="shared" si="33"/>
        <v>6464079</v>
      </c>
      <c r="GN28" s="772">
        <f t="shared" si="34"/>
        <v>6464079</v>
      </c>
      <c r="GO28" s="683">
        <f t="shared" si="35"/>
        <v>6464079</v>
      </c>
      <c r="GP28" s="909">
        <f t="shared" si="36"/>
        <v>880000</v>
      </c>
      <c r="GQ28" s="35">
        <f t="shared" si="37"/>
        <v>1823.8008176531825</v>
      </c>
      <c r="GR28" s="35">
        <f t="shared" si="38"/>
        <v>146910.88636363635</v>
      </c>
      <c r="GS28" s="11">
        <v>1905132</v>
      </c>
      <c r="GT28" s="577"/>
      <c r="GU28" s="19">
        <f t="shared" si="39"/>
        <v>43298.454545454544</v>
      </c>
      <c r="GV28" s="11">
        <f t="shared" si="40"/>
        <v>3678947</v>
      </c>
      <c r="GW28" s="12">
        <v>473086</v>
      </c>
      <c r="GX28" s="12">
        <v>3205861</v>
      </c>
      <c r="GY28" s="567">
        <f t="shared" si="41"/>
        <v>83612.431818181823</v>
      </c>
      <c r="GZ28" s="11"/>
      <c r="HA28" s="11">
        <v>880000</v>
      </c>
      <c r="HB28" s="53"/>
      <c r="HC28" s="28">
        <f t="shared" si="42"/>
        <v>0.13613695005893336</v>
      </c>
      <c r="HD28" s="53"/>
      <c r="HE28" s="53"/>
      <c r="HF28" s="11">
        <v>0</v>
      </c>
      <c r="HG28" s="35">
        <f t="shared" si="43"/>
        <v>20000</v>
      </c>
      <c r="HH28" s="35">
        <f t="shared" si="44"/>
        <v>63298.454545454544</v>
      </c>
      <c r="HI28" s="27">
        <v>0</v>
      </c>
      <c r="HJ28" s="27">
        <v>0</v>
      </c>
      <c r="HK28" s="19" t="e">
        <f>(#REF!+#REF!+HJ28)/AE28</f>
        <v>#REF!</v>
      </c>
      <c r="HL28" s="27">
        <v>0</v>
      </c>
      <c r="HM28" s="19">
        <f t="shared" si="45"/>
        <v>63298.454545454544</v>
      </c>
      <c r="HN28" s="36">
        <f t="shared" si="46"/>
        <v>0.45371634850544579</v>
      </c>
      <c r="HO28" s="27">
        <v>325591.79499999998</v>
      </c>
      <c r="HP28" s="27"/>
      <c r="HQ28" s="11">
        <v>0</v>
      </c>
      <c r="HR28" s="898"/>
      <c r="HS28" s="907">
        <f t="shared" si="47"/>
        <v>0</v>
      </c>
      <c r="HT28" s="915">
        <f t="shared" si="48"/>
        <v>6464079</v>
      </c>
      <c r="HU28" s="898">
        <f t="shared" ca="1" si="49"/>
        <v>6464079</v>
      </c>
      <c r="HV28" s="898"/>
      <c r="HW28" s="898"/>
      <c r="HX28" s="898">
        <f t="shared" si="50"/>
        <v>880000</v>
      </c>
      <c r="HY28" s="908">
        <f t="shared" si="51"/>
        <v>0</v>
      </c>
      <c r="HZ28" s="908"/>
      <c r="IA28" s="29" t="e">
        <f>#REF!+HI28</f>
        <v>#REF!</v>
      </c>
      <c r="IB28" s="752"/>
      <c r="IC28" s="73"/>
      <c r="ID28" s="73"/>
      <c r="IE28" s="73"/>
      <c r="IF28" s="73"/>
    </row>
    <row r="29" spans="1:240" ht="20.100000000000001" customHeight="1">
      <c r="A29" s="20" t="s">
        <v>19</v>
      </c>
      <c r="B29" s="297"/>
      <c r="C29" s="8" t="s">
        <v>17</v>
      </c>
      <c r="D29" s="8" t="s">
        <v>92</v>
      </c>
      <c r="E29" s="8">
        <v>2013</v>
      </c>
      <c r="F29" s="8" t="s">
        <v>18</v>
      </c>
      <c r="G29" s="8" t="s">
        <v>16</v>
      </c>
      <c r="H29" s="671" t="s">
        <v>371</v>
      </c>
      <c r="I29" s="8" t="s">
        <v>193</v>
      </c>
      <c r="J29" s="39"/>
      <c r="K29" s="39"/>
      <c r="L29" s="199" t="s">
        <v>399</v>
      </c>
      <c r="M29" s="425" t="s">
        <v>46</v>
      </c>
      <c r="N29" s="425" t="s">
        <v>106</v>
      </c>
      <c r="O29" s="425" t="s">
        <v>107</v>
      </c>
      <c r="P29" s="161">
        <v>4625</v>
      </c>
      <c r="Q29" s="161">
        <v>215000</v>
      </c>
      <c r="R29" s="161">
        <v>104244</v>
      </c>
      <c r="S29" s="161">
        <f>Q29/AE29</f>
        <v>15357.142857142857</v>
      </c>
      <c r="T29" s="161">
        <f>Q29/P29</f>
        <v>46.486486486486484</v>
      </c>
      <c r="U29" s="161">
        <f>R29/P29</f>
        <v>22.539243243243245</v>
      </c>
      <c r="V29" s="161">
        <f>R29/AL29</f>
        <v>89.684215959977479</v>
      </c>
      <c r="W29" s="161">
        <f>R29/AE29</f>
        <v>7446</v>
      </c>
      <c r="X29" s="161">
        <f>P29/AE29</f>
        <v>330.35714285714283</v>
      </c>
      <c r="Y29" s="162">
        <v>1148.97</v>
      </c>
      <c r="Z29" s="733">
        <f t="shared" si="0"/>
        <v>30.27027027027027</v>
      </c>
      <c r="AA29" s="162" t="s">
        <v>172</v>
      </c>
      <c r="AB29" s="164">
        <v>20</v>
      </c>
      <c r="AC29" s="165"/>
      <c r="AD29" s="8" t="s">
        <v>10</v>
      </c>
      <c r="AE29" s="674">
        <f t="shared" si="1"/>
        <v>14</v>
      </c>
      <c r="AF29" s="674">
        <f t="shared" si="2"/>
        <v>14</v>
      </c>
      <c r="AG29" s="9"/>
      <c r="AH29" s="8">
        <v>14</v>
      </c>
      <c r="AI29" s="50"/>
      <c r="AJ29" s="50"/>
      <c r="AK29" s="209">
        <v>1141.9099999999999</v>
      </c>
      <c r="AL29" s="426">
        <v>1162.3449999999998</v>
      </c>
      <c r="AM29" s="875">
        <f t="shared" si="3"/>
        <v>81.564999999999984</v>
      </c>
      <c r="AN29" s="10">
        <f t="shared" si="4"/>
        <v>83.024642857142837</v>
      </c>
      <c r="AO29" s="43">
        <v>5.2</v>
      </c>
      <c r="AP29" s="43">
        <v>5.1100000000000003</v>
      </c>
      <c r="AQ29" s="43">
        <v>424.27657409999989</v>
      </c>
      <c r="AR29" s="45"/>
      <c r="AS29" s="45"/>
      <c r="AT29" s="45"/>
      <c r="AU29" s="45"/>
      <c r="AV29" s="45"/>
      <c r="AW29" s="10"/>
      <c r="AX29" s="59">
        <v>551.16</v>
      </c>
      <c r="AY29" s="61">
        <f t="shared" si="71"/>
        <v>0.11916972972972972</v>
      </c>
      <c r="AZ29" s="45">
        <v>1.5</v>
      </c>
      <c r="BA29" s="39" t="s">
        <v>438</v>
      </c>
      <c r="BB29" s="8" t="s">
        <v>101</v>
      </c>
      <c r="BC29" s="39"/>
      <c r="BD29" s="39"/>
      <c r="BE29" s="39"/>
      <c r="BF29" s="39"/>
      <c r="BG29" s="87">
        <v>41233</v>
      </c>
      <c r="BH29" s="87">
        <v>40963</v>
      </c>
      <c r="BI29" s="159">
        <v>41515</v>
      </c>
      <c r="BJ29" s="75"/>
      <c r="BK29" s="867"/>
      <c r="BL29" s="124">
        <v>41549</v>
      </c>
      <c r="BM29" s="157">
        <v>41575</v>
      </c>
      <c r="BN29" s="1007">
        <f t="shared" si="73"/>
        <v>0.8666666666666667</v>
      </c>
      <c r="BO29" s="158"/>
      <c r="BP29" s="125">
        <f t="shared" si="63"/>
        <v>41667</v>
      </c>
      <c r="BQ29" s="125"/>
      <c r="BR29" s="225">
        <v>41671</v>
      </c>
      <c r="BS29" s="224">
        <f t="shared" si="5"/>
        <v>42401</v>
      </c>
      <c r="BT29" s="605"/>
      <c r="BU29" s="224" t="str">
        <f t="shared" si="61"/>
        <v>non</v>
      </c>
      <c r="BV29" s="784">
        <f t="shared" si="59"/>
        <v>2.9333333333333331</v>
      </c>
      <c r="BW29" s="605">
        <f t="shared" si="60"/>
        <v>17950.253697875891</v>
      </c>
      <c r="BX29" s="605">
        <f t="shared" si="8"/>
        <v>-17950.253697875891</v>
      </c>
      <c r="BY29" s="702"/>
      <c r="BZ29" s="817" t="s">
        <v>165</v>
      </c>
      <c r="CA29" s="703"/>
      <c r="CB29" s="703"/>
      <c r="CC29" s="703"/>
      <c r="CD29" s="704"/>
      <c r="CE29" s="704"/>
      <c r="CF29" s="704"/>
      <c r="CG29" s="704"/>
      <c r="CH29" s="704"/>
      <c r="CI29" s="704"/>
      <c r="CJ29" s="704"/>
      <c r="CK29" s="704"/>
      <c r="CL29" s="704"/>
      <c r="CM29" s="704"/>
      <c r="CN29" s="704"/>
      <c r="CO29" s="704"/>
      <c r="CP29" s="704"/>
      <c r="CQ29" s="95"/>
      <c r="CR29" s="95"/>
      <c r="CS29" s="95"/>
      <c r="CT29" s="475" t="str">
        <f t="shared" si="9"/>
        <v>0</v>
      </c>
      <c r="CU29" s="95"/>
      <c r="CV29" s="95"/>
      <c r="CW29" s="475" t="str">
        <f t="shared" si="10"/>
        <v>0</v>
      </c>
      <c r="CX29" s="95"/>
      <c r="CY29" s="95"/>
      <c r="CZ29" s="475" t="str">
        <f t="shared" si="11"/>
        <v>0</v>
      </c>
      <c r="DA29" s="95"/>
      <c r="DB29" s="95"/>
      <c r="DC29" s="475" t="str">
        <f t="shared" si="12"/>
        <v>0</v>
      </c>
      <c r="DD29" s="97"/>
      <c r="DE29" s="514"/>
      <c r="DF29" s="475" t="str">
        <f t="shared" si="13"/>
        <v>0</v>
      </c>
      <c r="DG29" s="440"/>
      <c r="DH29" s="178"/>
      <c r="DI29" s="95"/>
      <c r="DJ29" s="178"/>
      <c r="DK29" s="475" t="str">
        <f t="shared" si="14"/>
        <v>0</v>
      </c>
      <c r="DL29" s="95"/>
      <c r="DM29" s="329">
        <v>41848</v>
      </c>
      <c r="DN29" s="323">
        <v>2014</v>
      </c>
      <c r="DO29" s="433">
        <f t="shared" si="15"/>
        <v>11.1</v>
      </c>
      <c r="DP29" s="475" t="str">
        <f t="shared" si="16"/>
        <v>0</v>
      </c>
      <c r="DQ29" s="187">
        <v>14</v>
      </c>
      <c r="DR29" s="187">
        <f t="shared" si="17"/>
        <v>14</v>
      </c>
      <c r="DS29" s="237"/>
      <c r="DT29" s="236"/>
      <c r="DU29" s="616" t="str">
        <f t="shared" si="18"/>
        <v>0</v>
      </c>
      <c r="DV29" s="633"/>
      <c r="DW29" s="555"/>
      <c r="DX29" s="556" t="str">
        <f t="shared" si="19"/>
        <v>0</v>
      </c>
      <c r="DY29" s="198"/>
      <c r="DZ29" s="237"/>
      <c r="EA29" s="616" t="str">
        <f t="shared" si="20"/>
        <v>0</v>
      </c>
      <c r="EB29" s="237"/>
      <c r="EC29" s="237"/>
      <c r="ED29" s="616" t="str">
        <f t="shared" si="21"/>
        <v>0</v>
      </c>
      <c r="EE29" s="237"/>
      <c r="EF29" s="237"/>
      <c r="EG29" s="616" t="str">
        <f t="shared" si="22"/>
        <v>0</v>
      </c>
      <c r="EH29" s="237"/>
      <c r="EI29" s="237"/>
      <c r="EJ29" s="616" t="str">
        <f t="shared" si="23"/>
        <v>0</v>
      </c>
      <c r="EK29" s="237"/>
      <c r="EL29" s="237"/>
      <c r="EM29" s="616" t="str">
        <f t="shared" si="24"/>
        <v>0</v>
      </c>
      <c r="EN29" s="237"/>
      <c r="EO29" s="237"/>
      <c r="EP29" s="237"/>
      <c r="EQ29" s="441">
        <f t="shared" si="25"/>
        <v>42275</v>
      </c>
      <c r="ER29" s="329">
        <v>42276</v>
      </c>
      <c r="ES29" s="642">
        <f t="shared" si="26"/>
        <v>3.3333333333333333E-2</v>
      </c>
      <c r="ET29" s="929"/>
      <c r="EU29" s="517"/>
      <c r="EV29" s="89">
        <v>42333</v>
      </c>
      <c r="EW29" s="181" t="s">
        <v>107</v>
      </c>
      <c r="EX29" s="89"/>
      <c r="EY29" s="678"/>
      <c r="EZ29" s="746">
        <f t="shared" si="27"/>
        <v>42305</v>
      </c>
      <c r="FA29" s="333">
        <v>42313</v>
      </c>
      <c r="FB29" s="442">
        <v>2015</v>
      </c>
      <c r="FC29" s="637">
        <f t="shared" si="28"/>
        <v>0.26666666666666666</v>
      </c>
      <c r="FD29" s="634">
        <f>73432.856036765/12</f>
        <v>6119.4046697304175</v>
      </c>
      <c r="FE29" s="178">
        <f t="shared" si="29"/>
        <v>1631.8412452614446</v>
      </c>
      <c r="FF29" s="89"/>
      <c r="FG29" s="498"/>
      <c r="FH29" s="624">
        <f t="shared" si="74"/>
        <v>23860</v>
      </c>
      <c r="FI29" s="502"/>
      <c r="FJ29" s="502"/>
      <c r="FK29" s="502">
        <f>(25658+3320+12600+10350+8537+1080+595+1470+1190)*1.021</f>
        <v>66160.799999999988</v>
      </c>
      <c r="FL29" s="664">
        <f>FK29/GN29</f>
        <v>2.7264579017489746E-2</v>
      </c>
      <c r="FM29" s="499"/>
      <c r="FN29" s="511" t="s">
        <v>611</v>
      </c>
      <c r="FO29" s="499"/>
      <c r="FP29" s="499" t="s">
        <v>848</v>
      </c>
      <c r="FQ29" s="89">
        <v>42725</v>
      </c>
      <c r="FR29" s="89">
        <v>42536</v>
      </c>
      <c r="FS29" s="89" t="s">
        <v>107</v>
      </c>
      <c r="FT29" s="89" t="s">
        <v>107</v>
      </c>
      <c r="FU29" s="89">
        <v>42555</v>
      </c>
      <c r="FV29" s="89">
        <v>42870</v>
      </c>
      <c r="FW29" s="89">
        <v>42660</v>
      </c>
      <c r="FX29" s="613">
        <v>13313</v>
      </c>
      <c r="FY29" s="150">
        <v>42324</v>
      </c>
      <c r="FZ29" s="150">
        <v>42402</v>
      </c>
      <c r="GA29" s="150"/>
      <c r="GB29" s="218"/>
      <c r="GC29" s="218"/>
      <c r="GD29" s="183">
        <v>42459</v>
      </c>
      <c r="GE29" s="39"/>
      <c r="GF29" s="156"/>
      <c r="GG29" s="143" t="s">
        <v>493</v>
      </c>
      <c r="GH29" s="180" t="s">
        <v>107</v>
      </c>
      <c r="GI29" s="180"/>
      <c r="GJ29" s="180" t="s">
        <v>107</v>
      </c>
      <c r="GK29" s="39"/>
      <c r="GL29" s="548">
        <v>2360150.41</v>
      </c>
      <c r="GM29" s="979">
        <f t="shared" si="33"/>
        <v>2426621</v>
      </c>
      <c r="GN29" s="772">
        <f t="shared" si="34"/>
        <v>2426621</v>
      </c>
      <c r="GO29" s="683">
        <f t="shared" si="35"/>
        <v>2426621</v>
      </c>
      <c r="GP29" s="909">
        <f t="shared" si="36"/>
        <v>500000</v>
      </c>
      <c r="GQ29" s="35">
        <f t="shared" si="37"/>
        <v>2087.6942732149237</v>
      </c>
      <c r="GR29" s="35">
        <f t="shared" si="38"/>
        <v>173330.07142857142</v>
      </c>
      <c r="GS29" s="11">
        <v>642565</v>
      </c>
      <c r="GT29" s="577"/>
      <c r="GU29" s="19">
        <f t="shared" si="39"/>
        <v>45897.5</v>
      </c>
      <c r="GV29" s="53">
        <f t="shared" si="40"/>
        <v>1260196</v>
      </c>
      <c r="GW29" s="12">
        <v>284216</v>
      </c>
      <c r="GX29" s="12">
        <v>975980</v>
      </c>
      <c r="GY29" s="567">
        <f t="shared" si="41"/>
        <v>90014</v>
      </c>
      <c r="GZ29" s="11"/>
      <c r="HA29" s="11">
        <v>500000</v>
      </c>
      <c r="HB29" s="53"/>
      <c r="HC29" s="28">
        <f t="shared" si="42"/>
        <v>0.20604783359247283</v>
      </c>
      <c r="HD29" s="53"/>
      <c r="HE29" s="53"/>
      <c r="HF29" s="11">
        <v>0</v>
      </c>
      <c r="HG29" s="35">
        <f t="shared" si="43"/>
        <v>35714.285714285717</v>
      </c>
      <c r="HH29" s="35">
        <f t="shared" si="44"/>
        <v>81611.78571428571</v>
      </c>
      <c r="HI29" s="27">
        <v>461213.14905750001</v>
      </c>
      <c r="HJ29" s="27">
        <v>238500</v>
      </c>
      <c r="HK29" s="19" t="e">
        <f>(#REF!+#REF!+HJ29)/AE29</f>
        <v>#REF!</v>
      </c>
      <c r="HL29" s="27">
        <v>0</v>
      </c>
      <c r="HM29" s="19">
        <f t="shared" si="45"/>
        <v>98647.5</v>
      </c>
      <c r="HN29" s="36">
        <f t="shared" si="46"/>
        <v>0.49653574328412386</v>
      </c>
      <c r="HO29" s="27">
        <v>106433.17505000001</v>
      </c>
      <c r="HP29" s="27"/>
      <c r="HQ29" s="11">
        <v>23860</v>
      </c>
      <c r="HR29" s="898"/>
      <c r="HS29" s="907">
        <f t="shared" si="47"/>
        <v>0</v>
      </c>
      <c r="HT29" s="915">
        <f t="shared" si="48"/>
        <v>2426621</v>
      </c>
      <c r="HU29" s="898">
        <f t="shared" ca="1" si="49"/>
        <v>2426621</v>
      </c>
      <c r="HV29" s="898"/>
      <c r="HW29" s="898"/>
      <c r="HX29" s="898">
        <f t="shared" si="50"/>
        <v>500000</v>
      </c>
      <c r="HY29" s="908">
        <f t="shared" si="51"/>
        <v>0</v>
      </c>
      <c r="HZ29" s="908"/>
      <c r="IA29" s="73" t="e">
        <f>#REF!+HI29</f>
        <v>#REF!</v>
      </c>
      <c r="IB29" s="752"/>
      <c r="IC29" s="73"/>
      <c r="ID29" s="73"/>
      <c r="IE29" s="73"/>
      <c r="IF29" s="73"/>
    </row>
    <row r="30" spans="1:240" ht="20.100000000000001" customHeight="1">
      <c r="A30" s="20" t="s">
        <v>116</v>
      </c>
      <c r="B30" s="562"/>
      <c r="C30" s="8" t="s">
        <v>26</v>
      </c>
      <c r="D30" s="8" t="s">
        <v>93</v>
      </c>
      <c r="E30" s="8">
        <v>2013</v>
      </c>
      <c r="F30" s="8" t="s">
        <v>27</v>
      </c>
      <c r="G30" s="8" t="s">
        <v>299</v>
      </c>
      <c r="H30" s="8" t="s">
        <v>705</v>
      </c>
      <c r="I30" s="8" t="s">
        <v>788</v>
      </c>
      <c r="J30" s="39"/>
      <c r="K30" s="39"/>
      <c r="L30" s="374" t="s">
        <v>525</v>
      </c>
      <c r="M30" s="126" t="s">
        <v>45</v>
      </c>
      <c r="N30" s="80" t="s">
        <v>117</v>
      </c>
      <c r="O30" s="81">
        <v>41619</v>
      </c>
      <c r="P30" s="161">
        <v>15520</v>
      </c>
      <c r="Q30" s="161">
        <v>130195</v>
      </c>
      <c r="R30" s="161">
        <v>184575</v>
      </c>
      <c r="S30" s="161">
        <f>Q30/AE30</f>
        <v>5424.791666666667</v>
      </c>
      <c r="T30" s="161">
        <f>Q30/P30</f>
        <v>8.3888530927835046</v>
      </c>
      <c r="U30" s="161">
        <f>R30/P30</f>
        <v>11.892719072164949</v>
      </c>
      <c r="V30" s="161">
        <f>R30/AL30</f>
        <v>99.719601931991306</v>
      </c>
      <c r="W30" s="161">
        <f>R30/AE30</f>
        <v>7690.625</v>
      </c>
      <c r="X30" s="161">
        <f>P30/AE30</f>
        <v>646.66666666666663</v>
      </c>
      <c r="Y30" s="162"/>
      <c r="Z30" s="733">
        <f t="shared" si="0"/>
        <v>15.463917525773196</v>
      </c>
      <c r="AA30" s="162" t="s">
        <v>174</v>
      </c>
      <c r="AB30" s="164">
        <v>790</v>
      </c>
      <c r="AC30" s="165"/>
      <c r="AD30" s="8" t="s">
        <v>10</v>
      </c>
      <c r="AE30" s="674">
        <f t="shared" si="1"/>
        <v>24</v>
      </c>
      <c r="AF30" s="674">
        <f t="shared" si="2"/>
        <v>24</v>
      </c>
      <c r="AG30" s="9"/>
      <c r="AH30" s="8">
        <v>24</v>
      </c>
      <c r="AI30" s="50"/>
      <c r="AJ30" s="50"/>
      <c r="AK30" s="209">
        <v>1832.54</v>
      </c>
      <c r="AL30" s="426">
        <v>1850.94</v>
      </c>
      <c r="AM30" s="875">
        <f t="shared" si="3"/>
        <v>76.355833333333337</v>
      </c>
      <c r="AN30" s="10">
        <f t="shared" si="4"/>
        <v>77.122500000000002</v>
      </c>
      <c r="AO30" s="43">
        <v>5.27</v>
      </c>
      <c r="AP30" s="43">
        <v>5.22</v>
      </c>
      <c r="AQ30" s="43">
        <v>402.32</v>
      </c>
      <c r="AR30" s="45"/>
      <c r="AS30" s="45"/>
      <c r="AT30" s="45"/>
      <c r="AU30" s="45"/>
      <c r="AV30" s="45"/>
      <c r="AW30" s="10"/>
      <c r="AX30" s="59">
        <v>700</v>
      </c>
      <c r="AY30" s="61">
        <f t="shared" si="71"/>
        <v>4.5103092783505154E-2</v>
      </c>
      <c r="AZ30" s="43">
        <v>1.5</v>
      </c>
      <c r="BA30" s="40" t="s">
        <v>438</v>
      </c>
      <c r="BB30" s="18" t="s">
        <v>101</v>
      </c>
      <c r="BC30" s="40"/>
      <c r="BD30" s="40"/>
      <c r="BE30" s="40"/>
      <c r="BF30" s="40"/>
      <c r="BG30" s="39"/>
      <c r="BH30" s="143">
        <v>41346</v>
      </c>
      <c r="BI30" s="159">
        <v>41536</v>
      </c>
      <c r="BJ30" s="75"/>
      <c r="BK30" s="867"/>
      <c r="BL30" s="124">
        <v>41550</v>
      </c>
      <c r="BM30" s="157">
        <v>41575</v>
      </c>
      <c r="BN30" s="1007">
        <f t="shared" si="73"/>
        <v>0.83333333333333337</v>
      </c>
      <c r="BO30" s="158"/>
      <c r="BP30" s="125">
        <v>41577</v>
      </c>
      <c r="BQ30" s="125"/>
      <c r="BR30" s="225">
        <v>41579</v>
      </c>
      <c r="BS30" s="224">
        <f t="shared" si="5"/>
        <v>42309</v>
      </c>
      <c r="BT30" s="605">
        <f>55226+6729</f>
        <v>61955</v>
      </c>
      <c r="BU30" s="224" t="str">
        <f t="shared" si="61"/>
        <v>oui</v>
      </c>
      <c r="BV30" s="784">
        <f t="shared" si="59"/>
        <v>-15.5</v>
      </c>
      <c r="BW30" s="605" t="str">
        <f t="shared" si="60"/>
        <v>0</v>
      </c>
      <c r="BX30" s="605">
        <f t="shared" si="8"/>
        <v>61955</v>
      </c>
      <c r="BY30" s="702"/>
      <c r="BZ30" s="705">
        <v>41659</v>
      </c>
      <c r="CA30" s="703"/>
      <c r="CB30" s="703"/>
      <c r="CC30" s="703"/>
      <c r="CD30" s="699"/>
      <c r="CE30" s="699"/>
      <c r="CF30" s="699"/>
      <c r="CG30" s="699"/>
      <c r="CH30" s="699"/>
      <c r="CI30" s="699"/>
      <c r="CJ30" s="699"/>
      <c r="CK30" s="704"/>
      <c r="CL30" s="704"/>
      <c r="CM30" s="704"/>
      <c r="CN30" s="704"/>
      <c r="CO30" s="704"/>
      <c r="CP30" s="704"/>
      <c r="CQ30" s="95"/>
      <c r="CR30" s="88"/>
      <c r="CS30" s="88"/>
      <c r="CT30" s="475" t="str">
        <f t="shared" si="9"/>
        <v>0</v>
      </c>
      <c r="CU30" s="95"/>
      <c r="CV30" s="95"/>
      <c r="CW30" s="475" t="str">
        <f t="shared" si="10"/>
        <v>0</v>
      </c>
      <c r="CX30" s="97"/>
      <c r="CY30" s="95"/>
      <c r="CZ30" s="475" t="str">
        <f t="shared" si="11"/>
        <v>0</v>
      </c>
      <c r="DA30" s="97"/>
      <c r="DB30" s="95"/>
      <c r="DC30" s="475" t="str">
        <f t="shared" si="12"/>
        <v>0</v>
      </c>
      <c r="DD30" s="97"/>
      <c r="DE30" s="514"/>
      <c r="DF30" s="475" t="str">
        <f t="shared" si="13"/>
        <v>0</v>
      </c>
      <c r="DG30" s="440"/>
      <c r="DH30" s="178"/>
      <c r="DI30" s="95"/>
      <c r="DJ30" s="178"/>
      <c r="DK30" s="475" t="str">
        <f t="shared" si="14"/>
        <v>0</v>
      </c>
      <c r="DL30" s="95"/>
      <c r="DM30" s="329">
        <v>41876</v>
      </c>
      <c r="DN30" s="323">
        <v>2014</v>
      </c>
      <c r="DO30" s="433">
        <f t="shared" si="15"/>
        <v>11.333333333333334</v>
      </c>
      <c r="DP30" s="475" t="str">
        <f t="shared" si="16"/>
        <v>0</v>
      </c>
      <c r="DQ30" s="90">
        <v>14</v>
      </c>
      <c r="DR30" s="187">
        <f t="shared" si="17"/>
        <v>27</v>
      </c>
      <c r="DS30" s="95"/>
      <c r="DT30" s="178"/>
      <c r="DU30" s="475" t="str">
        <f t="shared" si="18"/>
        <v>0</v>
      </c>
      <c r="DV30" s="515"/>
      <c r="DW30" s="512"/>
      <c r="DX30" s="478" t="str">
        <f t="shared" si="19"/>
        <v>0</v>
      </c>
      <c r="DY30" s="97"/>
      <c r="DZ30" s="237"/>
      <c r="EA30" s="475" t="str">
        <f t="shared" si="20"/>
        <v>0</v>
      </c>
      <c r="EB30" s="178"/>
      <c r="EC30" s="95"/>
      <c r="ED30" s="475" t="str">
        <f t="shared" si="21"/>
        <v>0</v>
      </c>
      <c r="EE30" s="88"/>
      <c r="EF30" s="88"/>
      <c r="EG30" s="475" t="str">
        <f t="shared" si="22"/>
        <v>0</v>
      </c>
      <c r="EH30" s="88"/>
      <c r="EI30" s="88"/>
      <c r="EJ30" s="475" t="str">
        <f t="shared" si="23"/>
        <v>0</v>
      </c>
      <c r="EK30" s="88"/>
      <c r="EL30" s="88"/>
      <c r="EM30" s="475" t="str">
        <f t="shared" si="24"/>
        <v>0</v>
      </c>
      <c r="EN30" s="88"/>
      <c r="EO30" s="88"/>
      <c r="EP30" s="88"/>
      <c r="EQ30" s="517">
        <f t="shared" si="25"/>
        <v>42302</v>
      </c>
      <c r="ER30" s="331">
        <v>42704</v>
      </c>
      <c r="ES30" s="642">
        <f t="shared" si="26"/>
        <v>13.4</v>
      </c>
      <c r="ET30" s="929"/>
      <c r="EU30" s="846"/>
      <c r="EV30" s="89">
        <v>42774</v>
      </c>
      <c r="EW30" s="89" t="s">
        <v>107</v>
      </c>
      <c r="EX30" s="89" t="s">
        <v>107</v>
      </c>
      <c r="EY30" s="441"/>
      <c r="EZ30" s="746">
        <f t="shared" si="27"/>
        <v>42333</v>
      </c>
      <c r="FA30" s="331">
        <v>42774</v>
      </c>
      <c r="FB30" s="325">
        <v>2017</v>
      </c>
      <c r="FC30" s="639">
        <f t="shared" si="28"/>
        <v>14.7</v>
      </c>
      <c r="FD30" s="629">
        <f>115866.7697376/12</f>
        <v>9655.5641448000006</v>
      </c>
      <c r="FE30" s="236">
        <f t="shared" si="29"/>
        <v>141936.79292856</v>
      </c>
      <c r="FF30" s="89"/>
      <c r="FG30" s="498"/>
      <c r="FH30" s="624">
        <f t="shared" si="74"/>
        <v>384475</v>
      </c>
      <c r="FI30" s="502"/>
      <c r="FJ30" s="502"/>
      <c r="FK30" s="502">
        <f>58276*1.021</f>
        <v>59499.795999999995</v>
      </c>
      <c r="FL30" s="664">
        <f>FK30/GN30</f>
        <v>1.4195146960832471E-2</v>
      </c>
      <c r="FM30" s="499"/>
      <c r="FN30" s="511" t="s">
        <v>598</v>
      </c>
      <c r="FO30" s="499"/>
      <c r="FP30" s="499"/>
      <c r="FQ30" s="93" t="s">
        <v>414</v>
      </c>
      <c r="FR30" s="182" t="s">
        <v>107</v>
      </c>
      <c r="FS30" s="91" t="s">
        <v>415</v>
      </c>
      <c r="FT30" s="91" t="s">
        <v>416</v>
      </c>
      <c r="FU30" s="89">
        <v>42912</v>
      </c>
      <c r="FV30" s="182" t="s">
        <v>107</v>
      </c>
      <c r="FW30" s="238">
        <v>43069</v>
      </c>
      <c r="FX30" s="610">
        <v>29948</v>
      </c>
      <c r="FY30" s="150" t="s">
        <v>107</v>
      </c>
      <c r="FZ30" s="150">
        <v>42907</v>
      </c>
      <c r="GA30" s="150"/>
      <c r="GB30" s="39"/>
      <c r="GC30" s="143"/>
      <c r="GD30" s="87">
        <v>43202</v>
      </c>
      <c r="GE30" s="39"/>
      <c r="GF30" s="39" t="s">
        <v>656</v>
      </c>
      <c r="GG30" s="39" t="s">
        <v>327</v>
      </c>
      <c r="GH30" s="429">
        <v>43003</v>
      </c>
      <c r="GI30" s="88" t="s">
        <v>107</v>
      </c>
      <c r="GJ30" s="39"/>
      <c r="GK30" s="39"/>
      <c r="GL30" s="548">
        <v>3574384</v>
      </c>
      <c r="GM30" s="979">
        <f t="shared" si="33"/>
        <v>4191559</v>
      </c>
      <c r="GN30" s="772">
        <f t="shared" si="34"/>
        <v>4191559</v>
      </c>
      <c r="GO30" s="683">
        <f t="shared" si="35"/>
        <v>4191559</v>
      </c>
      <c r="GP30" s="909">
        <f t="shared" si="36"/>
        <v>504894</v>
      </c>
      <c r="GQ30" s="35">
        <f t="shared" si="37"/>
        <v>2264.5569278312641</v>
      </c>
      <c r="GR30" s="35">
        <f t="shared" si="38"/>
        <v>174648.29166666666</v>
      </c>
      <c r="GS30" s="11">
        <v>1042673</v>
      </c>
      <c r="GT30" s="577"/>
      <c r="GU30" s="19">
        <f t="shared" si="39"/>
        <v>43444.708333333336</v>
      </c>
      <c r="GV30" s="11">
        <f t="shared" si="40"/>
        <v>2051712</v>
      </c>
      <c r="GW30" s="12">
        <v>255345</v>
      </c>
      <c r="GX30" s="12">
        <v>1796367</v>
      </c>
      <c r="GY30" s="567">
        <f t="shared" si="41"/>
        <v>85488</v>
      </c>
      <c r="GZ30" s="11">
        <v>327805</v>
      </c>
      <c r="HA30" s="11">
        <v>360000</v>
      </c>
      <c r="HB30" s="53">
        <v>120000</v>
      </c>
      <c r="HC30" s="28">
        <f t="shared" si="42"/>
        <v>8.5886897929863329E-2</v>
      </c>
      <c r="HD30" s="53"/>
      <c r="HE30" s="53"/>
      <c r="HF30" s="11">
        <v>24894</v>
      </c>
      <c r="HG30" s="35">
        <f t="shared" si="43"/>
        <v>15000</v>
      </c>
      <c r="HH30" s="35">
        <f t="shared" si="44"/>
        <v>58444.708333333336</v>
      </c>
      <c r="HI30" s="27">
        <v>1244630.4489499999</v>
      </c>
      <c r="HJ30" s="27">
        <v>480000</v>
      </c>
      <c r="HK30" s="19" t="e">
        <f>(#REF!+#REF!+HJ30)/AE30</f>
        <v>#REF!</v>
      </c>
      <c r="HL30" s="27">
        <v>0</v>
      </c>
      <c r="HM30" s="19">
        <f t="shared" si="45"/>
        <v>78444.708333333328</v>
      </c>
      <c r="HN30" s="36">
        <f t="shared" si="46"/>
        <v>0.35875892924572422</v>
      </c>
      <c r="HO30" s="27">
        <v>188451.07500000001</v>
      </c>
      <c r="HP30" s="27"/>
      <c r="HQ30" s="855">
        <v>384475</v>
      </c>
      <c r="HR30" s="898"/>
      <c r="HS30" s="907">
        <f t="shared" si="47"/>
        <v>0</v>
      </c>
      <c r="HT30" s="915">
        <f t="shared" si="48"/>
        <v>4191559</v>
      </c>
      <c r="HU30" s="898">
        <f t="shared" ca="1" si="49"/>
        <v>4191559</v>
      </c>
      <c r="HV30" s="898"/>
      <c r="HW30" s="898"/>
      <c r="HX30" s="898">
        <f t="shared" si="50"/>
        <v>504894</v>
      </c>
      <c r="HY30" s="908">
        <f t="shared" si="51"/>
        <v>0</v>
      </c>
      <c r="HZ30" s="908"/>
      <c r="IA30" s="29" t="e">
        <f>#REF!+HI30</f>
        <v>#REF!</v>
      </c>
      <c r="IB30" s="752"/>
      <c r="IC30" s="73"/>
      <c r="ID30" s="73"/>
      <c r="IE30" s="73"/>
      <c r="IF30" s="73"/>
    </row>
    <row r="31" spans="1:240" ht="20.100000000000001" customHeight="1">
      <c r="A31" s="20" t="s">
        <v>301</v>
      </c>
      <c r="B31" s="297"/>
      <c r="C31" s="8" t="s">
        <v>21</v>
      </c>
      <c r="D31" s="8" t="s">
        <v>92</v>
      </c>
      <c r="E31" s="8">
        <v>2013</v>
      </c>
      <c r="F31" s="8" t="s">
        <v>39</v>
      </c>
      <c r="G31" s="8"/>
      <c r="H31" s="671" t="s">
        <v>537</v>
      </c>
      <c r="I31" s="8" t="s">
        <v>193</v>
      </c>
      <c r="J31" s="39"/>
      <c r="K31" s="39"/>
      <c r="L31" s="199"/>
      <c r="M31" s="126" t="s">
        <v>47</v>
      </c>
      <c r="N31" s="80" t="s">
        <v>54</v>
      </c>
      <c r="O31" s="81"/>
      <c r="P31" s="161">
        <f>1825+425</f>
        <v>2250</v>
      </c>
      <c r="Q31" s="161">
        <v>102507</v>
      </c>
      <c r="R31" s="161">
        <v>68451</v>
      </c>
      <c r="S31" s="161">
        <f>Q31/AE31</f>
        <v>11389.666666666666</v>
      </c>
      <c r="T31" s="161">
        <f>Q31/P31</f>
        <v>45.558666666666667</v>
      </c>
      <c r="U31" s="167">
        <f>R31/P31</f>
        <v>30.422666666666668</v>
      </c>
      <c r="V31" s="167">
        <f>R31/AL31</f>
        <v>97.255018967648425</v>
      </c>
      <c r="W31" s="167">
        <f>R31/AE31</f>
        <v>7605.666666666667</v>
      </c>
      <c r="X31" s="161">
        <f>P31/AE31</f>
        <v>250</v>
      </c>
      <c r="Y31" s="162"/>
      <c r="Z31" s="733">
        <f t="shared" si="0"/>
        <v>40</v>
      </c>
      <c r="AA31" s="162" t="s">
        <v>169</v>
      </c>
      <c r="AB31" s="164"/>
      <c r="AC31" s="165"/>
      <c r="AD31" s="8" t="s">
        <v>10</v>
      </c>
      <c r="AE31" s="674">
        <f t="shared" si="1"/>
        <v>9</v>
      </c>
      <c r="AF31" s="674">
        <f t="shared" si="2"/>
        <v>9</v>
      </c>
      <c r="AG31" s="9"/>
      <c r="AH31" s="8">
        <v>9</v>
      </c>
      <c r="AI31" s="50"/>
      <c r="AJ31" s="50"/>
      <c r="AK31" s="209">
        <v>701.11</v>
      </c>
      <c r="AL31" s="426">
        <v>703.83</v>
      </c>
      <c r="AM31" s="875">
        <f t="shared" si="3"/>
        <v>77.901111111111106</v>
      </c>
      <c r="AN31" s="10">
        <f t="shared" si="4"/>
        <v>78.203333333333333</v>
      </c>
      <c r="AO31" s="43">
        <v>5.22</v>
      </c>
      <c r="AP31" s="43">
        <v>5.2</v>
      </c>
      <c r="AQ31" s="43">
        <v>406.33</v>
      </c>
      <c r="AR31" s="61">
        <v>0</v>
      </c>
      <c r="AS31" s="61">
        <v>0</v>
      </c>
      <c r="AT31" s="61">
        <f>4/AE31</f>
        <v>0.44444444444444442</v>
      </c>
      <c r="AU31" s="61">
        <f>4/AE31</f>
        <v>0.44444444444444442</v>
      </c>
      <c r="AV31" s="61">
        <f>1/AE31</f>
        <v>0.1111111111111111</v>
      </c>
      <c r="AW31" s="10"/>
      <c r="AX31" s="59" t="s">
        <v>250</v>
      </c>
      <c r="AY31" s="61" t="e">
        <f t="shared" si="71"/>
        <v>#VALUE!</v>
      </c>
      <c r="AZ31" s="43">
        <v>2</v>
      </c>
      <c r="BA31" s="42" t="s">
        <v>439</v>
      </c>
      <c r="BB31" s="8" t="s">
        <v>101</v>
      </c>
      <c r="BC31" s="39"/>
      <c r="BD31" s="39"/>
      <c r="BE31" s="39"/>
      <c r="BF31" s="39"/>
      <c r="BG31" s="39"/>
      <c r="BH31" s="143">
        <v>40963</v>
      </c>
      <c r="BI31" s="159">
        <v>41486</v>
      </c>
      <c r="BJ31" s="75"/>
      <c r="BK31" s="867"/>
      <c r="BL31" s="124">
        <v>41549</v>
      </c>
      <c r="BM31" s="157">
        <v>41576</v>
      </c>
      <c r="BN31" s="1007">
        <f t="shared" si="73"/>
        <v>0.9</v>
      </c>
      <c r="BO31" s="158"/>
      <c r="BP31" s="125">
        <f>DATE(YEAR(BM31),MONTH(BM31)+3,DAY(BM31))</f>
        <v>41668</v>
      </c>
      <c r="BQ31" s="125"/>
      <c r="BR31" s="225">
        <v>41671</v>
      </c>
      <c r="BS31" s="224">
        <f t="shared" si="5"/>
        <v>42401</v>
      </c>
      <c r="BT31" s="605">
        <f>4652+21135</f>
        <v>25787</v>
      </c>
      <c r="BU31" s="224" t="str">
        <f t="shared" si="61"/>
        <v>oui</v>
      </c>
      <c r="BV31" s="784">
        <f t="shared" si="59"/>
        <v>-5.8666666666666663</v>
      </c>
      <c r="BW31" s="605" t="str">
        <f t="shared" si="60"/>
        <v>0</v>
      </c>
      <c r="BX31" s="605">
        <f t="shared" si="8"/>
        <v>25787</v>
      </c>
      <c r="BY31" s="702"/>
      <c r="BZ31" s="817" t="s">
        <v>144</v>
      </c>
      <c r="CA31" s="703"/>
      <c r="CB31" s="703"/>
      <c r="CC31" s="703"/>
      <c r="CD31" s="699"/>
      <c r="CE31" s="699"/>
      <c r="CF31" s="699"/>
      <c r="CG31" s="699"/>
      <c r="CH31" s="699"/>
      <c r="CI31" s="699"/>
      <c r="CJ31" s="699"/>
      <c r="CK31" s="704"/>
      <c r="CL31" s="704"/>
      <c r="CM31" s="704"/>
      <c r="CN31" s="704"/>
      <c r="CO31" s="704"/>
      <c r="CP31" s="704"/>
      <c r="CQ31" s="95"/>
      <c r="CR31" s="95"/>
      <c r="CS31" s="95"/>
      <c r="CT31" s="475" t="str">
        <f t="shared" si="9"/>
        <v>0</v>
      </c>
      <c r="CU31" s="95"/>
      <c r="CV31" s="95"/>
      <c r="CW31" s="475" t="str">
        <f t="shared" si="10"/>
        <v>0</v>
      </c>
      <c r="CX31" s="95"/>
      <c r="CY31" s="95"/>
      <c r="CZ31" s="475" t="str">
        <f t="shared" si="11"/>
        <v>0</v>
      </c>
      <c r="DA31" s="95"/>
      <c r="DB31" s="95"/>
      <c r="DC31" s="475" t="str">
        <f t="shared" si="12"/>
        <v>0</v>
      </c>
      <c r="DD31" s="97"/>
      <c r="DE31" s="514"/>
      <c r="DF31" s="475" t="str">
        <f t="shared" si="13"/>
        <v>0</v>
      </c>
      <c r="DG31" s="440"/>
      <c r="DH31" s="178"/>
      <c r="DI31" s="95"/>
      <c r="DJ31" s="178"/>
      <c r="DK31" s="475" t="str">
        <f t="shared" si="14"/>
        <v>0</v>
      </c>
      <c r="DL31" s="95"/>
      <c r="DM31" s="329">
        <v>41900</v>
      </c>
      <c r="DN31" s="323">
        <v>2014</v>
      </c>
      <c r="DO31" s="433">
        <f t="shared" si="15"/>
        <v>13.8</v>
      </c>
      <c r="DP31" s="475" t="str">
        <f t="shared" si="16"/>
        <v>0</v>
      </c>
      <c r="DQ31" s="90">
        <v>13</v>
      </c>
      <c r="DR31" s="90">
        <f t="shared" si="17"/>
        <v>17</v>
      </c>
      <c r="DS31" s="237"/>
      <c r="DT31" s="236"/>
      <c r="DU31" s="616" t="str">
        <f t="shared" si="18"/>
        <v>0</v>
      </c>
      <c r="DV31" s="633"/>
      <c r="DW31" s="555"/>
      <c r="DX31" s="556" t="str">
        <f t="shared" si="19"/>
        <v>0</v>
      </c>
      <c r="DY31" s="198"/>
      <c r="DZ31" s="237"/>
      <c r="EA31" s="616" t="str">
        <f t="shared" si="20"/>
        <v>0</v>
      </c>
      <c r="EB31" s="236"/>
      <c r="EC31" s="237"/>
      <c r="ED31" s="616" t="str">
        <f t="shared" si="21"/>
        <v>0</v>
      </c>
      <c r="EE31" s="298"/>
      <c r="EF31" s="298"/>
      <c r="EG31" s="616" t="str">
        <f t="shared" si="22"/>
        <v>0</v>
      </c>
      <c r="EH31" s="298"/>
      <c r="EI31" s="298"/>
      <c r="EJ31" s="616" t="str">
        <f t="shared" si="23"/>
        <v>0</v>
      </c>
      <c r="EK31" s="237"/>
      <c r="EL31" s="237"/>
      <c r="EM31" s="616" t="str">
        <f t="shared" si="24"/>
        <v>0</v>
      </c>
      <c r="EN31" s="298"/>
      <c r="EO31" s="298"/>
      <c r="EP31" s="298"/>
      <c r="EQ31" s="441">
        <f t="shared" si="25"/>
        <v>42295</v>
      </c>
      <c r="ER31" s="329">
        <v>42424</v>
      </c>
      <c r="ES31" s="642">
        <f t="shared" si="26"/>
        <v>4.3</v>
      </c>
      <c r="ET31" s="929"/>
      <c r="EU31" s="564"/>
      <c r="EV31" s="89">
        <v>42566</v>
      </c>
      <c r="EW31" s="89" t="s">
        <v>107</v>
      </c>
      <c r="EX31" s="89">
        <v>42577</v>
      </c>
      <c r="EY31" s="441"/>
      <c r="EZ31" s="746">
        <f t="shared" si="27"/>
        <v>42326</v>
      </c>
      <c r="FA31" s="331">
        <v>42577</v>
      </c>
      <c r="FB31" s="325">
        <v>2016</v>
      </c>
      <c r="FC31" s="639">
        <f t="shared" si="28"/>
        <v>8.3666666666666671</v>
      </c>
      <c r="FD31" s="629">
        <f>45210.5570752773/12</f>
        <v>3767.5464229397749</v>
      </c>
      <c r="FE31" s="236">
        <f t="shared" si="29"/>
        <v>31521.805071929452</v>
      </c>
      <c r="FF31" s="89"/>
      <c r="FG31" s="498"/>
      <c r="FH31" s="624">
        <f t="shared" si="74"/>
        <v>0</v>
      </c>
      <c r="FI31" s="502"/>
      <c r="FJ31" s="502"/>
      <c r="FK31" s="502">
        <f>39383.9*1.021</f>
        <v>40210.961899999995</v>
      </c>
      <c r="FL31" s="664">
        <f>FK31/GN31</f>
        <v>2.5876362659390653E-2</v>
      </c>
      <c r="FM31" s="499"/>
      <c r="FN31" s="511" t="s">
        <v>600</v>
      </c>
      <c r="FO31" s="499"/>
      <c r="FP31" s="499"/>
      <c r="FQ31" s="156" t="s">
        <v>107</v>
      </c>
      <c r="FR31" s="156">
        <v>42620</v>
      </c>
      <c r="FS31" s="156" t="s">
        <v>107</v>
      </c>
      <c r="FT31" s="156" t="s">
        <v>107</v>
      </c>
      <c r="FU31" s="186">
        <v>42768</v>
      </c>
      <c r="FV31" s="87">
        <v>42859</v>
      </c>
      <c r="FW31" s="156">
        <f t="shared" ref="FW31:FW35" si="75">DATE(YEAR(ER31)+1,MONTH(ER31),DAY(ER31))</f>
        <v>42790</v>
      </c>
      <c r="FX31" s="611">
        <v>12615</v>
      </c>
      <c r="FY31" s="186">
        <v>42621</v>
      </c>
      <c r="FZ31" s="186">
        <v>42688</v>
      </c>
      <c r="GA31" s="186"/>
      <c r="GB31" s="39"/>
      <c r="GC31" s="143"/>
      <c r="GD31" s="95">
        <v>42878</v>
      </c>
      <c r="GE31" s="39"/>
      <c r="GF31" s="95"/>
      <c r="GG31" s="41" t="s">
        <v>454</v>
      </c>
      <c r="GH31" s="180">
        <v>42808</v>
      </c>
      <c r="GI31" s="180"/>
      <c r="GJ31" s="39"/>
      <c r="GK31" s="39"/>
      <c r="GL31" s="548">
        <v>1547410</v>
      </c>
      <c r="GM31" s="979">
        <f t="shared" si="33"/>
        <v>1553965</v>
      </c>
      <c r="GN31" s="772">
        <f t="shared" si="34"/>
        <v>1553965</v>
      </c>
      <c r="GO31" s="683">
        <f t="shared" si="35"/>
        <v>1553965</v>
      </c>
      <c r="GP31" s="909">
        <f t="shared" si="36"/>
        <v>225000</v>
      </c>
      <c r="GQ31" s="35">
        <f t="shared" si="37"/>
        <v>2207.8697981046557</v>
      </c>
      <c r="GR31" s="35">
        <f t="shared" si="38"/>
        <v>172662.77777777778</v>
      </c>
      <c r="GS31" s="11">
        <v>426409</v>
      </c>
      <c r="GT31" s="577"/>
      <c r="GU31" s="19">
        <f t="shared" si="39"/>
        <v>47378.777777777781</v>
      </c>
      <c r="GV31" s="11">
        <f t="shared" si="40"/>
        <v>864010</v>
      </c>
      <c r="GW31" s="12">
        <v>176535</v>
      </c>
      <c r="GX31" s="12">
        <v>687475</v>
      </c>
      <c r="GY31" s="567">
        <f t="shared" si="41"/>
        <v>96001.111111111109</v>
      </c>
      <c r="GZ31" s="11"/>
      <c r="HA31" s="11">
        <v>225000</v>
      </c>
      <c r="HB31" s="53"/>
      <c r="HC31" s="28">
        <f t="shared" si="42"/>
        <v>0.14479090584408272</v>
      </c>
      <c r="HD31" s="862">
        <v>38546</v>
      </c>
      <c r="HE31" s="862"/>
      <c r="HF31" s="11">
        <v>0</v>
      </c>
      <c r="HG31" s="35">
        <f t="shared" si="43"/>
        <v>25000</v>
      </c>
      <c r="HH31" s="35">
        <f t="shared" si="44"/>
        <v>72378.777777777781</v>
      </c>
      <c r="HI31" s="27">
        <v>270120.19565000001</v>
      </c>
      <c r="HJ31" s="27">
        <v>180000</v>
      </c>
      <c r="HK31" s="19" t="e">
        <f>(#REF!+#REF!+HJ31)/AE31</f>
        <v>#REF!</v>
      </c>
      <c r="HL31" s="27">
        <v>0</v>
      </c>
      <c r="HM31" s="19">
        <f t="shared" si="45"/>
        <v>92378.777777777781</v>
      </c>
      <c r="HN31" s="36">
        <f t="shared" si="46"/>
        <v>0.47363006816549857</v>
      </c>
      <c r="HO31" s="27">
        <v>68687.774999999994</v>
      </c>
      <c r="HP31" s="773"/>
      <c r="HQ31" s="11"/>
      <c r="HR31" s="898"/>
      <c r="HS31" s="907">
        <f t="shared" si="47"/>
        <v>0</v>
      </c>
      <c r="HT31" s="915">
        <f t="shared" si="48"/>
        <v>1553965</v>
      </c>
      <c r="HU31" s="898">
        <f t="shared" ca="1" si="49"/>
        <v>1553965</v>
      </c>
      <c r="HV31" s="898"/>
      <c r="HW31" s="898"/>
      <c r="HX31" s="898">
        <f t="shared" si="50"/>
        <v>225000</v>
      </c>
      <c r="HY31" s="908">
        <f t="shared" si="51"/>
        <v>0</v>
      </c>
      <c r="HZ31" s="908"/>
      <c r="IA31" s="29" t="e">
        <f>#REF!+HI31</f>
        <v>#REF!</v>
      </c>
      <c r="IB31" s="752"/>
      <c r="IC31" s="73"/>
      <c r="ID31" s="73"/>
      <c r="IE31" s="73"/>
      <c r="IF31" s="73"/>
    </row>
    <row r="32" spans="1:240" ht="29.25" customHeight="1">
      <c r="A32" s="65" t="s">
        <v>208</v>
      </c>
      <c r="B32" s="297"/>
      <c r="C32" s="18" t="s">
        <v>21</v>
      </c>
      <c r="D32" s="18" t="s">
        <v>92</v>
      </c>
      <c r="E32" s="18">
        <v>2014</v>
      </c>
      <c r="F32" s="18" t="s">
        <v>163</v>
      </c>
      <c r="G32" s="18"/>
      <c r="H32" s="832"/>
      <c r="I32" s="18" t="s">
        <v>193</v>
      </c>
      <c r="J32" s="40"/>
      <c r="K32" s="40"/>
      <c r="L32" s="160"/>
      <c r="M32" s="126"/>
      <c r="N32" s="80"/>
      <c r="O32" s="81"/>
      <c r="P32" s="166">
        <f>1032+357+882+400</f>
        <v>2671</v>
      </c>
      <c r="Q32" s="166">
        <f>R32</f>
        <v>637295</v>
      </c>
      <c r="R32" s="166">
        <v>637295</v>
      </c>
      <c r="S32" s="161">
        <f>Q32/AE32</f>
        <v>13559.468085106382</v>
      </c>
      <c r="T32" s="166">
        <f>Q32/P32</f>
        <v>238.5979034069637</v>
      </c>
      <c r="U32" s="167">
        <f>R32/P32</f>
        <v>238.5979034069637</v>
      </c>
      <c r="V32" s="167">
        <f>R32/AL32</f>
        <v>166.56952430737061</v>
      </c>
      <c r="W32" s="167">
        <f>R32/AE32</f>
        <v>13559.468085106382</v>
      </c>
      <c r="X32" s="161">
        <f>P32/AE32</f>
        <v>56.829787234042556</v>
      </c>
      <c r="Y32" s="168"/>
      <c r="Z32" s="735">
        <f t="shared" si="0"/>
        <v>175.96405840509172</v>
      </c>
      <c r="AA32" s="168" t="s">
        <v>152</v>
      </c>
      <c r="AB32" s="833">
        <v>512</v>
      </c>
      <c r="AC32" s="834"/>
      <c r="AD32" s="18" t="s">
        <v>10</v>
      </c>
      <c r="AE32" s="674">
        <f t="shared" si="1"/>
        <v>47</v>
      </c>
      <c r="AF32" s="674">
        <f t="shared" si="2"/>
        <v>47</v>
      </c>
      <c r="AG32" s="37"/>
      <c r="AH32" s="18">
        <v>47</v>
      </c>
      <c r="AI32" s="200"/>
      <c r="AJ32" s="200"/>
      <c r="AK32" s="209">
        <v>3318.5</v>
      </c>
      <c r="AL32" s="426">
        <v>3826</v>
      </c>
      <c r="AM32" s="875">
        <f t="shared" si="3"/>
        <v>70.606382978723403</v>
      </c>
      <c r="AN32" s="10">
        <f t="shared" si="4"/>
        <v>81.40425531914893</v>
      </c>
      <c r="AO32" s="43">
        <v>6.01</v>
      </c>
      <c r="AP32" s="43">
        <v>5.2</v>
      </c>
      <c r="AQ32" s="43">
        <v>423.17</v>
      </c>
      <c r="AR32" s="46"/>
      <c r="AS32" s="46"/>
      <c r="AT32" s="46"/>
      <c r="AU32" s="46"/>
      <c r="AV32" s="46"/>
      <c r="AW32" s="837"/>
      <c r="AX32" s="60">
        <v>0</v>
      </c>
      <c r="AY32" s="62">
        <f t="shared" si="71"/>
        <v>0</v>
      </c>
      <c r="AZ32" s="44">
        <v>4.5</v>
      </c>
      <c r="BA32" s="42" t="s">
        <v>439</v>
      </c>
      <c r="BB32" s="18" t="s">
        <v>100</v>
      </c>
      <c r="BC32" s="46">
        <v>7250000</v>
      </c>
      <c r="BD32" s="687">
        <f>BC32/AK32</f>
        <v>2184.7220129576617</v>
      </c>
      <c r="BE32" s="548">
        <f>BC32/AL32</f>
        <v>1894.929430214323</v>
      </c>
      <c r="BF32" s="552">
        <f>BC32/AE32</f>
        <v>154255.31914893616</v>
      </c>
      <c r="BG32" s="238">
        <v>41591</v>
      </c>
      <c r="BH32" s="238">
        <v>41771</v>
      </c>
      <c r="BI32" s="159">
        <v>41800</v>
      </c>
      <c r="BJ32" s="75"/>
      <c r="BK32" s="867"/>
      <c r="BL32" s="124">
        <v>41989</v>
      </c>
      <c r="BM32" s="157">
        <v>41990</v>
      </c>
      <c r="BN32" s="1007">
        <f t="shared" si="73"/>
        <v>3.3333333333333333E-2</v>
      </c>
      <c r="BO32" s="158"/>
      <c r="BP32" s="125">
        <v>42080</v>
      </c>
      <c r="BQ32" s="125" t="s">
        <v>107</v>
      </c>
      <c r="BR32" s="225">
        <v>42095</v>
      </c>
      <c r="BS32" s="224">
        <f t="shared" si="5"/>
        <v>42826</v>
      </c>
      <c r="BT32" s="605">
        <f>31116+82675</f>
        <v>113791</v>
      </c>
      <c r="BU32" s="224" t="str">
        <f t="shared" si="61"/>
        <v>non</v>
      </c>
      <c r="BV32" s="784">
        <f t="shared" si="59"/>
        <v>4.8</v>
      </c>
      <c r="BW32" s="605">
        <f t="shared" si="60"/>
        <v>98144.377355732388</v>
      </c>
      <c r="BX32" s="605">
        <f t="shared" si="8"/>
        <v>15646.622644267612</v>
      </c>
      <c r="BY32" s="706" t="s">
        <v>202</v>
      </c>
      <c r="BZ32" s="697" t="s">
        <v>241</v>
      </c>
      <c r="CA32" s="707"/>
      <c r="CB32" s="707"/>
      <c r="CC32" s="707"/>
      <c r="CD32" s="699"/>
      <c r="CE32" s="699"/>
      <c r="CF32" s="699"/>
      <c r="CG32" s="699"/>
      <c r="CH32" s="699"/>
      <c r="CI32" s="699"/>
      <c r="CJ32" s="699"/>
      <c r="CK32" s="699">
        <v>42276</v>
      </c>
      <c r="CL32" s="699"/>
      <c r="CM32" s="699"/>
      <c r="CN32" s="699"/>
      <c r="CO32" s="699"/>
      <c r="CP32" s="699"/>
      <c r="CQ32" s="95"/>
      <c r="CR32" s="95"/>
      <c r="CS32" s="95"/>
      <c r="CT32" s="475" t="str">
        <f t="shared" si="9"/>
        <v>0</v>
      </c>
      <c r="CU32" s="95"/>
      <c r="CV32" s="95"/>
      <c r="CW32" s="475" t="str">
        <f t="shared" si="10"/>
        <v>0</v>
      </c>
      <c r="CX32" s="95"/>
      <c r="CY32" s="95"/>
      <c r="CZ32" s="475" t="str">
        <f t="shared" si="11"/>
        <v>0</v>
      </c>
      <c r="DA32" s="95"/>
      <c r="DB32" s="95"/>
      <c r="DC32" s="475" t="str">
        <f t="shared" si="12"/>
        <v>0</v>
      </c>
      <c r="DD32" s="97"/>
      <c r="DE32" s="514"/>
      <c r="DF32" s="475" t="str">
        <f t="shared" si="13"/>
        <v>0</v>
      </c>
      <c r="DG32" s="440"/>
      <c r="DH32" s="178"/>
      <c r="DI32" s="95"/>
      <c r="DJ32" s="178"/>
      <c r="DK32" s="475" t="str">
        <f t="shared" si="14"/>
        <v>0</v>
      </c>
      <c r="DL32" s="95"/>
      <c r="DM32" s="329">
        <v>42037</v>
      </c>
      <c r="DN32" s="325">
        <v>2015</v>
      </c>
      <c r="DO32" s="434">
        <f t="shared" si="15"/>
        <v>7.9</v>
      </c>
      <c r="DP32" s="475" t="str">
        <f t="shared" si="16"/>
        <v>0</v>
      </c>
      <c r="DQ32" s="187">
        <v>18</v>
      </c>
      <c r="DR32" s="90">
        <f t="shared" si="17"/>
        <v>20</v>
      </c>
      <c r="DS32" s="95"/>
      <c r="DT32" s="178"/>
      <c r="DU32" s="475" t="str">
        <f t="shared" si="18"/>
        <v>0</v>
      </c>
      <c r="DV32" s="515"/>
      <c r="DW32" s="95"/>
      <c r="DX32" s="478" t="str">
        <f t="shared" si="19"/>
        <v>0</v>
      </c>
      <c r="DY32" s="97"/>
      <c r="DZ32" s="237"/>
      <c r="EA32" s="475" t="str">
        <f t="shared" si="20"/>
        <v>0</v>
      </c>
      <c r="EB32" s="95"/>
      <c r="EC32" s="95"/>
      <c r="ED32" s="475" t="str">
        <f t="shared" si="21"/>
        <v>0</v>
      </c>
      <c r="EE32" s="95"/>
      <c r="EF32" s="95"/>
      <c r="EG32" s="475" t="str">
        <f t="shared" si="22"/>
        <v>0</v>
      </c>
      <c r="EH32" s="95"/>
      <c r="EI32" s="95"/>
      <c r="EJ32" s="475" t="str">
        <f t="shared" si="23"/>
        <v>0</v>
      </c>
      <c r="EK32" s="95"/>
      <c r="EL32" s="95"/>
      <c r="EM32" s="475" t="str">
        <f t="shared" si="24"/>
        <v>0</v>
      </c>
      <c r="EN32" s="95"/>
      <c r="EO32" s="95"/>
      <c r="EP32" s="95"/>
      <c r="EQ32" s="517">
        <f t="shared" si="25"/>
        <v>42584</v>
      </c>
      <c r="ER32" s="329">
        <v>42674</v>
      </c>
      <c r="ES32" s="642">
        <f t="shared" si="26"/>
        <v>3</v>
      </c>
      <c r="ET32" s="929"/>
      <c r="EU32" s="846"/>
      <c r="EV32" s="186">
        <v>42657</v>
      </c>
      <c r="EW32" s="89">
        <v>42591</v>
      </c>
      <c r="EX32" s="89"/>
      <c r="EY32" s="441"/>
      <c r="EZ32" s="746">
        <f t="shared" si="27"/>
        <v>42615</v>
      </c>
      <c r="FA32" s="535">
        <v>42682</v>
      </c>
      <c r="FB32" s="325">
        <v>2016</v>
      </c>
      <c r="FC32" s="638">
        <f t="shared" si="28"/>
        <v>2.2333333333333334</v>
      </c>
      <c r="FD32" s="629">
        <f>245360.943389331/12</f>
        <v>20446.745282444248</v>
      </c>
      <c r="FE32" s="236">
        <f t="shared" si="29"/>
        <v>45664.39779745882</v>
      </c>
      <c r="FF32" s="237" t="s">
        <v>107</v>
      </c>
      <c r="FG32" s="498"/>
      <c r="FH32" s="624">
        <f t="shared" si="74"/>
        <v>0</v>
      </c>
      <c r="FI32" s="502"/>
      <c r="FJ32" s="502"/>
      <c r="FK32" s="502">
        <v>0</v>
      </c>
      <c r="FL32" s="664">
        <f>FK32/GN32</f>
        <v>0</v>
      </c>
      <c r="FM32" s="499"/>
      <c r="FN32" s="511"/>
      <c r="FO32" s="499"/>
      <c r="FP32" s="499"/>
      <c r="FQ32" s="92"/>
      <c r="FR32" s="295">
        <v>42727</v>
      </c>
      <c r="FS32" s="182"/>
      <c r="FT32" s="182" t="s">
        <v>429</v>
      </c>
      <c r="FU32" s="182" t="s">
        <v>107</v>
      </c>
      <c r="FV32" s="182"/>
      <c r="FW32" s="95">
        <f t="shared" si="75"/>
        <v>43039</v>
      </c>
      <c r="FX32" s="609">
        <v>27200</v>
      </c>
      <c r="FY32" s="186">
        <v>42710</v>
      </c>
      <c r="FZ32" s="186">
        <v>42779</v>
      </c>
      <c r="GA32" s="186"/>
      <c r="GB32" s="40"/>
      <c r="GC32" s="40"/>
      <c r="GD32" s="585"/>
      <c r="GE32" s="298" t="s">
        <v>136</v>
      </c>
      <c r="GF32" s="298"/>
      <c r="GG32" s="299" t="s">
        <v>455</v>
      </c>
      <c r="GH32" s="180">
        <v>42808</v>
      </c>
      <c r="GI32" s="180" t="s">
        <v>107</v>
      </c>
      <c r="GJ32" s="95" t="s">
        <v>107</v>
      </c>
      <c r="GK32" s="40"/>
      <c r="GL32" s="548"/>
      <c r="GM32" s="979">
        <f t="shared" si="33"/>
        <v>7893608.4299999997</v>
      </c>
      <c r="GN32" s="772">
        <f>GS32+GV32+HA32+HQ32+GZ32+HF32+HD32+HE32</f>
        <v>7893608.4299999997</v>
      </c>
      <c r="GO32" s="683">
        <f t="shared" si="35"/>
        <v>7893608.4299999997</v>
      </c>
      <c r="GP32" s="909">
        <f t="shared" si="36"/>
        <v>1118000</v>
      </c>
      <c r="GQ32" s="35">
        <f t="shared" si="37"/>
        <v>2063.1490930475693</v>
      </c>
      <c r="GR32" s="35">
        <f t="shared" si="38"/>
        <v>167949.1155319149</v>
      </c>
      <c r="GS32" s="855">
        <v>2234701</v>
      </c>
      <c r="GT32" s="577"/>
      <c r="GU32" s="19">
        <f t="shared" si="39"/>
        <v>47546.829787234041</v>
      </c>
      <c r="GV32" s="855">
        <f>GW32+GX32</f>
        <v>4540907.43</v>
      </c>
      <c r="GW32" s="857">
        <v>1362272</v>
      </c>
      <c r="GX32" s="857">
        <v>3178635.43</v>
      </c>
      <c r="GY32" s="567">
        <f t="shared" si="41"/>
        <v>96615.051702127646</v>
      </c>
      <c r="GZ32" s="855">
        <v>0</v>
      </c>
      <c r="HA32" s="855">
        <v>1118000</v>
      </c>
      <c r="HB32" s="57">
        <v>0</v>
      </c>
      <c r="HC32" s="28">
        <f t="shared" si="42"/>
        <v>0.1416335773321353</v>
      </c>
      <c r="HD32" s="862"/>
      <c r="HE32" s="862"/>
      <c r="HF32" s="855">
        <v>0</v>
      </c>
      <c r="HG32" s="64">
        <f t="shared" si="43"/>
        <v>23787.234042553191</v>
      </c>
      <c r="HH32" s="64">
        <f t="shared" si="44"/>
        <v>71334.063829787236</v>
      </c>
      <c r="HI32" s="858">
        <v>0</v>
      </c>
      <c r="HJ32" s="858">
        <v>0</v>
      </c>
      <c r="HK32" s="34" t="e">
        <f>(#REF!+#REF!+HJ32)/AE32</f>
        <v>#REF!</v>
      </c>
      <c r="HL32" s="858">
        <v>0</v>
      </c>
      <c r="HM32" s="34">
        <f t="shared" si="45"/>
        <v>71334.063829787236</v>
      </c>
      <c r="HN32" s="36">
        <f t="shared" si="46"/>
        <v>0.42473616847497969</v>
      </c>
      <c r="HO32" s="858">
        <v>0</v>
      </c>
      <c r="HP32" s="858"/>
      <c r="HQ32" s="855">
        <v>0</v>
      </c>
      <c r="HR32" s="899"/>
      <c r="HS32" s="907">
        <f t="shared" si="47"/>
        <v>0</v>
      </c>
      <c r="HT32" s="915">
        <f t="shared" si="48"/>
        <v>7893608.4299999997</v>
      </c>
      <c r="HU32" s="898">
        <f t="shared" ca="1" si="49"/>
        <v>7893608.4299999997</v>
      </c>
      <c r="HV32" s="898"/>
      <c r="HW32" s="899"/>
      <c r="HX32" s="898">
        <f t="shared" si="50"/>
        <v>1118000</v>
      </c>
      <c r="HY32" s="908">
        <f t="shared" si="51"/>
        <v>0</v>
      </c>
      <c r="HZ32" s="908"/>
      <c r="IA32" s="29">
        <f>GN32+HI32</f>
        <v>7893608.4299999997</v>
      </c>
      <c r="IB32" s="752"/>
      <c r="IC32" s="73"/>
      <c r="ID32" s="73"/>
      <c r="IE32" s="73"/>
      <c r="IF32" s="73"/>
    </row>
    <row r="33" spans="1:240" ht="20.100000000000001" customHeight="1">
      <c r="A33" s="20" t="s">
        <v>266</v>
      </c>
      <c r="B33" s="297"/>
      <c r="C33" s="8" t="s">
        <v>33</v>
      </c>
      <c r="D33" s="8" t="s">
        <v>93</v>
      </c>
      <c r="E33" s="8">
        <v>2013</v>
      </c>
      <c r="F33" s="8" t="s">
        <v>34</v>
      </c>
      <c r="G33" s="8" t="s">
        <v>119</v>
      </c>
      <c r="H33" s="671"/>
      <c r="I33" s="8" t="s">
        <v>140</v>
      </c>
      <c r="J33" s="39"/>
      <c r="K33" s="39"/>
      <c r="L33" s="199"/>
      <c r="M33" s="126" t="s">
        <v>46</v>
      </c>
      <c r="N33" s="80"/>
      <c r="O33" s="81"/>
      <c r="P33" s="161">
        <v>20161</v>
      </c>
      <c r="Q33" s="161">
        <v>1550000</v>
      </c>
      <c r="R33" s="161">
        <v>1105335</v>
      </c>
      <c r="S33" s="161">
        <f>Q33/(110)</f>
        <v>14090.90909090909</v>
      </c>
      <c r="T33" s="161">
        <f>Q33/P33</f>
        <v>76.88110708794207</v>
      </c>
      <c r="U33" s="161">
        <f>R33/P33</f>
        <v>54.825405485838999</v>
      </c>
      <c r="V33" s="161">
        <f>R33/(AL33+AL159)</f>
        <v>392.66733926833251</v>
      </c>
      <c r="W33" s="161">
        <f>R33/(110)</f>
        <v>10048.5</v>
      </c>
      <c r="X33" s="161">
        <f>P33/(AE33+AE161)</f>
        <v>746.7037037037037</v>
      </c>
      <c r="Y33" s="162"/>
      <c r="Z33" s="733">
        <f t="shared" si="0"/>
        <v>13.392192847577006</v>
      </c>
      <c r="AA33" s="162" t="s">
        <v>160</v>
      </c>
      <c r="AB33" s="164">
        <v>460</v>
      </c>
      <c r="AC33" s="165"/>
      <c r="AD33" s="8" t="s">
        <v>9</v>
      </c>
      <c r="AE33" s="674">
        <f t="shared" si="1"/>
        <v>27</v>
      </c>
      <c r="AF33" s="674">
        <f t="shared" si="2"/>
        <v>27</v>
      </c>
      <c r="AG33" s="8">
        <v>27</v>
      </c>
      <c r="AH33" s="9"/>
      <c r="AI33" s="50"/>
      <c r="AJ33" s="50"/>
      <c r="AK33" s="209">
        <v>2659.3199999999997</v>
      </c>
      <c r="AL33" s="426">
        <v>2814.94</v>
      </c>
      <c r="AM33" s="875">
        <f t="shared" si="3"/>
        <v>98.493333333333325</v>
      </c>
      <c r="AN33" s="10">
        <f t="shared" si="4"/>
        <v>104.25703703703704</v>
      </c>
      <c r="AO33" s="43">
        <v>6.39</v>
      </c>
      <c r="AP33" s="43">
        <v>6.03</v>
      </c>
      <c r="AQ33" s="43">
        <v>629.1</v>
      </c>
      <c r="AR33" s="61">
        <v>0</v>
      </c>
      <c r="AS33" s="61">
        <v>0</v>
      </c>
      <c r="AT33" s="61">
        <v>0</v>
      </c>
      <c r="AU33" s="61">
        <f>19/AG33</f>
        <v>0.70370370370370372</v>
      </c>
      <c r="AV33" s="61">
        <f>8/AG33</f>
        <v>0.29629629629629628</v>
      </c>
      <c r="AW33" s="10">
        <v>12480</v>
      </c>
      <c r="AX33" s="59"/>
      <c r="AY33" s="61">
        <f t="shared" si="71"/>
        <v>0</v>
      </c>
      <c r="AZ33" s="43">
        <v>3.5</v>
      </c>
      <c r="BA33" s="42" t="s">
        <v>439</v>
      </c>
      <c r="BB33" s="8" t="s">
        <v>100</v>
      </c>
      <c r="BC33" s="39"/>
      <c r="BD33" s="39"/>
      <c r="BE33" s="39"/>
      <c r="BF33" s="39"/>
      <c r="BG33" s="87">
        <v>41170</v>
      </c>
      <c r="BH33" s="87">
        <v>41348</v>
      </c>
      <c r="BI33" s="159">
        <v>41493</v>
      </c>
      <c r="BJ33" s="75"/>
      <c r="BK33" s="867"/>
      <c r="BL33" s="124">
        <v>42163</v>
      </c>
      <c r="BM33" s="157">
        <v>42171</v>
      </c>
      <c r="BN33" s="1007">
        <f t="shared" si="73"/>
        <v>0.26666666666666666</v>
      </c>
      <c r="BO33" s="158"/>
      <c r="BP33" s="125">
        <v>42263</v>
      </c>
      <c r="BQ33" s="125">
        <v>42192</v>
      </c>
      <c r="BR33" s="225">
        <v>42278</v>
      </c>
      <c r="BS33" s="224">
        <f t="shared" si="5"/>
        <v>43009</v>
      </c>
      <c r="BT33" s="605"/>
      <c r="BU33" s="224" t="str">
        <f t="shared" si="61"/>
        <v>oui</v>
      </c>
      <c r="BV33" s="784">
        <f t="shared" si="59"/>
        <v>-1.9666666666666666</v>
      </c>
      <c r="BW33" s="605" t="str">
        <f t="shared" si="60"/>
        <v>0</v>
      </c>
      <c r="BX33" s="605">
        <f t="shared" si="8"/>
        <v>0</v>
      </c>
      <c r="BY33" s="702" t="s">
        <v>107</v>
      </c>
      <c r="BZ33" s="705" t="s">
        <v>251</v>
      </c>
      <c r="CA33" s="703"/>
      <c r="CB33" s="703"/>
      <c r="CC33" s="703"/>
      <c r="CD33" s="703"/>
      <c r="CE33" s="703"/>
      <c r="CF33" s="703"/>
      <c r="CG33" s="703"/>
      <c r="CH33" s="703"/>
      <c r="CI33" s="703"/>
      <c r="CJ33" s="703"/>
      <c r="CK33" s="699" t="s">
        <v>136</v>
      </c>
      <c r="CL33" s="699" t="s">
        <v>136</v>
      </c>
      <c r="CM33" s="699"/>
      <c r="CN33" s="699"/>
      <c r="CO33" s="699"/>
      <c r="CP33" s="699"/>
      <c r="CQ33" s="95"/>
      <c r="CR33" s="88"/>
      <c r="CS33" s="88"/>
      <c r="CT33" s="475" t="str">
        <f t="shared" si="9"/>
        <v>0</v>
      </c>
      <c r="CU33" s="95"/>
      <c r="CV33" s="95"/>
      <c r="CW33" s="475" t="str">
        <f t="shared" si="10"/>
        <v>0</v>
      </c>
      <c r="CX33" s="97"/>
      <c r="CY33" s="95"/>
      <c r="CZ33" s="475" t="str">
        <f t="shared" si="11"/>
        <v>0</v>
      </c>
      <c r="DA33" s="97"/>
      <c r="DB33" s="95"/>
      <c r="DC33" s="475" t="str">
        <f t="shared" si="12"/>
        <v>0</v>
      </c>
      <c r="DD33" s="97"/>
      <c r="DE33" s="514"/>
      <c r="DF33" s="475" t="str">
        <f t="shared" si="13"/>
        <v>0</v>
      </c>
      <c r="DG33" s="440"/>
      <c r="DH33" s="178"/>
      <c r="DI33" s="95"/>
      <c r="DJ33" s="178"/>
      <c r="DK33" s="475" t="str">
        <f t="shared" si="14"/>
        <v>0</v>
      </c>
      <c r="DL33" s="95"/>
      <c r="DM33" s="329">
        <v>42139</v>
      </c>
      <c r="DN33" s="325">
        <v>2015</v>
      </c>
      <c r="DO33" s="434">
        <f t="shared" si="15"/>
        <v>21.533333333333335</v>
      </c>
      <c r="DP33" s="475" t="str">
        <f t="shared" si="16"/>
        <v>0</v>
      </c>
      <c r="DQ33" s="187">
        <v>24</v>
      </c>
      <c r="DR33" s="90">
        <f t="shared" si="17"/>
        <v>30</v>
      </c>
      <c r="DS33" s="95"/>
      <c r="DT33" s="178"/>
      <c r="DU33" s="475" t="str">
        <f t="shared" si="18"/>
        <v>0</v>
      </c>
      <c r="DV33" s="515"/>
      <c r="DW33" s="512"/>
      <c r="DX33" s="478" t="str">
        <f t="shared" si="19"/>
        <v>0</v>
      </c>
      <c r="DY33" s="97"/>
      <c r="DZ33" s="237"/>
      <c r="EA33" s="475" t="str">
        <f t="shared" si="20"/>
        <v>0</v>
      </c>
      <c r="EB33" s="178"/>
      <c r="EC33" s="95"/>
      <c r="ED33" s="475" t="str">
        <f t="shared" si="21"/>
        <v>0</v>
      </c>
      <c r="EE33" s="88"/>
      <c r="EF33" s="88"/>
      <c r="EG33" s="475" t="str">
        <f t="shared" si="22"/>
        <v>0</v>
      </c>
      <c r="EH33" s="88"/>
      <c r="EI33" s="88"/>
      <c r="EJ33" s="475" t="str">
        <f t="shared" si="23"/>
        <v>0</v>
      </c>
      <c r="EK33" s="87"/>
      <c r="EL33" s="88"/>
      <c r="EM33" s="475" t="str">
        <f t="shared" si="24"/>
        <v>0</v>
      </c>
      <c r="EN33" s="88"/>
      <c r="EO33" s="88"/>
      <c r="EP33" s="88"/>
      <c r="EQ33" s="441">
        <f t="shared" si="25"/>
        <v>42870</v>
      </c>
      <c r="ER33" s="331">
        <v>43059</v>
      </c>
      <c r="ES33" s="642">
        <f t="shared" si="26"/>
        <v>6.3</v>
      </c>
      <c r="ET33" s="929"/>
      <c r="EU33" s="564"/>
      <c r="EV33" s="237">
        <v>43075</v>
      </c>
      <c r="EW33" s="89">
        <v>42712</v>
      </c>
      <c r="EX33" s="144">
        <v>43066</v>
      </c>
      <c r="EY33" s="655"/>
      <c r="EZ33" s="746">
        <f t="shared" si="27"/>
        <v>42901</v>
      </c>
      <c r="FA33" s="535">
        <v>43068</v>
      </c>
      <c r="FB33" s="325">
        <v>2017</v>
      </c>
      <c r="FC33" s="638">
        <f t="shared" si="28"/>
        <v>5.5666666666666664</v>
      </c>
      <c r="FD33" s="629">
        <f>209989.369681134/12</f>
        <v>17499.114140094502</v>
      </c>
      <c r="FE33" s="236">
        <f t="shared" si="29"/>
        <v>97411.735379859383</v>
      </c>
      <c r="FF33" s="237">
        <v>42978</v>
      </c>
      <c r="FG33" s="882">
        <v>0</v>
      </c>
      <c r="FH33" s="498">
        <v>0</v>
      </c>
      <c r="FI33" s="502"/>
      <c r="FJ33" s="502"/>
      <c r="FK33" s="865">
        <f>698989*1.021</f>
        <v>713667.76899999997</v>
      </c>
      <c r="FL33" s="664">
        <f>FK33/(GN33+GN34)</f>
        <v>3.5947813466163943E-2</v>
      </c>
      <c r="FM33" s="884"/>
      <c r="FN33" s="886"/>
      <c r="FO33" s="499"/>
      <c r="FP33" s="884"/>
      <c r="FQ33" s="94"/>
      <c r="FR33" s="94">
        <v>43164</v>
      </c>
      <c r="FS33" s="94"/>
      <c r="FT33" s="94"/>
      <c r="FU33" s="94"/>
      <c r="FV33" s="376" t="s">
        <v>245</v>
      </c>
      <c r="FW33" s="212">
        <f t="shared" si="75"/>
        <v>43424</v>
      </c>
      <c r="FX33" s="610">
        <v>52707</v>
      </c>
      <c r="FY33" s="94"/>
      <c r="FZ33" s="94"/>
      <c r="GA33" s="94"/>
      <c r="GB33" s="94"/>
      <c r="GC33" s="94"/>
      <c r="GD33" s="94"/>
      <c r="GE33" s="39"/>
      <c r="GF33" s="39" t="s">
        <v>661</v>
      </c>
      <c r="GG33" s="143"/>
      <c r="GH33" s="590">
        <v>43160</v>
      </c>
      <c r="GI33" s="39"/>
      <c r="GJ33" s="39"/>
      <c r="GK33" s="39"/>
      <c r="GL33" s="548">
        <v>5545807</v>
      </c>
      <c r="GM33" s="979">
        <f t="shared" si="33"/>
        <v>5488129.9500000002</v>
      </c>
      <c r="GN33" s="772">
        <f t="shared" si="34"/>
        <v>5488129.9500000002</v>
      </c>
      <c r="GO33" s="683">
        <f t="shared" si="35"/>
        <v>5488129.9500000002</v>
      </c>
      <c r="GP33" s="909">
        <f t="shared" si="36"/>
        <v>1</v>
      </c>
      <c r="GQ33" s="35">
        <f t="shared" si="37"/>
        <v>1949.6436691368201</v>
      </c>
      <c r="GR33" s="35">
        <f t="shared" si="38"/>
        <v>203264.07222222222</v>
      </c>
      <c r="GS33" s="11">
        <v>1916369</v>
      </c>
      <c r="GT33" s="577"/>
      <c r="GU33" s="19">
        <f t="shared" si="39"/>
        <v>70976.629629629635</v>
      </c>
      <c r="GV33" s="11">
        <f>+GW33+GX33</f>
        <v>3571759.95</v>
      </c>
      <c r="GW33" s="12">
        <v>595108</v>
      </c>
      <c r="GX33" s="12">
        <v>2976651.95</v>
      </c>
      <c r="GY33" s="567">
        <f t="shared" si="41"/>
        <v>132287.40555555557</v>
      </c>
      <c r="GZ33" s="11"/>
      <c r="HA33" s="11">
        <v>1</v>
      </c>
      <c r="HB33" s="53"/>
      <c r="HC33" s="28">
        <f t="shared" si="42"/>
        <v>1.8221142886749611E-7</v>
      </c>
      <c r="HD33" s="53"/>
      <c r="HE33" s="53"/>
      <c r="HF33" s="11">
        <v>0</v>
      </c>
      <c r="HG33" s="35">
        <f t="shared" si="43"/>
        <v>3.7037037037037035E-2</v>
      </c>
      <c r="HH33" s="35">
        <f t="shared" si="44"/>
        <v>70976.666666666672</v>
      </c>
      <c r="HI33" s="27">
        <v>1015690.2065916295</v>
      </c>
      <c r="HJ33" s="27">
        <v>540000</v>
      </c>
      <c r="HK33" s="19">
        <f>(GS33+HA33+HJ33)/AE33</f>
        <v>90976.666666666672</v>
      </c>
      <c r="HL33" s="27">
        <v>0</v>
      </c>
      <c r="HM33" s="19">
        <f t="shared" si="45"/>
        <v>90976.666666666672</v>
      </c>
      <c r="HN33" s="36">
        <f t="shared" si="46"/>
        <v>0.39970846321114534</v>
      </c>
      <c r="HO33" s="27">
        <v>358416.12820000004</v>
      </c>
      <c r="HP33" s="27"/>
      <c r="HQ33" s="11">
        <v>0</v>
      </c>
      <c r="HR33" s="898"/>
      <c r="HS33" s="907">
        <f t="shared" si="47"/>
        <v>0</v>
      </c>
      <c r="HT33" s="915">
        <f t="shared" si="48"/>
        <v>5488129.9500000002</v>
      </c>
      <c r="HU33" s="898">
        <f t="shared" ca="1" si="49"/>
        <v>5488129.9500000002</v>
      </c>
      <c r="HV33" s="898"/>
      <c r="HW33" s="898"/>
      <c r="HX33" s="898">
        <f t="shared" si="50"/>
        <v>1</v>
      </c>
      <c r="HY33" s="908">
        <f t="shared" si="51"/>
        <v>0</v>
      </c>
      <c r="HZ33" s="908"/>
      <c r="IA33" s="29">
        <f>GN33+HI33</f>
        <v>6503820.1565916296</v>
      </c>
      <c r="IB33" s="752"/>
      <c r="IC33" s="73"/>
      <c r="ID33" s="73"/>
      <c r="IE33" s="73"/>
      <c r="IF33" s="73"/>
    </row>
    <row r="34" spans="1:240" ht="20.100000000000001" customHeight="1">
      <c r="A34" s="20" t="s">
        <v>265</v>
      </c>
      <c r="B34" s="297"/>
      <c r="C34" s="8" t="s">
        <v>33</v>
      </c>
      <c r="D34" s="8" t="s">
        <v>93</v>
      </c>
      <c r="E34" s="8">
        <v>2013</v>
      </c>
      <c r="F34" s="8" t="s">
        <v>34</v>
      </c>
      <c r="G34" s="8" t="s">
        <v>119</v>
      </c>
      <c r="H34" s="8" t="s">
        <v>145</v>
      </c>
      <c r="I34" s="8" t="s">
        <v>140</v>
      </c>
      <c r="J34" s="39"/>
      <c r="K34" s="39"/>
      <c r="L34" s="199"/>
      <c r="M34" s="126" t="s">
        <v>46</v>
      </c>
      <c r="N34" s="80"/>
      <c r="O34" s="81"/>
      <c r="P34" s="51"/>
      <c r="Q34" s="51"/>
      <c r="R34" s="51"/>
      <c r="S34" s="51"/>
      <c r="T34" s="51"/>
      <c r="U34" s="51"/>
      <c r="V34" s="51"/>
      <c r="W34" s="51"/>
      <c r="X34" s="51"/>
      <c r="Y34" s="50"/>
      <c r="Z34" s="50" t="e">
        <f t="shared" ref="Z34:Z35" si="76">10000*AE34/P34</f>
        <v>#DIV/0!</v>
      </c>
      <c r="AA34" s="50"/>
      <c r="AB34" s="9"/>
      <c r="AC34" s="155"/>
      <c r="AD34" s="8" t="s">
        <v>10</v>
      </c>
      <c r="AE34" s="674">
        <f t="shared" ref="AE34:AE35" si="77">SUM(AG34:AJ34)</f>
        <v>83</v>
      </c>
      <c r="AF34" s="674">
        <f t="shared" ref="AF34:AF35" si="78">AE34-AJ34</f>
        <v>83</v>
      </c>
      <c r="AG34" s="9"/>
      <c r="AH34" s="8">
        <v>83</v>
      </c>
      <c r="AI34" s="50"/>
      <c r="AJ34" s="50"/>
      <c r="AK34" s="692">
        <v>6330.16</v>
      </c>
      <c r="AL34" s="426">
        <v>7367.66</v>
      </c>
      <c r="AM34" s="875">
        <f t="shared" ref="AM34:AM35" si="79">AK34/AE34</f>
        <v>76.266987951807224</v>
      </c>
      <c r="AN34" s="10">
        <f t="shared" ref="AN34:AN35" si="80">AL34/AE34</f>
        <v>88.766987951807224</v>
      </c>
      <c r="AO34" s="43">
        <v>5.84</v>
      </c>
      <c r="AP34" s="43">
        <v>5.0199999999999996</v>
      </c>
      <c r="AQ34" s="43">
        <v>445.64</v>
      </c>
      <c r="AR34" s="61">
        <v>0</v>
      </c>
      <c r="AS34" s="61">
        <f>10/AH34</f>
        <v>0.12048192771084337</v>
      </c>
      <c r="AT34" s="61">
        <f>42/AH34</f>
        <v>0.50602409638554213</v>
      </c>
      <c r="AU34" s="61">
        <f>28/AH34</f>
        <v>0.33734939759036142</v>
      </c>
      <c r="AV34" s="61">
        <f>3/AH34</f>
        <v>3.614457831325301E-2</v>
      </c>
      <c r="AW34" s="10"/>
      <c r="AX34" s="59"/>
      <c r="AY34" s="61" t="e">
        <f t="shared" si="71"/>
        <v>#DIV/0!</v>
      </c>
      <c r="AZ34" s="43">
        <v>3.5</v>
      </c>
      <c r="BA34" s="42" t="s">
        <v>439</v>
      </c>
      <c r="BB34" s="8" t="s">
        <v>100</v>
      </c>
      <c r="BC34" s="39"/>
      <c r="BD34" s="39"/>
      <c r="BE34" s="39"/>
      <c r="BF34" s="39"/>
      <c r="BG34" s="87">
        <v>41170</v>
      </c>
      <c r="BH34" s="87">
        <v>41348</v>
      </c>
      <c r="BI34" s="159">
        <v>41463</v>
      </c>
      <c r="BJ34" s="75"/>
      <c r="BK34" s="867"/>
      <c r="BL34" s="124">
        <v>42163</v>
      </c>
      <c r="BM34" s="157">
        <v>42171</v>
      </c>
      <c r="BN34" s="1007">
        <f t="shared" si="73"/>
        <v>0.26666666666666666</v>
      </c>
      <c r="BO34" s="158"/>
      <c r="BP34" s="125">
        <v>42263</v>
      </c>
      <c r="BQ34" s="125">
        <v>42192</v>
      </c>
      <c r="BR34" s="225">
        <v>42278</v>
      </c>
      <c r="BS34" s="224">
        <f t="shared" si="5"/>
        <v>43009</v>
      </c>
      <c r="BT34" s="605"/>
      <c r="BU34" s="224" t="str">
        <f t="shared" si="61"/>
        <v>oui</v>
      </c>
      <c r="BV34" s="784">
        <f t="shared" si="59"/>
        <v>-1.9666666666666666</v>
      </c>
      <c r="BW34" s="605" t="str">
        <f t="shared" si="60"/>
        <v>0</v>
      </c>
      <c r="BX34" s="605">
        <f t="shared" ref="BX34:BX35" si="81">BT34-BW34</f>
        <v>0</v>
      </c>
      <c r="BY34" s="702" t="s">
        <v>107</v>
      </c>
      <c r="BZ34" s="705" t="s">
        <v>287</v>
      </c>
      <c r="CA34" s="703"/>
      <c r="CB34" s="703"/>
      <c r="CC34" s="703"/>
      <c r="CD34" s="699" t="s">
        <v>136</v>
      </c>
      <c r="CE34" s="699"/>
      <c r="CF34" s="699"/>
      <c r="CG34" s="699"/>
      <c r="CH34" s="699"/>
      <c r="CI34" s="699"/>
      <c r="CJ34" s="699"/>
      <c r="CK34" s="704">
        <v>42398</v>
      </c>
      <c r="CL34" s="699" t="s">
        <v>136</v>
      </c>
      <c r="CM34" s="699"/>
      <c r="CN34" s="699"/>
      <c r="CO34" s="699"/>
      <c r="CP34" s="699"/>
      <c r="CQ34" s="95"/>
      <c r="CR34" s="88"/>
      <c r="CS34" s="88"/>
      <c r="CT34" s="475" t="str">
        <f t="shared" si="9"/>
        <v>0</v>
      </c>
      <c r="CU34" s="95"/>
      <c r="CV34" s="95"/>
      <c r="CW34" s="475" t="str">
        <f t="shared" si="10"/>
        <v>0</v>
      </c>
      <c r="CX34" s="97"/>
      <c r="CY34" s="95"/>
      <c r="CZ34" s="475" t="str">
        <f t="shared" si="11"/>
        <v>0</v>
      </c>
      <c r="DA34" s="97"/>
      <c r="DB34" s="95"/>
      <c r="DC34" s="475" t="str">
        <f t="shared" si="12"/>
        <v>0</v>
      </c>
      <c r="DD34" s="97"/>
      <c r="DE34" s="514"/>
      <c r="DF34" s="475" t="str">
        <f t="shared" si="13"/>
        <v>0</v>
      </c>
      <c r="DG34" s="440"/>
      <c r="DH34" s="178"/>
      <c r="DI34" s="95"/>
      <c r="DJ34" s="178"/>
      <c r="DK34" s="475" t="str">
        <f t="shared" si="14"/>
        <v>0</v>
      </c>
      <c r="DL34" s="95"/>
      <c r="DM34" s="329">
        <v>42139</v>
      </c>
      <c r="DN34" s="325">
        <v>2015</v>
      </c>
      <c r="DO34" s="434">
        <f t="shared" ref="DO34:DO35" si="82">(DATEDIF(BI34,DM34,"d"))/30</f>
        <v>22.533333333333335</v>
      </c>
      <c r="DP34" s="475" t="str">
        <f t="shared" ref="DP34:DP35" si="83">IF(AND(DL34&gt;0,DM34&gt;0),DM34-DL34,"0")</f>
        <v>0</v>
      </c>
      <c r="DQ34" s="190">
        <v>24</v>
      </c>
      <c r="DR34" s="90">
        <f t="shared" ref="DR34:DR35" si="84">DATEDIF(DM34,ER34,"M")</f>
        <v>30</v>
      </c>
      <c r="DS34" s="95"/>
      <c r="DT34" s="178"/>
      <c r="DU34" s="475" t="str">
        <f t="shared" ref="DU34:DU35" si="85">IF(AND(DS34&gt;0,DT34&gt;0),DT34-DS34,"0")</f>
        <v>0</v>
      </c>
      <c r="DV34" s="515"/>
      <c r="DW34" s="512"/>
      <c r="DX34" s="478" t="str">
        <f t="shared" ref="DX34:DX35" si="86">IF(AND(DV34&gt;0,DW34&gt;0),DW34-DV34,"0")</f>
        <v>0</v>
      </c>
      <c r="DY34" s="97"/>
      <c r="DZ34" s="237"/>
      <c r="EA34" s="475" t="str">
        <f t="shared" ref="EA34:EA35" si="87">IF(AND(DY34&gt;0,DZ34&gt;0),DZ34-DY34,"0")</f>
        <v>0</v>
      </c>
      <c r="EB34" s="178"/>
      <c r="EC34" s="95"/>
      <c r="ED34" s="475" t="str">
        <f t="shared" ref="ED34:ED35" si="88">IF(AND(EB34&gt;0,EC34&gt;0),EC34-EB34,"0")</f>
        <v>0</v>
      </c>
      <c r="EE34" s="88"/>
      <c r="EF34" s="88"/>
      <c r="EG34" s="475" t="str">
        <f t="shared" ref="EG34:EG35" si="89">IF(AND(EE34&gt;0,EF34&gt;0),EF34-EE34,"0")</f>
        <v>0</v>
      </c>
      <c r="EH34" s="88"/>
      <c r="EI34" s="88"/>
      <c r="EJ34" s="475" t="str">
        <f t="shared" ref="EJ34:EJ35" si="90">IF(AND(EH34&gt;0,EI34&gt;0),EI34-EH34,"0")</f>
        <v>0</v>
      </c>
      <c r="EK34" s="88"/>
      <c r="EL34" s="88"/>
      <c r="EM34" s="475" t="str">
        <f t="shared" ref="EM34:EM35" si="91">IF(AND(EK34&gt;0,EL34&gt;0),EL34-EK34,"0")</f>
        <v>0</v>
      </c>
      <c r="EN34" s="88"/>
      <c r="EO34" s="88"/>
      <c r="EP34" s="88"/>
      <c r="EQ34" s="441">
        <f t="shared" ref="EQ34:EQ35" si="92">DATE(YEAR(DM34),MONTH(DM34)+DQ34,DAY(DM34))</f>
        <v>42870</v>
      </c>
      <c r="ER34" s="331">
        <v>43059</v>
      </c>
      <c r="ES34" s="642">
        <f t="shared" ref="ES34:ES35" si="93">(DATEDIF(EQ34,ER34,"d"))/30</f>
        <v>6.3</v>
      </c>
      <c r="ET34" s="929"/>
      <c r="EU34" s="564"/>
      <c r="EV34" s="237">
        <v>43075</v>
      </c>
      <c r="EW34" s="89">
        <v>42712</v>
      </c>
      <c r="EX34" s="144">
        <v>43066</v>
      </c>
      <c r="EY34" s="851"/>
      <c r="EZ34" s="746">
        <f t="shared" si="27"/>
        <v>42901</v>
      </c>
      <c r="FA34" s="535">
        <v>43068</v>
      </c>
      <c r="FB34" s="325">
        <v>2017</v>
      </c>
      <c r="FC34" s="638">
        <f t="shared" ref="FC34:FC35" si="94">(DATEDIF(EZ34,FA34,"d"))/30</f>
        <v>5.5666666666666664</v>
      </c>
      <c r="FD34" s="629">
        <f>457276.500186631/12</f>
        <v>38106.375015552585</v>
      </c>
      <c r="FE34" s="236">
        <f t="shared" ref="FE34:FE35" si="95">FD34*FC34</f>
        <v>212125.48758657606</v>
      </c>
      <c r="FF34" s="237">
        <v>42978</v>
      </c>
      <c r="FG34" s="498">
        <v>0</v>
      </c>
      <c r="FH34" s="88">
        <v>0</v>
      </c>
      <c r="FI34" s="178"/>
      <c r="FJ34" s="178"/>
      <c r="FK34" s="178"/>
      <c r="FL34" s="665"/>
      <c r="FM34" s="499"/>
      <c r="FN34" s="511"/>
      <c r="FO34" s="499"/>
      <c r="FP34" s="499"/>
      <c r="FQ34" s="94"/>
      <c r="FR34" s="94">
        <v>43164</v>
      </c>
      <c r="FS34" s="94"/>
      <c r="FT34" s="94"/>
      <c r="FU34" s="94"/>
      <c r="FV34" s="376" t="s">
        <v>245</v>
      </c>
      <c r="FW34" s="212">
        <f t="shared" si="75"/>
        <v>43424</v>
      </c>
      <c r="FX34" s="610">
        <v>137952</v>
      </c>
      <c r="FY34" s="94"/>
      <c r="FZ34" s="94"/>
      <c r="GA34" s="94"/>
      <c r="GB34" s="94"/>
      <c r="GC34" s="94"/>
      <c r="GD34" s="94"/>
      <c r="GE34" s="39"/>
      <c r="GF34" s="39"/>
      <c r="GG34" s="143"/>
      <c r="GH34" s="590">
        <v>43160</v>
      </c>
      <c r="GI34" s="39"/>
      <c r="GJ34" s="39"/>
      <c r="GK34" s="39"/>
      <c r="GL34" s="548">
        <v>14323815</v>
      </c>
      <c r="GM34" s="979">
        <f t="shared" si="33"/>
        <v>14364754</v>
      </c>
      <c r="GN34" s="772">
        <f t="shared" si="34"/>
        <v>14364754</v>
      </c>
      <c r="GO34" s="683">
        <f t="shared" ref="GO34:GO35" si="96">GN34</f>
        <v>14364754</v>
      </c>
      <c r="GP34" s="909">
        <f t="shared" si="36"/>
        <v>2075000</v>
      </c>
      <c r="GQ34" s="35">
        <f t="shared" ref="GQ34:GQ65" si="97">GN34/AL34</f>
        <v>1949.7037051112566</v>
      </c>
      <c r="GR34" s="35">
        <f t="shared" ref="GR34:GR67" si="98">GN34/AE34</f>
        <v>173069.32530120481</v>
      </c>
      <c r="GS34" s="11">
        <v>4422509</v>
      </c>
      <c r="GT34" s="577"/>
      <c r="GU34" s="19">
        <f t="shared" ref="GU34:GU43" si="99">GS34/AE34</f>
        <v>53283.240963855424</v>
      </c>
      <c r="GV34" s="11">
        <f>+GW34+GX34</f>
        <v>8282245</v>
      </c>
      <c r="GW34" s="12">
        <v>1278025</v>
      </c>
      <c r="GX34" s="12">
        <v>7004220</v>
      </c>
      <c r="GY34" s="567">
        <f t="shared" ref="GY34:GY43" si="100">GV34/AE34</f>
        <v>99786.084337349399</v>
      </c>
      <c r="GZ34" s="11"/>
      <c r="HA34" s="11">
        <v>1245000</v>
      </c>
      <c r="HB34" s="53">
        <v>415000</v>
      </c>
      <c r="HC34" s="28">
        <f t="shared" ref="HC34:HC65" si="101">HA34/GN34</f>
        <v>8.6670471349526768E-2</v>
      </c>
      <c r="HD34" s="53"/>
      <c r="HE34" s="53"/>
      <c r="HF34" s="11">
        <v>415000</v>
      </c>
      <c r="HG34" s="35">
        <f t="shared" ref="HG34:HG65" si="102">HA34/AE34</f>
        <v>15000</v>
      </c>
      <c r="HH34" s="35">
        <f t="shared" ref="HH34:HH65" si="103">(GS34+HA34)/AE34</f>
        <v>68283.240963855424</v>
      </c>
      <c r="HI34" s="27">
        <v>2467086.73961312</v>
      </c>
      <c r="HJ34" s="27">
        <v>1660000</v>
      </c>
      <c r="HK34" s="19">
        <f>(GS34+HA34+HJ34)/AE34</f>
        <v>88283.240963855424</v>
      </c>
      <c r="HL34" s="27">
        <v>0</v>
      </c>
      <c r="HM34" s="19">
        <f t="shared" ref="HM34:HM65" si="104">(GS34+HA34+HJ34+HL34)/AE34</f>
        <v>88283.240963855424</v>
      </c>
      <c r="HN34" s="36">
        <f t="shared" si="46"/>
        <v>0.45620980509805781</v>
      </c>
      <c r="HO34" s="27">
        <v>770132.02990000008</v>
      </c>
      <c r="HP34" s="27"/>
      <c r="HQ34" s="11">
        <v>0</v>
      </c>
      <c r="HR34" s="898"/>
      <c r="HS34" s="907">
        <f t="shared" ref="HS34:HS43" si="105">HR34/GN34</f>
        <v>0</v>
      </c>
      <c r="HT34" s="915">
        <f t="shared" ref="HT34:HT43" si="106">GN34-HR34</f>
        <v>14364754</v>
      </c>
      <c r="HU34" s="898">
        <f t="shared" ca="1" si="49"/>
        <v>14364754</v>
      </c>
      <c r="HV34" s="898"/>
      <c r="HW34" s="898"/>
      <c r="HX34" s="898">
        <f t="shared" si="50"/>
        <v>2075000</v>
      </c>
      <c r="HY34" s="908">
        <f t="shared" si="51"/>
        <v>0</v>
      </c>
      <c r="HZ34" s="908"/>
      <c r="IA34" s="29">
        <f>GN34+HI34</f>
        <v>16831840.73961312</v>
      </c>
      <c r="IB34" s="752"/>
      <c r="IC34" s="73"/>
      <c r="ID34" s="73"/>
      <c r="IE34" s="73"/>
      <c r="IF34" s="73"/>
    </row>
    <row r="35" spans="1:240" ht="20.100000000000001" customHeight="1">
      <c r="A35" s="20" t="s">
        <v>37</v>
      </c>
      <c r="B35" s="297"/>
      <c r="C35" s="8" t="s">
        <v>14</v>
      </c>
      <c r="D35" s="8" t="s">
        <v>92</v>
      </c>
      <c r="E35" s="8">
        <v>2013</v>
      </c>
      <c r="F35" s="8" t="s">
        <v>38</v>
      </c>
      <c r="G35" s="8" t="s">
        <v>16</v>
      </c>
      <c r="H35" s="671" t="s">
        <v>705</v>
      </c>
      <c r="I35" s="8" t="s">
        <v>193</v>
      </c>
      <c r="J35" s="39"/>
      <c r="K35" s="39"/>
      <c r="L35" s="199"/>
      <c r="M35" s="126" t="s">
        <v>51</v>
      </c>
      <c r="N35" s="80" t="s">
        <v>52</v>
      </c>
      <c r="O35" s="81"/>
      <c r="P35" s="161">
        <f>4015+535</f>
        <v>4550</v>
      </c>
      <c r="Q35" s="161">
        <v>298500</v>
      </c>
      <c r="R35" s="161">
        <v>122015</v>
      </c>
      <c r="S35" s="161">
        <f>Q35/15</f>
        <v>19900</v>
      </c>
      <c r="T35" s="161">
        <f t="shared" ref="T35" si="107">Q35/P35</f>
        <v>65.604395604395606</v>
      </c>
      <c r="U35" s="167">
        <f t="shared" ref="U35" si="108">R35/P35</f>
        <v>26.816483516483515</v>
      </c>
      <c r="V35" s="167">
        <f t="shared" ref="V35" si="109">R35/AL35</f>
        <v>103.36575117331121</v>
      </c>
      <c r="W35" s="167">
        <f t="shared" ref="W35" si="110">R35/AE35</f>
        <v>8134.333333333333</v>
      </c>
      <c r="X35" s="161">
        <f t="shared" ref="X35" si="111">P35/AE35</f>
        <v>303.33333333333331</v>
      </c>
      <c r="Y35" s="162"/>
      <c r="Z35" s="733">
        <f t="shared" si="76"/>
        <v>32.967032967032964</v>
      </c>
      <c r="AA35" s="162" t="s">
        <v>157</v>
      </c>
      <c r="AB35" s="164">
        <v>600</v>
      </c>
      <c r="AC35" s="165"/>
      <c r="AD35" s="8" t="s">
        <v>10</v>
      </c>
      <c r="AE35" s="674">
        <f t="shared" si="77"/>
        <v>15</v>
      </c>
      <c r="AF35" s="674">
        <f t="shared" si="78"/>
        <v>15</v>
      </c>
      <c r="AG35" s="9"/>
      <c r="AH35" s="8">
        <v>15</v>
      </c>
      <c r="AI35" s="50"/>
      <c r="AJ35" s="50"/>
      <c r="AK35" s="209">
        <v>1162.8599999999999</v>
      </c>
      <c r="AL35" s="426">
        <v>1180.4199999999998</v>
      </c>
      <c r="AM35" s="875">
        <f t="shared" si="79"/>
        <v>77.523999999999987</v>
      </c>
      <c r="AN35" s="10">
        <f t="shared" si="80"/>
        <v>78.694666666666663</v>
      </c>
      <c r="AO35" s="43">
        <v>5.27</v>
      </c>
      <c r="AP35" s="43">
        <v>5.19</v>
      </c>
      <c r="AQ35" s="43">
        <v>408.17</v>
      </c>
      <c r="AR35" s="45"/>
      <c r="AS35" s="61">
        <f>3/AE35</f>
        <v>0.2</v>
      </c>
      <c r="AT35" s="61">
        <f>6/AE35</f>
        <v>0.4</v>
      </c>
      <c r="AU35" s="61">
        <f>5/AE35</f>
        <v>0.33333333333333331</v>
      </c>
      <c r="AV35" s="61">
        <f>1/AE35</f>
        <v>6.6666666666666666E-2</v>
      </c>
      <c r="AW35" s="10"/>
      <c r="AX35" s="59"/>
      <c r="AY35" s="61">
        <f t="shared" si="71"/>
        <v>0</v>
      </c>
      <c r="AZ35" s="43">
        <v>1.5</v>
      </c>
      <c r="BA35" s="39" t="s">
        <v>438</v>
      </c>
      <c r="BB35" s="8" t="s">
        <v>101</v>
      </c>
      <c r="BC35" s="39"/>
      <c r="BD35" s="39"/>
      <c r="BE35" s="39"/>
      <c r="BF35" s="39"/>
      <c r="BG35" s="39"/>
      <c r="BH35" s="143">
        <v>40963</v>
      </c>
      <c r="BI35" s="159">
        <v>41596</v>
      </c>
      <c r="BJ35" s="148"/>
      <c r="BK35" s="873"/>
      <c r="BL35" s="124">
        <v>41550</v>
      </c>
      <c r="BM35" s="157">
        <v>41576</v>
      </c>
      <c r="BN35" s="1007">
        <f t="shared" si="73"/>
        <v>0.8666666666666667</v>
      </c>
      <c r="BO35" s="158"/>
      <c r="BP35" s="125">
        <f>DATE(YEAR(BL35),MONTH(BL35)+3,DAY(BL35))</f>
        <v>41642</v>
      </c>
      <c r="BQ35" s="125" t="s">
        <v>107</v>
      </c>
      <c r="BR35" s="225">
        <v>41671</v>
      </c>
      <c r="BS35" s="224">
        <f t="shared" si="5"/>
        <v>42401</v>
      </c>
      <c r="BT35" s="605"/>
      <c r="BU35" s="224" t="str">
        <f t="shared" si="61"/>
        <v>oui</v>
      </c>
      <c r="BV35" s="784">
        <f t="shared" si="59"/>
        <v>-13.766666666666667</v>
      </c>
      <c r="BW35" s="605" t="str">
        <f t="shared" si="60"/>
        <v>0</v>
      </c>
      <c r="BX35" s="605">
        <f t="shared" si="81"/>
        <v>0</v>
      </c>
      <c r="BY35" s="702"/>
      <c r="BZ35" s="817" t="s">
        <v>246</v>
      </c>
      <c r="CA35" s="704"/>
      <c r="CB35" s="704"/>
      <c r="CC35" s="704"/>
      <c r="CD35" s="704"/>
      <c r="CE35" s="704"/>
      <c r="CF35" s="704"/>
      <c r="CG35" s="704"/>
      <c r="CH35" s="704"/>
      <c r="CI35" s="704"/>
      <c r="CJ35" s="704"/>
      <c r="CK35" s="704"/>
      <c r="CL35" s="704"/>
      <c r="CM35" s="704"/>
      <c r="CN35" s="704"/>
      <c r="CO35" s="704"/>
      <c r="CP35" s="704"/>
      <c r="CQ35" s="95"/>
      <c r="CR35" s="95"/>
      <c r="CS35" s="95"/>
      <c r="CT35" s="475" t="str">
        <f t="shared" si="9"/>
        <v>0</v>
      </c>
      <c r="CU35" s="95"/>
      <c r="CV35" s="95"/>
      <c r="CW35" s="475" t="str">
        <f t="shared" si="10"/>
        <v>0</v>
      </c>
      <c r="CX35" s="95"/>
      <c r="CY35" s="95"/>
      <c r="CZ35" s="475" t="str">
        <f t="shared" si="11"/>
        <v>0</v>
      </c>
      <c r="DA35" s="95"/>
      <c r="DB35" s="95"/>
      <c r="DC35" s="475" t="str">
        <f t="shared" si="12"/>
        <v>0</v>
      </c>
      <c r="DD35" s="97"/>
      <c r="DE35" s="514"/>
      <c r="DF35" s="475" t="str">
        <f t="shared" si="13"/>
        <v>0</v>
      </c>
      <c r="DG35" s="440"/>
      <c r="DH35" s="178"/>
      <c r="DI35" s="95"/>
      <c r="DJ35" s="178"/>
      <c r="DK35" s="475" t="str">
        <f t="shared" si="14"/>
        <v>0</v>
      </c>
      <c r="DL35" s="95"/>
      <c r="DM35" s="329">
        <v>42341</v>
      </c>
      <c r="DN35" s="324">
        <v>2015</v>
      </c>
      <c r="DO35" s="435">
        <f t="shared" si="82"/>
        <v>24.833333333333332</v>
      </c>
      <c r="DP35" s="475" t="str">
        <f t="shared" si="83"/>
        <v>0</v>
      </c>
      <c r="DQ35" s="189">
        <v>13</v>
      </c>
      <c r="DR35" s="187">
        <f t="shared" si="84"/>
        <v>15</v>
      </c>
      <c r="DS35" s="95"/>
      <c r="DT35" s="178"/>
      <c r="DU35" s="475" t="str">
        <f t="shared" si="85"/>
        <v>0</v>
      </c>
      <c r="DV35" s="515"/>
      <c r="DW35" s="512"/>
      <c r="DX35" s="478" t="str">
        <f t="shared" si="86"/>
        <v>0</v>
      </c>
      <c r="DY35" s="97"/>
      <c r="DZ35" s="237"/>
      <c r="EA35" s="475" t="str">
        <f t="shared" si="87"/>
        <v>0</v>
      </c>
      <c r="EB35" s="178"/>
      <c r="EC35" s="95"/>
      <c r="ED35" s="475" t="str">
        <f t="shared" si="88"/>
        <v>0</v>
      </c>
      <c r="EE35" s="88"/>
      <c r="EF35" s="88"/>
      <c r="EG35" s="475" t="str">
        <f t="shared" si="89"/>
        <v>0</v>
      </c>
      <c r="EH35" s="88"/>
      <c r="EI35" s="88"/>
      <c r="EJ35" s="475" t="str">
        <f t="shared" si="90"/>
        <v>0</v>
      </c>
      <c r="EK35" s="95"/>
      <c r="EL35" s="95"/>
      <c r="EM35" s="475" t="str">
        <f t="shared" si="91"/>
        <v>0</v>
      </c>
      <c r="EN35" s="88"/>
      <c r="EO35" s="88"/>
      <c r="EP35" s="88"/>
      <c r="EQ35" s="709">
        <f t="shared" si="92"/>
        <v>42738</v>
      </c>
      <c r="ER35" s="529">
        <v>42814</v>
      </c>
      <c r="ES35" s="642">
        <f t="shared" si="93"/>
        <v>2.5333333333333332</v>
      </c>
      <c r="ET35" s="929"/>
      <c r="EU35" s="655"/>
      <c r="EV35" s="144">
        <v>42865</v>
      </c>
      <c r="EW35" s="144" t="s">
        <v>329</v>
      </c>
      <c r="EX35" s="144">
        <v>42804</v>
      </c>
      <c r="EY35" s="655"/>
      <c r="EZ35" s="746">
        <f t="shared" si="27"/>
        <v>42769</v>
      </c>
      <c r="FA35" s="535">
        <v>42814</v>
      </c>
      <c r="FB35" s="325">
        <v>2017</v>
      </c>
      <c r="FC35" s="638">
        <f t="shared" si="94"/>
        <v>1.5</v>
      </c>
      <c r="FD35" s="629">
        <f>56856.5334543356/12</f>
        <v>4738.044454527967</v>
      </c>
      <c r="FE35" s="236">
        <f t="shared" si="95"/>
        <v>7107.06668179195</v>
      </c>
      <c r="FF35" s="144" t="s">
        <v>107</v>
      </c>
      <c r="FG35" s="498"/>
      <c r="FH35" s="624">
        <f>HQ35</f>
        <v>0</v>
      </c>
      <c r="FI35" s="502"/>
      <c r="FJ35" s="502"/>
      <c r="FK35" s="774">
        <v>0</v>
      </c>
      <c r="FL35" s="664">
        <f t="shared" ref="FL35:FL66" si="112">FK35/GN35</f>
        <v>0</v>
      </c>
      <c r="FM35" s="499"/>
      <c r="FN35" s="511" t="s">
        <v>601</v>
      </c>
      <c r="FO35" s="499"/>
      <c r="FP35" s="499"/>
      <c r="FQ35" s="150" t="s">
        <v>107</v>
      </c>
      <c r="FR35" s="182" t="s">
        <v>107</v>
      </c>
      <c r="FS35" s="94"/>
      <c r="FT35" s="94"/>
      <c r="FU35" s="95">
        <v>43038</v>
      </c>
      <c r="FV35" s="238">
        <v>43223</v>
      </c>
      <c r="FW35" s="237">
        <f t="shared" si="75"/>
        <v>43179</v>
      </c>
      <c r="FX35" s="610">
        <v>13223</v>
      </c>
      <c r="FY35" s="238">
        <v>42977</v>
      </c>
      <c r="FZ35" s="88"/>
      <c r="GA35" s="88"/>
      <c r="GB35" s="88"/>
      <c r="GC35" s="238">
        <v>43125</v>
      </c>
      <c r="GD35" s="238">
        <v>43180</v>
      </c>
      <c r="GE35" s="39"/>
      <c r="GF35" s="39"/>
      <c r="GG35" s="39" t="s">
        <v>327</v>
      </c>
      <c r="GH35" s="420" t="s">
        <v>107</v>
      </c>
      <c r="GI35" s="41"/>
      <c r="GJ35" s="180" t="s">
        <v>107</v>
      </c>
      <c r="GK35" s="39"/>
      <c r="GL35" s="548">
        <v>2369120</v>
      </c>
      <c r="GM35" s="979">
        <f t="shared" si="33"/>
        <v>2951882</v>
      </c>
      <c r="GN35" s="772">
        <f t="shared" si="34"/>
        <v>2951882</v>
      </c>
      <c r="GO35" s="683">
        <f t="shared" si="96"/>
        <v>2951882</v>
      </c>
      <c r="GP35" s="909">
        <f t="shared" si="36"/>
        <v>393831</v>
      </c>
      <c r="GQ35" s="35">
        <f t="shared" si="97"/>
        <v>2500.7048338726895</v>
      </c>
      <c r="GR35" s="35">
        <f t="shared" si="98"/>
        <v>196792.13333333333</v>
      </c>
      <c r="GS35" s="11">
        <v>835967</v>
      </c>
      <c r="GT35" s="577"/>
      <c r="GU35" s="19">
        <f t="shared" si="99"/>
        <v>55731.133333333331</v>
      </c>
      <c r="GV35" s="11">
        <f>+GW35+GX35</f>
        <v>1314229</v>
      </c>
      <c r="GW35" s="12">
        <v>212380</v>
      </c>
      <c r="GX35" s="12">
        <v>1101849</v>
      </c>
      <c r="GY35" s="567">
        <f t="shared" si="100"/>
        <v>87615.266666666663</v>
      </c>
      <c r="GZ35" s="11">
        <v>407855</v>
      </c>
      <c r="HA35" s="11">
        <v>393831</v>
      </c>
      <c r="HB35" s="53"/>
      <c r="HC35" s="28">
        <f t="shared" si="101"/>
        <v>0.1334169184269561</v>
      </c>
      <c r="HD35" s="53"/>
      <c r="HE35" s="53"/>
      <c r="HF35" s="11">
        <v>0</v>
      </c>
      <c r="HG35" s="35">
        <f t="shared" si="102"/>
        <v>26255.4</v>
      </c>
      <c r="HH35" s="35">
        <f t="shared" si="103"/>
        <v>81986.53333333334</v>
      </c>
      <c r="HI35" s="27">
        <v>753806.75427749997</v>
      </c>
      <c r="HJ35" s="27">
        <v>300000</v>
      </c>
      <c r="HK35" s="19" t="e">
        <f>(#REF!+#REF!+HJ35)/AE35</f>
        <v>#REF!</v>
      </c>
      <c r="HL35" s="27">
        <v>162750</v>
      </c>
      <c r="HM35" s="19">
        <f t="shared" si="104"/>
        <v>112836.53333333334</v>
      </c>
      <c r="HN35" s="36">
        <f t="shared" si="46"/>
        <v>0.4726319970267101</v>
      </c>
      <c r="HO35" s="27">
        <v>124577</v>
      </c>
      <c r="HP35" s="773"/>
      <c r="HQ35" s="11">
        <v>0</v>
      </c>
      <c r="HR35" s="898"/>
      <c r="HS35" s="907">
        <f t="shared" si="105"/>
        <v>0</v>
      </c>
      <c r="HT35" s="915">
        <f t="shared" si="106"/>
        <v>2951882</v>
      </c>
      <c r="HU35" s="898">
        <f t="shared" ca="1" si="49"/>
        <v>2951882</v>
      </c>
      <c r="HV35" s="898"/>
      <c r="HW35" s="898"/>
      <c r="HX35" s="898">
        <f t="shared" si="50"/>
        <v>393831</v>
      </c>
      <c r="HY35" s="908">
        <f t="shared" si="51"/>
        <v>0</v>
      </c>
      <c r="HZ35" s="908"/>
      <c r="IA35" s="29" t="e">
        <f>#REF!+HI35</f>
        <v>#REF!</v>
      </c>
      <c r="IB35" s="752"/>
      <c r="IC35" s="73"/>
      <c r="ID35" s="73"/>
      <c r="IE35" s="73"/>
      <c r="IF35" s="73"/>
    </row>
    <row r="36" spans="1:240" ht="20.100000000000001" customHeight="1">
      <c r="A36" s="974" t="s">
        <v>187</v>
      </c>
      <c r="B36" s="297"/>
      <c r="C36" s="8" t="s">
        <v>21</v>
      </c>
      <c r="D36" s="8" t="s">
        <v>92</v>
      </c>
      <c r="E36" s="8">
        <v>2014</v>
      </c>
      <c r="F36" s="8" t="s">
        <v>256</v>
      </c>
      <c r="G36" s="8" t="s">
        <v>40</v>
      </c>
      <c r="H36" s="8" t="s">
        <v>704</v>
      </c>
      <c r="I36" s="8" t="s">
        <v>193</v>
      </c>
      <c r="J36" s="39"/>
      <c r="K36" s="39"/>
      <c r="L36" s="199"/>
      <c r="M36" s="126"/>
      <c r="N36" s="80"/>
      <c r="O36" s="81"/>
      <c r="P36" s="167">
        <v>3512</v>
      </c>
      <c r="Q36" s="167">
        <f>R36</f>
        <v>977347</v>
      </c>
      <c r="R36" s="167">
        <v>977347</v>
      </c>
      <c r="S36" s="161">
        <f t="shared" ref="S36:S43" si="113">Q36/AE36</f>
        <v>19546.939999999999</v>
      </c>
      <c r="T36" s="167">
        <f t="shared" ref="T36:T43" si="114">Q36/P36</f>
        <v>278.28787015945329</v>
      </c>
      <c r="U36" s="167">
        <f t="shared" ref="U36:U43" si="115">R36/P36</f>
        <v>278.28787015945329</v>
      </c>
      <c r="V36" s="167">
        <f t="shared" ref="V36:V43" si="116">R36/AL36</f>
        <v>217.55371245915362</v>
      </c>
      <c r="W36" s="167">
        <f t="shared" ref="W36:W43" si="117">R36/AE36</f>
        <v>19546.939999999999</v>
      </c>
      <c r="X36" s="161">
        <f t="shared" ref="X36:X43" si="118">P36/AE36</f>
        <v>70.239999999999995</v>
      </c>
      <c r="Y36" s="170"/>
      <c r="Z36" s="734">
        <f t="shared" ref="Z36:Z43" si="119">10000*AE36/P36</f>
        <v>142.36902050113895</v>
      </c>
      <c r="AA36" s="170" t="s">
        <v>158</v>
      </c>
      <c r="AB36" s="164"/>
      <c r="AC36" s="165"/>
      <c r="AD36" s="8" t="s">
        <v>10</v>
      </c>
      <c r="AE36" s="674">
        <f t="shared" ref="AE36:AE43" si="120">SUM(AG36:AJ36)</f>
        <v>50</v>
      </c>
      <c r="AF36" s="674">
        <f t="shared" ref="AF36:AF43" si="121">AE36-AJ36</f>
        <v>50</v>
      </c>
      <c r="AG36" s="9"/>
      <c r="AH36" s="8">
        <v>50</v>
      </c>
      <c r="AI36" s="50"/>
      <c r="AJ36" s="50"/>
      <c r="AK36" s="209">
        <v>3918.4</v>
      </c>
      <c r="AL36" s="426">
        <v>4492.4399999999996</v>
      </c>
      <c r="AM36" s="875">
        <f t="shared" ref="AM36:AM43" si="122">AK36/AE36</f>
        <v>78.367999999999995</v>
      </c>
      <c r="AN36" s="10">
        <f t="shared" ref="AN36:AN43" si="123">AL36/AE36</f>
        <v>89.848799999999997</v>
      </c>
      <c r="AO36" s="43">
        <v>5.81</v>
      </c>
      <c r="AP36" s="43">
        <v>5.0599999999999996</v>
      </c>
      <c r="AQ36" s="43">
        <v>454.97</v>
      </c>
      <c r="AR36" s="45"/>
      <c r="AS36" s="45"/>
      <c r="AT36" s="45"/>
      <c r="AU36" s="45"/>
      <c r="AV36" s="45"/>
      <c r="AW36" s="10"/>
      <c r="AX36" s="59">
        <v>0</v>
      </c>
      <c r="AY36" s="61">
        <f>AX36/P36</f>
        <v>0</v>
      </c>
      <c r="AZ36" s="43">
        <v>4</v>
      </c>
      <c r="BA36" s="42" t="s">
        <v>439</v>
      </c>
      <c r="BB36" s="8" t="s">
        <v>100</v>
      </c>
      <c r="BC36" s="45">
        <v>8177215</v>
      </c>
      <c r="BD36" s="687">
        <f>BC36/AK36</f>
        <v>2086.8760208248264</v>
      </c>
      <c r="BE36" s="689">
        <f>BC36/AL36</f>
        <v>1820.2168532022688</v>
      </c>
      <c r="BF36" s="552">
        <f>BC36/AE36</f>
        <v>163544.29999999999</v>
      </c>
      <c r="BG36" s="238">
        <v>41591</v>
      </c>
      <c r="BH36" s="88"/>
      <c r="BI36" s="159">
        <v>41848</v>
      </c>
      <c r="BJ36" s="75"/>
      <c r="BK36" s="867"/>
      <c r="BL36" s="124">
        <v>42228</v>
      </c>
      <c r="BM36" s="157">
        <v>42250</v>
      </c>
      <c r="BN36" s="1007">
        <f t="shared" si="73"/>
        <v>0.73333333333333328</v>
      </c>
      <c r="BO36" s="158"/>
      <c r="BP36" s="125">
        <v>42328</v>
      </c>
      <c r="BQ36" s="125">
        <v>42264</v>
      </c>
      <c r="BR36" s="225">
        <v>42339</v>
      </c>
      <c r="BS36" s="224">
        <f>DATE(YEAR(BR36),MONTH(BR36)+24,DAY(BR36))</f>
        <v>43070</v>
      </c>
      <c r="BT36" s="605"/>
      <c r="BU36" s="224" t="str">
        <f t="shared" ref="BU36:BU43" si="124">IF(FA36&gt;BS36,"oui","non")</f>
        <v>oui</v>
      </c>
      <c r="BV36" s="784">
        <f t="shared" ref="BV36:BV43" si="125">(BS36-FA36)/30</f>
        <v>-4.5666666666666664</v>
      </c>
      <c r="BW36" s="605" t="str">
        <f t="shared" ref="BW36:BW43" si="126">IF((BV36*FD36)&lt;0,"0",BV36*FD36)</f>
        <v>0</v>
      </c>
      <c r="BX36" s="605">
        <f t="shared" ref="BX36:BX43" si="127">BT36-BW36</f>
        <v>0</v>
      </c>
      <c r="BY36" s="702" t="s">
        <v>107</v>
      </c>
      <c r="BZ36" s="697" t="s">
        <v>286</v>
      </c>
      <c r="CA36" s="703"/>
      <c r="CB36" s="703"/>
      <c r="CC36" s="703"/>
      <c r="CD36" s="699">
        <v>42401</v>
      </c>
      <c r="CE36" s="699"/>
      <c r="CF36" s="699"/>
      <c r="CG36" s="699"/>
      <c r="CH36" s="699"/>
      <c r="CI36" s="699"/>
      <c r="CJ36" s="699"/>
      <c r="CK36" s="699">
        <v>42410</v>
      </c>
      <c r="CL36" s="699">
        <v>42360</v>
      </c>
      <c r="CM36" s="699"/>
      <c r="CN36" s="699"/>
      <c r="CO36" s="699"/>
      <c r="CP36" s="699"/>
      <c r="CQ36" s="95"/>
      <c r="CR36" s="95"/>
      <c r="CS36" s="95"/>
      <c r="CT36" s="475" t="str">
        <f t="shared" si="9"/>
        <v>0</v>
      </c>
      <c r="CU36" s="95">
        <v>41676</v>
      </c>
      <c r="CV36" s="95">
        <v>40946</v>
      </c>
      <c r="CW36" s="475">
        <f t="shared" si="10"/>
        <v>-730</v>
      </c>
      <c r="CX36" s="95"/>
      <c r="CY36" s="95"/>
      <c r="CZ36" s="475" t="str">
        <f t="shared" si="11"/>
        <v>0</v>
      </c>
      <c r="DA36" s="95"/>
      <c r="DB36" s="95"/>
      <c r="DC36" s="475" t="str">
        <f t="shared" si="12"/>
        <v>0</v>
      </c>
      <c r="DD36" s="95"/>
      <c r="DE36" s="95"/>
      <c r="DF36" s="475" t="str">
        <f t="shared" si="13"/>
        <v>0</v>
      </c>
      <c r="DG36" s="61"/>
      <c r="DH36" s="95"/>
      <c r="DI36" s="95"/>
      <c r="DJ36" s="95"/>
      <c r="DK36" s="475" t="str">
        <f t="shared" ref="DK36:DK43" si="128">IF(AND(DI36&gt;0,DJ36&gt;0),DJ36-DI36,"0")</f>
        <v>0</v>
      </c>
      <c r="DL36" s="95">
        <v>42349</v>
      </c>
      <c r="DM36" s="331">
        <v>42348</v>
      </c>
      <c r="DN36" s="325">
        <v>2015</v>
      </c>
      <c r="DO36" s="434">
        <f t="shared" ref="DO36:DO43" si="129">(DATEDIF(BI36,DM36,"d"))/30</f>
        <v>16.666666666666668</v>
      </c>
      <c r="DP36" s="475">
        <f t="shared" ref="DP36:DP43" si="130">IF(AND(DL36&gt;0,DM36&gt;0),DM36-DL36,"0")</f>
        <v>-1</v>
      </c>
      <c r="DQ36" s="189">
        <v>24</v>
      </c>
      <c r="DR36" s="90">
        <f t="shared" ref="DR36:DR43" si="131">DATEDIF(DM36,ER36,"M")</f>
        <v>27</v>
      </c>
      <c r="DS36" s="95"/>
      <c r="DT36" s="95"/>
      <c r="DU36" s="475" t="str">
        <f t="shared" ref="DU36:DU43" si="132">IF(AND(DS36&gt;0,DT36&gt;0),DT36-DS36,"0")</f>
        <v>0</v>
      </c>
      <c r="DV36" s="477"/>
      <c r="DW36" s="476">
        <v>42606</v>
      </c>
      <c r="DX36" s="478" t="str">
        <f t="shared" ref="DX36:DX43" si="133">IF(AND(DV36&gt;0,DW36&gt;0),DW36-DV36,"0")</f>
        <v>0</v>
      </c>
      <c r="DY36" s="477"/>
      <c r="DZ36" s="894"/>
      <c r="EA36" s="475" t="str">
        <f t="shared" ref="EA36:EA43" si="134">IF(AND(DY36&gt;0,DZ36&gt;0),DZ36-DY36,"0")</f>
        <v>0</v>
      </c>
      <c r="EB36" s="95"/>
      <c r="EC36" s="95">
        <v>42929</v>
      </c>
      <c r="ED36" s="475" t="str">
        <f t="shared" ref="ED36:ED43" si="135">IF(AND(EB36&gt;0,EC36&gt;0),EC36-EB36,"0")</f>
        <v>0</v>
      </c>
      <c r="EE36" s="95"/>
      <c r="EF36" s="95">
        <v>43034</v>
      </c>
      <c r="EG36" s="475" t="str">
        <f t="shared" ref="EG36:EG43" si="136">IF(AND(EE36&gt;0,EF36&gt;0),EF36-EE36,"0")</f>
        <v>0</v>
      </c>
      <c r="EH36" s="95"/>
      <c r="EI36" s="95"/>
      <c r="EJ36" s="475" t="str">
        <f t="shared" ref="EJ36:EJ43" si="137">IF(AND(EH36&gt;0,EI36&gt;0),EI36-EH36,"0")</f>
        <v>0</v>
      </c>
      <c r="EK36" s="95"/>
      <c r="EL36" s="95">
        <v>43052</v>
      </c>
      <c r="EM36" s="475" t="str">
        <f t="shared" ref="EM36:EM43" si="138">IF(AND(EK36&gt;0,EL36&gt;0),EL36-EK36,"0")</f>
        <v>0</v>
      </c>
      <c r="EN36" s="95"/>
      <c r="EO36" s="95"/>
      <c r="EP36" s="95"/>
      <c r="EQ36" s="534">
        <f t="shared" ref="EQ36:EQ43" si="139">DATE(YEAR(DM36),MONTH(DM36)+DQ36,DAY(DM36))</f>
        <v>43079</v>
      </c>
      <c r="ER36" s="331">
        <v>43189</v>
      </c>
      <c r="ES36" s="642">
        <f t="shared" ref="ES36:ES43" si="140">(DATEDIF(EQ36,ER36,"d"))/30</f>
        <v>3.6666666666666665</v>
      </c>
      <c r="ET36" s="929">
        <f ca="1">IF(((ER36-TODAY())/30)&lt;0,0,(ER36-TODAY())/30)</f>
        <v>0</v>
      </c>
      <c r="EU36" s="846"/>
      <c r="EV36" s="849">
        <v>43189</v>
      </c>
      <c r="EW36" s="237">
        <v>43017</v>
      </c>
      <c r="EX36" s="237">
        <v>43189</v>
      </c>
      <c r="EY36" s="555"/>
      <c r="EZ36" s="746">
        <f>DATE(YEAR(EQ36),MONTH(EQ36)+1,DAY(EQ36))</f>
        <v>43110</v>
      </c>
      <c r="FA36" s="430">
        <v>43207</v>
      </c>
      <c r="FB36" s="431">
        <v>2018</v>
      </c>
      <c r="FC36" s="640">
        <f t="shared" ref="FC36:FC43" si="141">(DATEDIF(EZ36,FA36,"d"))/30</f>
        <v>3.2333333333333334</v>
      </c>
      <c r="FD36" s="629">
        <f>279622.113674809/12</f>
        <v>23301.842806234083</v>
      </c>
      <c r="FE36" s="236">
        <f t="shared" ref="FE36:FE43" si="142">FD36*FC36</f>
        <v>75342.625073490199</v>
      </c>
      <c r="FF36" s="656" t="s">
        <v>539</v>
      </c>
      <c r="FG36" s="502">
        <v>119075</v>
      </c>
      <c r="FH36" s="624">
        <v>43453.51</v>
      </c>
      <c r="FI36" s="502"/>
      <c r="FJ36" s="502"/>
      <c r="FK36" s="663">
        <v>0</v>
      </c>
      <c r="FL36" s="664">
        <f t="shared" si="112"/>
        <v>0</v>
      </c>
      <c r="FM36" s="917" t="s">
        <v>577</v>
      </c>
      <c r="FN36" s="918"/>
      <c r="FO36" s="918" t="s">
        <v>683</v>
      </c>
      <c r="FP36" s="919" t="s">
        <v>578</v>
      </c>
      <c r="FQ36" s="94"/>
      <c r="FR36" s="95">
        <v>43262</v>
      </c>
      <c r="FS36" s="94"/>
      <c r="FT36" s="94"/>
      <c r="FU36" s="95">
        <v>43347</v>
      </c>
      <c r="FV36" s="88"/>
      <c r="FW36" s="212">
        <f>DATE(YEAR(ER36)+1,MONTH(ER36),DAY(ER36))</f>
        <v>43554</v>
      </c>
      <c r="FX36" s="614"/>
      <c r="FY36" s="88"/>
      <c r="FZ36" s="87">
        <v>43340</v>
      </c>
      <c r="GA36" s="87"/>
      <c r="GB36" s="88"/>
      <c r="GC36" s="87">
        <v>43574</v>
      </c>
      <c r="GD36" s="39"/>
      <c r="GE36" s="39"/>
      <c r="GF36" s="39"/>
      <c r="GG36" s="143"/>
      <c r="GH36" s="87">
        <v>43287</v>
      </c>
      <c r="GI36" s="39"/>
      <c r="GJ36" s="39"/>
      <c r="GK36" s="39"/>
      <c r="GL36" s="742"/>
      <c r="GM36" s="979">
        <f>GS36+GV36+HA36+HQ36+GZ36+HF36+HD36+HE36</f>
        <v>8813703.4249999989</v>
      </c>
      <c r="GN36" s="772">
        <f t="shared" si="34"/>
        <v>8813703.4249999989</v>
      </c>
      <c r="GO36" s="683">
        <f t="shared" ref="GO36:GO43" si="143">GN36</f>
        <v>8813703.4249999989</v>
      </c>
      <c r="GP36" s="909">
        <f>HA36+HB36+HF36+HE36+HJ36+HL36</f>
        <v>925000</v>
      </c>
      <c r="GQ36" s="35">
        <f t="shared" si="97"/>
        <v>1961.8967476471582</v>
      </c>
      <c r="GR36" s="35">
        <f t="shared" si="98"/>
        <v>176274.06849999996</v>
      </c>
      <c r="GS36" s="11">
        <v>2572426.04</v>
      </c>
      <c r="GT36" s="577"/>
      <c r="GU36" s="19">
        <f t="shared" si="99"/>
        <v>51448.520799999998</v>
      </c>
      <c r="GV36" s="11">
        <f>GW36+GX36</f>
        <v>5272823.875</v>
      </c>
      <c r="GW36" s="12">
        <v>1076863.6000000001</v>
      </c>
      <c r="GX36" s="12">
        <v>4195960.2750000004</v>
      </c>
      <c r="GY36" s="567">
        <f t="shared" si="100"/>
        <v>105456.47749999999</v>
      </c>
      <c r="GZ36" s="11"/>
      <c r="HA36" s="11">
        <v>925000</v>
      </c>
      <c r="HB36" s="53">
        <v>0</v>
      </c>
      <c r="HC36" s="28">
        <f t="shared" si="101"/>
        <v>0.10495020712589953</v>
      </c>
      <c r="HD36" s="68"/>
      <c r="HE36" s="68"/>
      <c r="HF36" s="11">
        <v>0</v>
      </c>
      <c r="HG36" s="35">
        <f t="shared" si="102"/>
        <v>18500</v>
      </c>
      <c r="HH36" s="35">
        <f t="shared" si="103"/>
        <v>69948.520799999998</v>
      </c>
      <c r="HI36" s="27"/>
      <c r="HJ36" s="27">
        <v>0</v>
      </c>
      <c r="HK36" s="19">
        <f>(GS36+HA36+HJ36)/AE36</f>
        <v>69948.520799999998</v>
      </c>
      <c r="HL36" s="27"/>
      <c r="HM36" s="19">
        <f t="shared" si="104"/>
        <v>69948.520799999998</v>
      </c>
      <c r="HN36" s="36">
        <f t="shared" si="46"/>
        <v>0.39681685114109683</v>
      </c>
      <c r="HO36" s="27"/>
      <c r="HP36" s="27"/>
      <c r="HQ36" s="11">
        <f>FH36</f>
        <v>43453.51</v>
      </c>
      <c r="HR36" s="909">
        <v>8618421.7041630428</v>
      </c>
      <c r="HS36" s="907">
        <f t="shared" si="105"/>
        <v>0.97784339778406415</v>
      </c>
      <c r="HT36" s="915">
        <f t="shared" si="106"/>
        <v>195281.72083695605</v>
      </c>
      <c r="HU36" s="898">
        <f t="shared" ca="1" si="49"/>
        <v>195281.72083695605</v>
      </c>
      <c r="HV36" s="907">
        <f ca="1">(HU36+HR36)/GN36</f>
        <v>1</v>
      </c>
      <c r="HW36" s="898">
        <f>'[3]GLOBAL OPERATION'!$AG$45</f>
        <v>740000</v>
      </c>
      <c r="HX36" s="898">
        <f t="shared" si="50"/>
        <v>185000</v>
      </c>
      <c r="HY36" s="908">
        <f t="shared" si="51"/>
        <v>0.8</v>
      </c>
      <c r="HZ36" s="908"/>
      <c r="IA36" s="29">
        <f>GN36+HI36</f>
        <v>8813703.4249999989</v>
      </c>
      <c r="IB36" s="752"/>
      <c r="IC36" s="73"/>
      <c r="ID36" s="73"/>
      <c r="IE36" s="73"/>
      <c r="IF36" s="73"/>
    </row>
    <row r="37" spans="1:240" ht="29.25" customHeight="1">
      <c r="A37" s="65" t="s">
        <v>215</v>
      </c>
      <c r="B37" s="297"/>
      <c r="C37" s="8" t="s">
        <v>25</v>
      </c>
      <c r="D37" s="8" t="s">
        <v>94</v>
      </c>
      <c r="E37" s="18">
        <v>2014</v>
      </c>
      <c r="F37" s="8" t="s">
        <v>133</v>
      </c>
      <c r="G37" s="18" t="s">
        <v>40</v>
      </c>
      <c r="H37" s="671" t="s">
        <v>147</v>
      </c>
      <c r="I37" s="18" t="s">
        <v>193</v>
      </c>
      <c r="J37" s="40" t="s">
        <v>100</v>
      </c>
      <c r="K37" s="39"/>
      <c r="L37" s="199"/>
      <c r="M37" s="126" t="s">
        <v>46</v>
      </c>
      <c r="N37" s="80" t="s">
        <v>114</v>
      </c>
      <c r="O37" s="81"/>
      <c r="P37" s="167">
        <v>1500</v>
      </c>
      <c r="Q37" s="167">
        <f>R37</f>
        <v>128915</v>
      </c>
      <c r="R37" s="167">
        <v>128915</v>
      </c>
      <c r="S37" s="161">
        <f t="shared" si="113"/>
        <v>8057.1875</v>
      </c>
      <c r="T37" s="167">
        <f t="shared" si="114"/>
        <v>85.943333333333328</v>
      </c>
      <c r="U37" s="167">
        <f t="shared" si="115"/>
        <v>85.943333333333328</v>
      </c>
      <c r="V37" s="167">
        <f t="shared" si="116"/>
        <v>91.134345662255399</v>
      </c>
      <c r="W37" s="167">
        <f t="shared" si="117"/>
        <v>8057.1875</v>
      </c>
      <c r="X37" s="161">
        <f t="shared" si="118"/>
        <v>93.75</v>
      </c>
      <c r="Y37" s="170"/>
      <c r="Z37" s="734">
        <f t="shared" si="119"/>
        <v>106.66666666666667</v>
      </c>
      <c r="AA37" s="170"/>
      <c r="AB37" s="833">
        <v>90</v>
      </c>
      <c r="AC37" s="834"/>
      <c r="AD37" s="8" t="s">
        <v>10</v>
      </c>
      <c r="AE37" s="674">
        <f t="shared" si="120"/>
        <v>16</v>
      </c>
      <c r="AF37" s="674">
        <f t="shared" si="121"/>
        <v>16</v>
      </c>
      <c r="AG37" s="9"/>
      <c r="AH37" s="8">
        <v>16</v>
      </c>
      <c r="AI37" s="50"/>
      <c r="AJ37" s="50"/>
      <c r="AK37" s="209">
        <v>1223.02</v>
      </c>
      <c r="AL37" s="426">
        <v>1414.56</v>
      </c>
      <c r="AM37" s="875">
        <f t="shared" si="122"/>
        <v>76.438749999999999</v>
      </c>
      <c r="AN37" s="10">
        <f t="shared" si="123"/>
        <v>88.41</v>
      </c>
      <c r="AO37" s="43">
        <v>5.88</v>
      </c>
      <c r="AP37" s="43">
        <v>5.08</v>
      </c>
      <c r="AQ37" s="43">
        <v>449.55</v>
      </c>
      <c r="AR37" s="62">
        <f>2/AE37</f>
        <v>0.125</v>
      </c>
      <c r="AS37" s="62">
        <f>2/AE37</f>
        <v>0.125</v>
      </c>
      <c r="AT37" s="62">
        <f>6/AE37</f>
        <v>0.375</v>
      </c>
      <c r="AU37" s="62">
        <f>5/AE37</f>
        <v>0.3125</v>
      </c>
      <c r="AV37" s="62">
        <f>1/AE37</f>
        <v>6.25E-2</v>
      </c>
      <c r="AW37" s="837"/>
      <c r="AX37" s="60">
        <v>0</v>
      </c>
      <c r="AY37" s="62">
        <f>AX37/P37</f>
        <v>0</v>
      </c>
      <c r="AZ37" s="44">
        <v>2.5</v>
      </c>
      <c r="BA37" s="42" t="s">
        <v>439</v>
      </c>
      <c r="BB37" s="18" t="s">
        <v>100</v>
      </c>
      <c r="BC37" s="40"/>
      <c r="BD37" s="40"/>
      <c r="BE37" s="40"/>
      <c r="BF37" s="40"/>
      <c r="BG37" s="238">
        <v>41667</v>
      </c>
      <c r="BH37" s="238">
        <v>41781</v>
      </c>
      <c r="BI37" s="159">
        <v>41929</v>
      </c>
      <c r="BJ37" s="75"/>
      <c r="BK37" s="867"/>
      <c r="BL37" s="124">
        <v>42017</v>
      </c>
      <c r="BM37" s="157">
        <v>42027</v>
      </c>
      <c r="BN37" s="1007">
        <f>(DATEDIF(BL37,BM37,"d"))/30</f>
        <v>0.33333333333333331</v>
      </c>
      <c r="BO37" s="951"/>
      <c r="BP37" s="127">
        <v>42116</v>
      </c>
      <c r="BQ37" s="127">
        <v>42074</v>
      </c>
      <c r="BR37" s="224">
        <v>42125</v>
      </c>
      <c r="BS37" s="224">
        <f>DATE(YEAR(BR37),MONTH(BR37)+24,DAY(BR37))</f>
        <v>42856</v>
      </c>
      <c r="BT37" s="605">
        <f>39763+6477</f>
        <v>46240</v>
      </c>
      <c r="BU37" s="224" t="str">
        <f t="shared" si="124"/>
        <v>oui</v>
      </c>
      <c r="BV37" s="784">
        <f t="shared" si="125"/>
        <v>-3.3666666666666667</v>
      </c>
      <c r="BW37" s="605" t="str">
        <f t="shared" si="126"/>
        <v>0</v>
      </c>
      <c r="BX37" s="605">
        <f t="shared" si="127"/>
        <v>46240</v>
      </c>
      <c r="BY37" s="706" t="s">
        <v>204</v>
      </c>
      <c r="BZ37" s="697" t="s">
        <v>218</v>
      </c>
      <c r="CA37" s="707"/>
      <c r="CB37" s="707"/>
      <c r="CC37" s="707"/>
      <c r="CD37" s="699"/>
      <c r="CE37" s="699"/>
      <c r="CF37" s="699"/>
      <c r="CG37" s="699"/>
      <c r="CH37" s="699"/>
      <c r="CI37" s="699"/>
      <c r="CJ37" s="699"/>
      <c r="CK37" s="699"/>
      <c r="CL37" s="699"/>
      <c r="CM37" s="699"/>
      <c r="CN37" s="699"/>
      <c r="CO37" s="699"/>
      <c r="CP37" s="699"/>
      <c r="CQ37" s="95"/>
      <c r="CR37" s="95"/>
      <c r="CS37" s="95"/>
      <c r="CT37" s="475" t="str">
        <f t="shared" si="9"/>
        <v>0</v>
      </c>
      <c r="CU37" s="95"/>
      <c r="CV37" s="95"/>
      <c r="CW37" s="475" t="str">
        <f t="shared" si="10"/>
        <v>0</v>
      </c>
      <c r="CX37" s="95"/>
      <c r="CY37" s="95"/>
      <c r="CZ37" s="475" t="str">
        <f t="shared" si="11"/>
        <v>0</v>
      </c>
      <c r="DA37" s="95"/>
      <c r="DB37" s="95"/>
      <c r="DC37" s="475" t="str">
        <f t="shared" si="12"/>
        <v>0</v>
      </c>
      <c r="DD37" s="97"/>
      <c r="DE37" s="514"/>
      <c r="DF37" s="475" t="str">
        <f t="shared" si="13"/>
        <v>0</v>
      </c>
      <c r="DG37" s="439"/>
      <c r="DH37" s="178"/>
      <c r="DI37" s="95"/>
      <c r="DJ37" s="178"/>
      <c r="DK37" s="475" t="str">
        <f t="shared" si="128"/>
        <v>0</v>
      </c>
      <c r="DL37" s="95"/>
      <c r="DM37" s="329">
        <v>42488</v>
      </c>
      <c r="DN37" s="325">
        <v>2016</v>
      </c>
      <c r="DO37" s="434">
        <f t="shared" si="129"/>
        <v>18.633333333333333</v>
      </c>
      <c r="DP37" s="475" t="str">
        <f t="shared" si="130"/>
        <v>0</v>
      </c>
      <c r="DQ37" s="90">
        <v>13</v>
      </c>
      <c r="DR37" s="90">
        <f t="shared" si="131"/>
        <v>14</v>
      </c>
      <c r="DS37" s="95"/>
      <c r="DT37" s="178"/>
      <c r="DU37" s="475" t="str">
        <f t="shared" si="132"/>
        <v>0</v>
      </c>
      <c r="DV37" s="95"/>
      <c r="DW37" s="512"/>
      <c r="DX37" s="478" t="str">
        <f t="shared" si="133"/>
        <v>0</v>
      </c>
      <c r="DY37" s="97"/>
      <c r="DZ37" s="237"/>
      <c r="EA37" s="475" t="str">
        <f t="shared" si="134"/>
        <v>0</v>
      </c>
      <c r="EB37" s="95"/>
      <c r="EC37" s="95"/>
      <c r="ED37" s="475" t="str">
        <f t="shared" si="135"/>
        <v>0</v>
      </c>
      <c r="EE37" s="95"/>
      <c r="EF37" s="95"/>
      <c r="EG37" s="475" t="str">
        <f t="shared" si="136"/>
        <v>0</v>
      </c>
      <c r="EH37" s="95"/>
      <c r="EI37" s="95"/>
      <c r="EJ37" s="475" t="str">
        <f t="shared" si="137"/>
        <v>0</v>
      </c>
      <c r="EK37" s="95"/>
      <c r="EL37" s="95"/>
      <c r="EM37" s="475" t="str">
        <f t="shared" si="138"/>
        <v>0</v>
      </c>
      <c r="EN37" s="95"/>
      <c r="EO37" s="95"/>
      <c r="EP37" s="95"/>
      <c r="EQ37" s="517">
        <f t="shared" si="139"/>
        <v>42883</v>
      </c>
      <c r="ER37" s="329">
        <v>42921</v>
      </c>
      <c r="ES37" s="642">
        <f t="shared" si="140"/>
        <v>1.2666666666666666</v>
      </c>
      <c r="ET37" s="929"/>
      <c r="EU37" s="441"/>
      <c r="EV37" s="89">
        <v>42928</v>
      </c>
      <c r="EW37" s="89">
        <v>42702</v>
      </c>
      <c r="EX37" s="89">
        <v>42942</v>
      </c>
      <c r="EY37" s="678"/>
      <c r="EZ37" s="746">
        <f>DATE(YEAR(EQ37),MONTH(EQ37)+1,DAY(EQ37))</f>
        <v>42914</v>
      </c>
      <c r="FA37" s="331">
        <v>42957</v>
      </c>
      <c r="FB37" s="325">
        <v>2017</v>
      </c>
      <c r="FC37" s="639">
        <f t="shared" si="141"/>
        <v>1.4333333333333333</v>
      </c>
      <c r="FD37" s="434">
        <f>88922.4268984531/12</f>
        <v>7410.2022415377578</v>
      </c>
      <c r="FE37" s="236">
        <f t="shared" si="142"/>
        <v>10621.289879537453</v>
      </c>
      <c r="FF37" s="378">
        <v>42901</v>
      </c>
      <c r="FG37" s="498">
        <v>0</v>
      </c>
      <c r="FH37" s="498">
        <v>0</v>
      </c>
      <c r="FI37" s="502"/>
      <c r="FJ37" s="502"/>
      <c r="FK37" s="502">
        <v>12993.96</v>
      </c>
      <c r="FL37" s="664">
        <f t="shared" si="112"/>
        <v>4.665640564888658E-3</v>
      </c>
      <c r="FM37" s="503"/>
      <c r="FN37" s="519" t="s">
        <v>613</v>
      </c>
      <c r="FO37" s="503"/>
      <c r="FP37" s="503"/>
      <c r="FQ37" s="182" t="s">
        <v>107</v>
      </c>
      <c r="FR37" s="182" t="s">
        <v>107</v>
      </c>
      <c r="FS37" s="156" t="s">
        <v>107</v>
      </c>
      <c r="FT37" s="95" t="s">
        <v>107</v>
      </c>
      <c r="FU37" s="237">
        <v>43146</v>
      </c>
      <c r="FV37" s="238">
        <v>43194</v>
      </c>
      <c r="FW37" s="212">
        <f>DATE(YEAR(ER37)+1,MONTH(ER37),DAY(ER37))</f>
        <v>43286</v>
      </c>
      <c r="FX37" s="609">
        <v>9694</v>
      </c>
      <c r="FY37" s="237">
        <v>43056</v>
      </c>
      <c r="FZ37" s="237">
        <v>43059</v>
      </c>
      <c r="GA37" s="237"/>
      <c r="GB37" s="237"/>
      <c r="GC37" s="237"/>
      <c r="GD37" s="238">
        <v>43180</v>
      </c>
      <c r="GE37" s="40"/>
      <c r="GF37" s="685">
        <v>43336</v>
      </c>
      <c r="GG37" s="40"/>
      <c r="GH37" s="180" t="s">
        <v>107</v>
      </c>
      <c r="GI37" s="180" t="s">
        <v>107</v>
      </c>
      <c r="GJ37" s="180" t="s">
        <v>107</v>
      </c>
      <c r="GK37" s="150" t="s">
        <v>107</v>
      </c>
      <c r="GL37" s="548">
        <v>2681224</v>
      </c>
      <c r="GM37" s="979">
        <f t="shared" ref="GM37:GM100" si="144">GS37+GV37+HA37+HQ37+GZ37+HF37+HD37+HE37</f>
        <v>2785032.37</v>
      </c>
      <c r="GN37" s="772">
        <f t="shared" si="34"/>
        <v>2785032.37</v>
      </c>
      <c r="GO37" s="683">
        <f t="shared" si="143"/>
        <v>2785032.37</v>
      </c>
      <c r="GP37" s="910">
        <f>HA37+HB37+HF37</f>
        <v>325055</v>
      </c>
      <c r="GQ37" s="35">
        <f t="shared" si="97"/>
        <v>1968.832972797195</v>
      </c>
      <c r="GR37" s="35">
        <f t="shared" si="98"/>
        <v>174064.52312500001</v>
      </c>
      <c r="GS37" s="855">
        <v>863024</v>
      </c>
      <c r="GT37" s="577"/>
      <c r="GU37" s="19">
        <f t="shared" si="99"/>
        <v>53939</v>
      </c>
      <c r="GV37" s="855">
        <f>GW37+GX37</f>
        <v>1596953.37</v>
      </c>
      <c r="GW37" s="857">
        <v>242605.3</v>
      </c>
      <c r="GX37" s="857">
        <v>1354348.07</v>
      </c>
      <c r="GY37" s="567">
        <f t="shared" si="100"/>
        <v>99809.585625000007</v>
      </c>
      <c r="GZ37" s="855"/>
      <c r="HA37" s="855">
        <f>144000*0+320000</f>
        <v>320000</v>
      </c>
      <c r="HB37" s="57">
        <v>0</v>
      </c>
      <c r="HC37" s="28">
        <f t="shared" si="101"/>
        <v>0.1148999212529799</v>
      </c>
      <c r="HD37" s="53"/>
      <c r="HE37" s="53"/>
      <c r="HF37" s="855">
        <v>5055</v>
      </c>
      <c r="HG37" s="64">
        <f t="shared" si="102"/>
        <v>20000</v>
      </c>
      <c r="HH37" s="64">
        <f t="shared" si="103"/>
        <v>73939</v>
      </c>
      <c r="HI37" s="27">
        <v>0</v>
      </c>
      <c r="HJ37" s="27">
        <v>0</v>
      </c>
      <c r="HK37" s="19" t="e">
        <f>(#REF!+#REF!+HJ37)/AE37</f>
        <v>#REF!</v>
      </c>
      <c r="HL37" s="27">
        <v>0</v>
      </c>
      <c r="HM37" s="19">
        <f t="shared" si="104"/>
        <v>73939</v>
      </c>
      <c r="HN37" s="36">
        <f t="shared" si="46"/>
        <v>0.42477926387620407</v>
      </c>
      <c r="HO37" s="27">
        <v>0</v>
      </c>
      <c r="HP37" s="27"/>
      <c r="HQ37" s="11">
        <v>0</v>
      </c>
      <c r="HR37" s="899"/>
      <c r="HS37" s="907">
        <f t="shared" si="105"/>
        <v>0</v>
      </c>
      <c r="HT37" s="915">
        <f t="shared" si="106"/>
        <v>2785032.37</v>
      </c>
      <c r="HU37" s="898">
        <f t="shared" ca="1" si="49"/>
        <v>2785032.37</v>
      </c>
      <c r="HV37" s="898"/>
      <c r="HW37" s="899"/>
      <c r="HX37" s="898">
        <f t="shared" si="50"/>
        <v>325055</v>
      </c>
      <c r="HY37" s="908">
        <f t="shared" si="51"/>
        <v>0</v>
      </c>
      <c r="HZ37" s="908"/>
      <c r="IA37" s="29">
        <f>GN37+HI37</f>
        <v>2785032.37</v>
      </c>
      <c r="IB37" s="752"/>
      <c r="IC37" s="73"/>
      <c r="ID37" s="73"/>
      <c r="IE37" s="73"/>
      <c r="IF37" s="73"/>
    </row>
    <row r="38" spans="1:240" ht="20.100000000000001" customHeight="1">
      <c r="A38" s="65" t="s">
        <v>217</v>
      </c>
      <c r="B38" s="297"/>
      <c r="C38" s="18" t="s">
        <v>25</v>
      </c>
      <c r="D38" s="18" t="s">
        <v>94</v>
      </c>
      <c r="E38" s="18">
        <v>2014</v>
      </c>
      <c r="F38" s="18" t="s">
        <v>132</v>
      </c>
      <c r="G38" s="18" t="s">
        <v>299</v>
      </c>
      <c r="H38" s="18" t="s">
        <v>147</v>
      </c>
      <c r="I38" s="8" t="s">
        <v>193</v>
      </c>
      <c r="J38" s="40" t="s">
        <v>100</v>
      </c>
      <c r="K38" s="40"/>
      <c r="L38" s="160"/>
      <c r="M38" s="126" t="s">
        <v>46</v>
      </c>
      <c r="N38" s="80" t="s">
        <v>114</v>
      </c>
      <c r="O38" s="81">
        <v>41407</v>
      </c>
      <c r="P38" s="166">
        <v>1750</v>
      </c>
      <c r="Q38" s="166">
        <v>325000</v>
      </c>
      <c r="R38" s="166">
        <v>85500</v>
      </c>
      <c r="S38" s="161">
        <f t="shared" si="113"/>
        <v>36111.111111111109</v>
      </c>
      <c r="T38" s="166">
        <f t="shared" si="114"/>
        <v>185.71428571428572</v>
      </c>
      <c r="U38" s="167">
        <f t="shared" si="115"/>
        <v>48.857142857142854</v>
      </c>
      <c r="V38" s="167">
        <f t="shared" si="116"/>
        <v>102.57640742629196</v>
      </c>
      <c r="W38" s="167">
        <f t="shared" si="117"/>
        <v>9500</v>
      </c>
      <c r="X38" s="161">
        <f t="shared" si="118"/>
        <v>194.44444444444446</v>
      </c>
      <c r="Y38" s="168"/>
      <c r="Z38" s="735">
        <f t="shared" si="119"/>
        <v>51.428571428571431</v>
      </c>
      <c r="AA38" s="168" t="s">
        <v>158</v>
      </c>
      <c r="AB38" s="833">
        <v>30</v>
      </c>
      <c r="AC38" s="834"/>
      <c r="AD38" s="18" t="s">
        <v>9</v>
      </c>
      <c r="AE38" s="674">
        <f t="shared" si="120"/>
        <v>9</v>
      </c>
      <c r="AF38" s="674">
        <f t="shared" si="121"/>
        <v>9</v>
      </c>
      <c r="AG38" s="18">
        <v>9</v>
      </c>
      <c r="AH38" s="37"/>
      <c r="AI38" s="50"/>
      <c r="AJ38" s="50"/>
      <c r="AK38" s="209">
        <v>809.20999999999992</v>
      </c>
      <c r="AL38" s="426">
        <v>833.52499999999986</v>
      </c>
      <c r="AM38" s="875">
        <f t="shared" si="122"/>
        <v>89.912222222222212</v>
      </c>
      <c r="AN38" s="10">
        <f t="shared" si="123"/>
        <v>92.61388888888888</v>
      </c>
      <c r="AO38" s="43">
        <v>6.47</v>
      </c>
      <c r="AP38" s="43">
        <v>6.28</v>
      </c>
      <c r="AQ38" s="43">
        <v>581.72</v>
      </c>
      <c r="AR38" s="46">
        <v>0</v>
      </c>
      <c r="AS38" s="46">
        <v>0</v>
      </c>
      <c r="AT38" s="46">
        <v>0</v>
      </c>
      <c r="AU38" s="62">
        <f>8/AE38</f>
        <v>0.88888888888888884</v>
      </c>
      <c r="AV38" s="62">
        <f>1/AE38</f>
        <v>0.1111111111111111</v>
      </c>
      <c r="AW38" s="837"/>
      <c r="AX38" s="60">
        <v>0</v>
      </c>
      <c r="AY38" s="62">
        <f>AX38/P38</f>
        <v>0</v>
      </c>
      <c r="AZ38" s="44">
        <v>2</v>
      </c>
      <c r="BA38" s="40" t="s">
        <v>438</v>
      </c>
      <c r="BB38" s="18" t="s">
        <v>101</v>
      </c>
      <c r="BC38" s="40"/>
      <c r="BD38" s="40"/>
      <c r="BE38" s="40"/>
      <c r="BF38" s="40"/>
      <c r="BG38" s="238">
        <v>41591</v>
      </c>
      <c r="BH38" s="238">
        <v>41773</v>
      </c>
      <c r="BI38" s="159">
        <v>41800</v>
      </c>
      <c r="BJ38" s="75"/>
      <c r="BK38" s="867"/>
      <c r="BL38" s="124">
        <v>42054</v>
      </c>
      <c r="BM38" s="157">
        <v>42059</v>
      </c>
      <c r="BN38" s="1007">
        <f t="shared" si="73"/>
        <v>0.16666666666666666</v>
      </c>
      <c r="BO38" s="158"/>
      <c r="BP38" s="125">
        <v>42147</v>
      </c>
      <c r="BQ38" s="125">
        <v>42074</v>
      </c>
      <c r="BR38" s="225">
        <v>42156</v>
      </c>
      <c r="BS38" s="224">
        <f>DATE(YEAR(BR38),MONTH(BR38)+24,DAY(BR38))</f>
        <v>42887</v>
      </c>
      <c r="BT38" s="605">
        <f>8170+32642</f>
        <v>40812</v>
      </c>
      <c r="BU38" s="224" t="str">
        <f t="shared" si="124"/>
        <v>oui</v>
      </c>
      <c r="BV38" s="784">
        <f t="shared" si="125"/>
        <v>-10.933333333333334</v>
      </c>
      <c r="BW38" s="605" t="str">
        <f t="shared" si="126"/>
        <v>0</v>
      </c>
      <c r="BX38" s="605">
        <f t="shared" si="127"/>
        <v>40812</v>
      </c>
      <c r="BY38" s="706" t="s">
        <v>107</v>
      </c>
      <c r="BZ38" s="697" t="s">
        <v>218</v>
      </c>
      <c r="CA38" s="707"/>
      <c r="CB38" s="707"/>
      <c r="CC38" s="707"/>
      <c r="CD38" s="699"/>
      <c r="CE38" s="699"/>
      <c r="CF38" s="699"/>
      <c r="CG38" s="699"/>
      <c r="CH38" s="699"/>
      <c r="CI38" s="699"/>
      <c r="CJ38" s="699"/>
      <c r="CK38" s="699"/>
      <c r="CL38" s="699"/>
      <c r="CM38" s="699"/>
      <c r="CN38" s="699"/>
      <c r="CO38" s="699"/>
      <c r="CP38" s="699"/>
      <c r="CQ38" s="95">
        <v>41548</v>
      </c>
      <c r="CR38" s="95">
        <v>41549</v>
      </c>
      <c r="CS38" s="95">
        <v>41555</v>
      </c>
      <c r="CT38" s="475">
        <f t="shared" si="9"/>
        <v>6</v>
      </c>
      <c r="CU38" s="95">
        <v>41676</v>
      </c>
      <c r="CV38" s="95">
        <v>41676</v>
      </c>
      <c r="CW38" s="475">
        <f t="shared" si="10"/>
        <v>0</v>
      </c>
      <c r="CX38" s="95">
        <v>41684</v>
      </c>
      <c r="CY38" s="95">
        <v>41688</v>
      </c>
      <c r="CZ38" s="475">
        <f t="shared" si="11"/>
        <v>4</v>
      </c>
      <c r="DA38" s="95">
        <v>41773</v>
      </c>
      <c r="DB38" s="95">
        <v>41801</v>
      </c>
      <c r="DC38" s="475">
        <f t="shared" si="12"/>
        <v>28</v>
      </c>
      <c r="DD38" s="95">
        <v>41946</v>
      </c>
      <c r="DE38" s="95">
        <v>41946</v>
      </c>
      <c r="DF38" s="475">
        <f t="shared" si="13"/>
        <v>0</v>
      </c>
      <c r="DG38" s="439"/>
      <c r="DH38" s="95">
        <v>42146</v>
      </c>
      <c r="DI38" s="95">
        <v>42158</v>
      </c>
      <c r="DJ38" s="95">
        <v>42500</v>
      </c>
      <c r="DK38" s="475">
        <f t="shared" si="128"/>
        <v>342</v>
      </c>
      <c r="DL38" s="95">
        <v>42083</v>
      </c>
      <c r="DM38" s="331">
        <v>42500</v>
      </c>
      <c r="DN38" s="325">
        <v>2016</v>
      </c>
      <c r="DO38" s="434">
        <f t="shared" si="129"/>
        <v>23.333333333333332</v>
      </c>
      <c r="DP38" s="475">
        <f t="shared" si="130"/>
        <v>417</v>
      </c>
      <c r="DQ38" s="90">
        <v>13</v>
      </c>
      <c r="DR38" s="90">
        <f t="shared" si="131"/>
        <v>22</v>
      </c>
      <c r="DS38" s="95">
        <v>42552</v>
      </c>
      <c r="DT38" s="95">
        <v>42906</v>
      </c>
      <c r="DU38" s="475">
        <f t="shared" si="132"/>
        <v>354</v>
      </c>
      <c r="DV38" s="477">
        <v>42615</v>
      </c>
      <c r="DW38" s="476">
        <v>42604</v>
      </c>
      <c r="DX38" s="478">
        <f t="shared" si="133"/>
        <v>-11</v>
      </c>
      <c r="DY38" s="477">
        <v>42705</v>
      </c>
      <c r="DZ38" s="477">
        <v>42906</v>
      </c>
      <c r="EA38" s="475">
        <f t="shared" si="134"/>
        <v>201</v>
      </c>
      <c r="EB38" s="95">
        <v>42775</v>
      </c>
      <c r="EC38" s="95">
        <v>43035</v>
      </c>
      <c r="ED38" s="475">
        <f t="shared" si="135"/>
        <v>260</v>
      </c>
      <c r="EE38" s="95">
        <v>42801</v>
      </c>
      <c r="EF38" s="95">
        <v>42979</v>
      </c>
      <c r="EG38" s="475">
        <f t="shared" si="136"/>
        <v>178</v>
      </c>
      <c r="EH38" s="95">
        <v>42818</v>
      </c>
      <c r="EI38" s="95">
        <v>43017</v>
      </c>
      <c r="EJ38" s="475">
        <f t="shared" si="137"/>
        <v>199</v>
      </c>
      <c r="EK38" s="95">
        <v>42879</v>
      </c>
      <c r="EL38" s="95">
        <v>43149</v>
      </c>
      <c r="EM38" s="475">
        <f t="shared" si="138"/>
        <v>270</v>
      </c>
      <c r="EN38" s="95">
        <v>43059</v>
      </c>
      <c r="EO38" s="95" t="s">
        <v>433</v>
      </c>
      <c r="EP38" s="95">
        <v>43069</v>
      </c>
      <c r="EQ38" s="441">
        <f t="shared" si="139"/>
        <v>42896</v>
      </c>
      <c r="ER38" s="331">
        <v>43171</v>
      </c>
      <c r="ES38" s="642">
        <f t="shared" si="140"/>
        <v>9.1666666666666661</v>
      </c>
      <c r="ET38" s="929">
        <f t="shared" ref="ET38:ET43" ca="1" si="145">IF(((ER38-TODAY())/30)&lt;0,0,(ER38-TODAY())/30)</f>
        <v>0</v>
      </c>
      <c r="EU38" s="441"/>
      <c r="EV38" s="849">
        <v>43206</v>
      </c>
      <c r="EW38" s="89" t="s">
        <v>107</v>
      </c>
      <c r="EX38" s="89">
        <v>43205</v>
      </c>
      <c r="EY38" s="441"/>
      <c r="EZ38" s="746">
        <f>DATE(YEAR(EQ38),MONTH(EQ38)+1,DAY(EQ38))</f>
        <v>42926</v>
      </c>
      <c r="FA38" s="430">
        <v>43215</v>
      </c>
      <c r="FB38" s="325">
        <v>2018</v>
      </c>
      <c r="FC38" s="640">
        <f t="shared" si="141"/>
        <v>9.6333333333333329</v>
      </c>
      <c r="FD38" s="629">
        <f>64366.3774204337/12</f>
        <v>5363.8647850361422</v>
      </c>
      <c r="FE38" s="236">
        <f t="shared" si="142"/>
        <v>51671.897429181503</v>
      </c>
      <c r="FF38" s="237">
        <v>43167</v>
      </c>
      <c r="FG38" s="502">
        <v>0</v>
      </c>
      <c r="FH38" s="624">
        <v>24629</v>
      </c>
      <c r="FI38" s="502">
        <f>3369*1.021</f>
        <v>3439.7489999999998</v>
      </c>
      <c r="FJ38" s="664"/>
      <c r="FK38" s="502">
        <f>26909*1.021</f>
        <v>27474.088999999996</v>
      </c>
      <c r="FL38" s="664">
        <f t="shared" si="112"/>
        <v>1.4953602291201872E-2</v>
      </c>
      <c r="FM38" s="500" t="s">
        <v>579</v>
      </c>
      <c r="FN38" s="668" t="s">
        <v>684</v>
      </c>
      <c r="FO38" s="668" t="s">
        <v>695</v>
      </c>
      <c r="FP38" s="501" t="s">
        <v>891</v>
      </c>
      <c r="FQ38" s="237"/>
      <c r="FR38" s="237">
        <v>43259</v>
      </c>
      <c r="FS38" s="237"/>
      <c r="FT38" s="237" t="s">
        <v>107</v>
      </c>
      <c r="FU38" s="237">
        <v>43319</v>
      </c>
      <c r="FV38" s="238">
        <v>43418</v>
      </c>
      <c r="FW38" s="237">
        <v>43536</v>
      </c>
      <c r="FX38" s="860"/>
      <c r="FY38" s="298" t="s">
        <v>107</v>
      </c>
      <c r="FZ38" s="238">
        <v>43262</v>
      </c>
      <c r="GA38" s="238">
        <v>43423</v>
      </c>
      <c r="GB38" s="40"/>
      <c r="GC38" s="40"/>
      <c r="GD38" s="40"/>
      <c r="GE38" s="40"/>
      <c r="GF38" s="40"/>
      <c r="GG38" s="143"/>
      <c r="GH38" s="238">
        <v>43223</v>
      </c>
      <c r="GI38" s="40"/>
      <c r="GJ38" s="40"/>
      <c r="GK38" s="40"/>
      <c r="GL38" s="861">
        <v>1544438</v>
      </c>
      <c r="GM38" s="979">
        <f t="shared" si="144"/>
        <v>1837289</v>
      </c>
      <c r="GN38" s="772">
        <f t="shared" si="34"/>
        <v>1837289</v>
      </c>
      <c r="GO38" s="683">
        <f t="shared" si="143"/>
        <v>1837289</v>
      </c>
      <c r="GP38" s="910">
        <f>HA38+HB38+HF38</f>
        <v>27159.56</v>
      </c>
      <c r="GQ38" s="35">
        <f t="shared" si="97"/>
        <v>2204.2398248402869</v>
      </c>
      <c r="GR38" s="35">
        <f t="shared" si="98"/>
        <v>204143.22222222222</v>
      </c>
      <c r="GS38" s="855">
        <v>614225</v>
      </c>
      <c r="GT38" s="577"/>
      <c r="GU38" s="19">
        <f t="shared" si="99"/>
        <v>68247.222222222219</v>
      </c>
      <c r="GV38" s="855">
        <f>GW38+GX38</f>
        <v>1199946</v>
      </c>
      <c r="GW38" s="857">
        <v>270994</v>
      </c>
      <c r="GX38" s="857">
        <v>928952</v>
      </c>
      <c r="GY38" s="567">
        <f t="shared" si="100"/>
        <v>133327.33333333334</v>
      </c>
      <c r="GZ38" s="855">
        <v>0</v>
      </c>
      <c r="HA38" s="855">
        <v>1</v>
      </c>
      <c r="HB38" s="53">
        <v>27158.560000000001</v>
      </c>
      <c r="HC38" s="28">
        <f t="shared" si="101"/>
        <v>5.4428018673164645E-7</v>
      </c>
      <c r="HD38" s="68"/>
      <c r="HE38" s="68"/>
      <c r="HF38" s="855">
        <v>0</v>
      </c>
      <c r="HG38" s="35">
        <f t="shared" si="102"/>
        <v>0.1111111111111111</v>
      </c>
      <c r="HH38" s="35">
        <f t="shared" si="103"/>
        <v>68247.333333333328</v>
      </c>
      <c r="HI38" s="27">
        <v>0</v>
      </c>
      <c r="HJ38" s="27">
        <v>0</v>
      </c>
      <c r="HK38" s="19" t="e">
        <f>(#REF!+#REF!+HJ38)/AE38</f>
        <v>#REF!</v>
      </c>
      <c r="HL38" s="27"/>
      <c r="HM38" s="19">
        <f t="shared" si="104"/>
        <v>68247.333333333328</v>
      </c>
      <c r="HN38" s="36">
        <f t="shared" si="46"/>
        <v>0.33431104197543227</v>
      </c>
      <c r="HO38" s="27"/>
      <c r="HP38" s="27"/>
      <c r="HQ38" s="11">
        <v>23117</v>
      </c>
      <c r="HR38" s="910">
        <v>1803727.2934400002</v>
      </c>
      <c r="HS38" s="907">
        <f t="shared" si="105"/>
        <v>0.98173302808649054</v>
      </c>
      <c r="HT38" s="915">
        <f t="shared" si="106"/>
        <v>33561.706559999846</v>
      </c>
      <c r="HU38" s="898">
        <f t="shared" ca="1" si="49"/>
        <v>33561.706559999846</v>
      </c>
      <c r="HV38" s="898"/>
      <c r="HW38" s="899">
        <f>'[3]GLOBAL OPERATION'!$AG$46</f>
        <v>27159.56</v>
      </c>
      <c r="HX38" s="898">
        <f t="shared" si="50"/>
        <v>0</v>
      </c>
      <c r="HY38" s="908">
        <f t="shared" si="51"/>
        <v>1</v>
      </c>
      <c r="HZ38" s="908"/>
      <c r="IA38" s="29" t="e">
        <f>#REF!+HI38</f>
        <v>#REF!</v>
      </c>
      <c r="IB38" s="752"/>
      <c r="IC38" s="73"/>
      <c r="ID38" s="73"/>
      <c r="IE38" s="73"/>
      <c r="IF38" s="73"/>
    </row>
    <row r="39" spans="1:240" ht="20.100000000000001" customHeight="1">
      <c r="A39" s="20" t="s">
        <v>790</v>
      </c>
      <c r="B39" s="732" t="s">
        <v>805</v>
      </c>
      <c r="C39" s="8" t="s">
        <v>203</v>
      </c>
      <c r="D39" s="8" t="s">
        <v>94</v>
      </c>
      <c r="E39" s="8">
        <v>2016</v>
      </c>
      <c r="F39" s="8" t="s">
        <v>446</v>
      </c>
      <c r="G39" s="8" t="s">
        <v>40</v>
      </c>
      <c r="H39" s="8" t="s">
        <v>705</v>
      </c>
      <c r="I39" s="8" t="s">
        <v>193</v>
      </c>
      <c r="J39" s="39"/>
      <c r="K39" s="39" t="s">
        <v>855</v>
      </c>
      <c r="L39" s="199"/>
      <c r="M39" s="126"/>
      <c r="N39" s="80"/>
      <c r="O39" s="81"/>
      <c r="P39" s="161">
        <v>807</v>
      </c>
      <c r="Q39" s="161">
        <v>250272</v>
      </c>
      <c r="R39" s="161">
        <v>250272</v>
      </c>
      <c r="S39" s="161">
        <f t="shared" si="113"/>
        <v>10881.391304347826</v>
      </c>
      <c r="T39" s="161">
        <f t="shared" si="114"/>
        <v>310.12639405204459</v>
      </c>
      <c r="U39" s="167">
        <f t="shared" si="115"/>
        <v>310.12639405204459</v>
      </c>
      <c r="V39" s="167">
        <f t="shared" si="116"/>
        <v>162.92583213441748</v>
      </c>
      <c r="W39" s="167">
        <f t="shared" si="117"/>
        <v>10881.391304347826</v>
      </c>
      <c r="X39" s="161">
        <f t="shared" si="118"/>
        <v>35.086956521739133</v>
      </c>
      <c r="Y39" s="162"/>
      <c r="Z39" s="736">
        <f t="shared" si="119"/>
        <v>285.00619578686491</v>
      </c>
      <c r="AA39" s="162"/>
      <c r="AB39" s="164">
        <v>270</v>
      </c>
      <c r="AC39" s="165"/>
      <c r="AD39" s="8" t="s">
        <v>10</v>
      </c>
      <c r="AE39" s="674">
        <f t="shared" si="120"/>
        <v>23</v>
      </c>
      <c r="AF39" s="674">
        <f t="shared" si="121"/>
        <v>23</v>
      </c>
      <c r="AG39" s="9"/>
      <c r="AH39" s="8">
        <v>23</v>
      </c>
      <c r="AI39" s="50"/>
      <c r="AJ39" s="50"/>
      <c r="AK39" s="209">
        <v>1332.5</v>
      </c>
      <c r="AL39" s="426">
        <v>1536.11</v>
      </c>
      <c r="AM39" s="875">
        <f t="shared" si="122"/>
        <v>57.934782608695649</v>
      </c>
      <c r="AN39" s="10">
        <f t="shared" si="123"/>
        <v>66.787391304347821</v>
      </c>
      <c r="AO39" s="43">
        <v>6.4</v>
      </c>
      <c r="AP39" s="43">
        <v>5.55</v>
      </c>
      <c r="AQ39" s="43">
        <v>370.82</v>
      </c>
      <c r="AR39" s="61"/>
      <c r="AS39" s="61"/>
      <c r="AT39" s="61"/>
      <c r="AU39" s="61"/>
      <c r="AV39" s="61"/>
      <c r="AW39" s="10"/>
      <c r="AX39" s="59"/>
      <c r="AY39" s="61"/>
      <c r="AZ39" s="43">
        <v>4</v>
      </c>
      <c r="BA39" s="42" t="s">
        <v>439</v>
      </c>
      <c r="BB39" s="8" t="s">
        <v>100</v>
      </c>
      <c r="BC39" s="45">
        <v>2973918</v>
      </c>
      <c r="BD39" s="687">
        <f>BC39/AK39</f>
        <v>2231.8333958724202</v>
      </c>
      <c r="BE39" s="689">
        <f>BC39/AL39</f>
        <v>1936.0058849952154</v>
      </c>
      <c r="BF39" s="552">
        <f>BC39/AE39</f>
        <v>129300.78260869565</v>
      </c>
      <c r="BG39" s="183"/>
      <c r="BH39" s="183"/>
      <c r="BI39" s="159">
        <v>42543</v>
      </c>
      <c r="BJ39" s="75"/>
      <c r="BK39" s="867"/>
      <c r="BL39" s="124">
        <v>42606</v>
      </c>
      <c r="BM39" s="157">
        <v>42620</v>
      </c>
      <c r="BN39" s="1007">
        <f t="shared" si="73"/>
        <v>0.46666666666666667</v>
      </c>
      <c r="BO39" s="158"/>
      <c r="BP39" s="125">
        <v>42711</v>
      </c>
      <c r="BQ39" s="125">
        <v>42654</v>
      </c>
      <c r="BR39" s="225">
        <v>42736</v>
      </c>
      <c r="BS39" s="224">
        <f>DATE(YEAR(BR39),MONTH(BR39)+24,DAY(BR39))</f>
        <v>43466</v>
      </c>
      <c r="BT39" s="605">
        <f>41656+6870</f>
        <v>48526</v>
      </c>
      <c r="BU39" s="224" t="str">
        <f t="shared" si="124"/>
        <v>non</v>
      </c>
      <c r="BV39" s="605">
        <f t="shared" si="125"/>
        <v>7.4666666666666668</v>
      </c>
      <c r="BW39" s="605">
        <f t="shared" si="126"/>
        <v>63683.200000000004</v>
      </c>
      <c r="BX39" s="605">
        <f t="shared" si="127"/>
        <v>-15157.200000000004</v>
      </c>
      <c r="BY39" s="702"/>
      <c r="BZ39" s="697" t="s">
        <v>456</v>
      </c>
      <c r="CA39" s="338"/>
      <c r="CB39" s="338"/>
      <c r="CC39" s="338"/>
      <c r="CD39" s="360" t="s">
        <v>107</v>
      </c>
      <c r="CE39" s="360"/>
      <c r="CF39" s="360"/>
      <c r="CG39" s="360"/>
      <c r="CH39" s="360"/>
      <c r="CI39" s="360"/>
      <c r="CJ39" s="360"/>
      <c r="CK39" s="360" t="s">
        <v>107</v>
      </c>
      <c r="CL39" s="360">
        <v>42922</v>
      </c>
      <c r="CM39" s="360"/>
      <c r="CN39" s="360"/>
      <c r="CO39" s="360"/>
      <c r="CP39" s="360"/>
      <c r="CQ39" s="95"/>
      <c r="CR39" s="95"/>
      <c r="CS39" s="95"/>
      <c r="CT39" s="475" t="str">
        <f t="shared" si="9"/>
        <v>0</v>
      </c>
      <c r="CU39" s="95">
        <v>42041</v>
      </c>
      <c r="CV39" s="95">
        <v>42041</v>
      </c>
      <c r="CW39" s="475">
        <f t="shared" si="10"/>
        <v>0</v>
      </c>
      <c r="CX39" s="95"/>
      <c r="CY39" s="95"/>
      <c r="CZ39" s="475" t="str">
        <f t="shared" si="11"/>
        <v>0</v>
      </c>
      <c r="DA39" s="95"/>
      <c r="DB39" s="95"/>
      <c r="DC39" s="475" t="str">
        <f t="shared" si="12"/>
        <v>0</v>
      </c>
      <c r="DD39" s="95"/>
      <c r="DE39" s="95"/>
      <c r="DF39" s="475" t="str">
        <f t="shared" si="13"/>
        <v>0</v>
      </c>
      <c r="DG39" s="840"/>
      <c r="DH39" s="237"/>
      <c r="DI39" s="237"/>
      <c r="DJ39" s="178"/>
      <c r="DK39" s="496" t="str">
        <f t="shared" si="128"/>
        <v>0</v>
      </c>
      <c r="DL39" s="237">
        <v>42741</v>
      </c>
      <c r="DM39" s="430">
        <v>42583</v>
      </c>
      <c r="DN39" s="843">
        <v>2016</v>
      </c>
      <c r="DO39" s="740">
        <f t="shared" si="129"/>
        <v>1.3333333333333333</v>
      </c>
      <c r="DP39" s="496">
        <f t="shared" si="130"/>
        <v>-158</v>
      </c>
      <c r="DQ39" s="189">
        <v>18</v>
      </c>
      <c r="DR39" s="90">
        <f t="shared" si="131"/>
        <v>20</v>
      </c>
      <c r="DS39" s="427"/>
      <c r="DT39" s="95"/>
      <c r="DU39" s="496" t="str">
        <f t="shared" si="132"/>
        <v>0</v>
      </c>
      <c r="DV39" s="237">
        <v>42712</v>
      </c>
      <c r="DW39" s="512">
        <v>42712</v>
      </c>
      <c r="DX39" s="513">
        <f t="shared" si="133"/>
        <v>0</v>
      </c>
      <c r="DY39" s="95"/>
      <c r="DZ39" s="95">
        <v>42994</v>
      </c>
      <c r="EA39" s="475" t="str">
        <f t="shared" si="134"/>
        <v>0</v>
      </c>
      <c r="EB39" s="95"/>
      <c r="EC39" s="95">
        <v>43024</v>
      </c>
      <c r="ED39" s="475" t="str">
        <f t="shared" si="135"/>
        <v>0</v>
      </c>
      <c r="EE39" s="95">
        <v>42946</v>
      </c>
      <c r="EF39" s="95">
        <v>43053</v>
      </c>
      <c r="EG39" s="475">
        <f t="shared" si="136"/>
        <v>107</v>
      </c>
      <c r="EH39" s="95">
        <v>42977</v>
      </c>
      <c r="EI39" s="95">
        <v>43053</v>
      </c>
      <c r="EJ39" s="475">
        <f t="shared" si="137"/>
        <v>76</v>
      </c>
      <c r="EK39" s="95">
        <v>43189</v>
      </c>
      <c r="EL39" s="95">
        <f ca="1">IF(EK39&lt;TODAY(),TODAY(),EK39)</f>
        <v>43647</v>
      </c>
      <c r="EM39" s="475">
        <f t="shared" ca="1" si="138"/>
        <v>458</v>
      </c>
      <c r="EN39" s="95">
        <v>43203</v>
      </c>
      <c r="EO39" s="95">
        <v>43203</v>
      </c>
      <c r="EP39" s="95">
        <v>43203</v>
      </c>
      <c r="EQ39" s="534">
        <f t="shared" si="139"/>
        <v>43132</v>
      </c>
      <c r="ER39" s="529">
        <v>43210</v>
      </c>
      <c r="ES39" s="642">
        <f t="shared" si="140"/>
        <v>2.6</v>
      </c>
      <c r="ET39" s="929">
        <f t="shared" ca="1" si="145"/>
        <v>0</v>
      </c>
      <c r="EU39" s="441"/>
      <c r="EV39" s="186">
        <v>43210</v>
      </c>
      <c r="EW39" s="238">
        <v>43024</v>
      </c>
      <c r="EX39" s="89" t="s">
        <v>107</v>
      </c>
      <c r="EY39" s="678"/>
      <c r="EZ39" s="746">
        <f>DATE(YEAR(EQ39),MONTH(EQ39)+1,DAY(EQ39))</f>
        <v>43160</v>
      </c>
      <c r="FA39" s="430">
        <v>43242</v>
      </c>
      <c r="FB39" s="431">
        <v>2018</v>
      </c>
      <c r="FC39" s="640">
        <f t="shared" si="141"/>
        <v>2.7333333333333334</v>
      </c>
      <c r="FD39" s="630">
        <v>8529</v>
      </c>
      <c r="FE39" s="236">
        <f t="shared" si="142"/>
        <v>23312.600000000002</v>
      </c>
      <c r="FF39" s="237">
        <v>43181</v>
      </c>
      <c r="FG39" s="502">
        <v>0</v>
      </c>
      <c r="FH39" s="502">
        <v>0</v>
      </c>
      <c r="FI39" s="502">
        <v>0</v>
      </c>
      <c r="FJ39" s="502"/>
      <c r="FK39" s="502">
        <v>0</v>
      </c>
      <c r="FL39" s="664">
        <f t="shared" si="112"/>
        <v>0</v>
      </c>
      <c r="FM39" s="499" t="s">
        <v>587</v>
      </c>
      <c r="FN39" s="587"/>
      <c r="FO39" s="587"/>
      <c r="FP39" s="588"/>
      <c r="FQ39" s="95" t="s">
        <v>107</v>
      </c>
      <c r="FR39" s="95" t="s">
        <v>107</v>
      </c>
      <c r="FS39" s="95" t="s">
        <v>107</v>
      </c>
      <c r="FT39" s="95" t="s">
        <v>107</v>
      </c>
      <c r="FU39" s="95">
        <v>43334</v>
      </c>
      <c r="FV39" s="88" t="s">
        <v>107</v>
      </c>
      <c r="FW39" s="212">
        <f t="shared" ref="FW39:FW43" si="146">DATE(YEAR(ER39)+1,MONTH(ER39),DAY(ER39))</f>
        <v>43575</v>
      </c>
      <c r="FX39" s="614"/>
      <c r="FY39" s="39"/>
      <c r="FZ39" s="39" t="s">
        <v>107</v>
      </c>
      <c r="GA39" s="39"/>
      <c r="GB39" s="39"/>
      <c r="GC39" s="39"/>
      <c r="GD39" s="39"/>
      <c r="GE39" s="39"/>
      <c r="GF39" s="142" t="s">
        <v>822</v>
      </c>
      <c r="GG39" s="39"/>
      <c r="GH39" s="87">
        <v>43315</v>
      </c>
      <c r="GI39" s="39"/>
      <c r="GJ39" s="39"/>
      <c r="GK39" s="39"/>
      <c r="GL39" s="742"/>
      <c r="GM39" s="979">
        <f t="shared" si="144"/>
        <v>3202767</v>
      </c>
      <c r="GN39" s="772">
        <f t="shared" si="34"/>
        <v>3202767</v>
      </c>
      <c r="GO39" s="683">
        <f t="shared" si="143"/>
        <v>3202767</v>
      </c>
      <c r="GP39" s="909">
        <f>HA39+HB39+HF39</f>
        <v>529000</v>
      </c>
      <c r="GQ39" s="35">
        <f t="shared" si="97"/>
        <v>2084.9854502607236</v>
      </c>
      <c r="GR39" s="35">
        <f t="shared" si="98"/>
        <v>139250.73913043478</v>
      </c>
      <c r="GS39" s="573">
        <v>901691</v>
      </c>
      <c r="GT39" s="794"/>
      <c r="GU39" s="575">
        <f t="shared" si="99"/>
        <v>39203.956521739128</v>
      </c>
      <c r="GV39" s="11">
        <f>GW39+GX39</f>
        <v>1772076</v>
      </c>
      <c r="GW39" s="12">
        <v>296327</v>
      </c>
      <c r="GX39" s="12">
        <v>1475749</v>
      </c>
      <c r="GY39" s="567">
        <f t="shared" si="100"/>
        <v>77046.782608695648</v>
      </c>
      <c r="GZ39" s="11"/>
      <c r="HA39" s="53">
        <v>529000</v>
      </c>
      <c r="HB39" s="53"/>
      <c r="HC39" s="28">
        <f t="shared" si="101"/>
        <v>0.16516967984246123</v>
      </c>
      <c r="HD39" s="68"/>
      <c r="HE39" s="68"/>
      <c r="HF39" s="11"/>
      <c r="HG39" s="35">
        <f t="shared" si="102"/>
        <v>23000</v>
      </c>
      <c r="HH39" s="35">
        <f t="shared" si="103"/>
        <v>62203.956521739128</v>
      </c>
      <c r="HI39" s="27"/>
      <c r="HJ39" s="27"/>
      <c r="HK39" s="19" t="e">
        <f>(#REF!+#REF!+HJ39)/AE39</f>
        <v>#REF!</v>
      </c>
      <c r="HL39" s="27"/>
      <c r="HM39" s="19">
        <f t="shared" si="104"/>
        <v>62203.956521739128</v>
      </c>
      <c r="HN39" s="36" t="e">
        <f>(#REF!+#REF!+HJ39+HL39)/(HI39+#REF!-HO39)</f>
        <v>#REF!</v>
      </c>
      <c r="HO39" s="27"/>
      <c r="HP39" s="27"/>
      <c r="HQ39" s="11"/>
      <c r="HR39" s="909">
        <v>3202766.9997900003</v>
      </c>
      <c r="HS39" s="907">
        <f t="shared" si="105"/>
        <v>0.99999999993443178</v>
      </c>
      <c r="HT39" s="915">
        <f t="shared" si="106"/>
        <v>2.0999973639845848E-4</v>
      </c>
      <c r="HU39" s="898">
        <f t="shared" ca="1" si="49"/>
        <v>2.0999973639845848E-4</v>
      </c>
      <c r="HV39" s="898"/>
      <c r="HW39" s="898">
        <f>'[3]GLOBAL OPERATION'!$AG$44</f>
        <v>529000</v>
      </c>
      <c r="HX39" s="898">
        <f t="shared" si="50"/>
        <v>0</v>
      </c>
      <c r="HY39" s="907">
        <f t="shared" si="51"/>
        <v>1</v>
      </c>
      <c r="HZ39" s="907"/>
      <c r="IA39" s="29" t="e">
        <f>#REF!+HI39</f>
        <v>#REF!</v>
      </c>
      <c r="IB39" s="752"/>
      <c r="IC39" s="73"/>
      <c r="ID39" s="73"/>
      <c r="IE39" s="73"/>
      <c r="IF39" s="73"/>
    </row>
    <row r="40" spans="1:240" ht="27.75" customHeight="1">
      <c r="A40" s="969" t="s">
        <v>216</v>
      </c>
      <c r="B40" s="74" t="s">
        <v>805</v>
      </c>
      <c r="C40" s="18" t="s">
        <v>25</v>
      </c>
      <c r="D40" s="18" t="s">
        <v>94</v>
      </c>
      <c r="E40" s="18">
        <v>2016</v>
      </c>
      <c r="F40" s="18" t="s">
        <v>130</v>
      </c>
      <c r="G40" s="18" t="s">
        <v>854</v>
      </c>
      <c r="H40" s="18" t="s">
        <v>537</v>
      </c>
      <c r="I40" s="18" t="s">
        <v>140</v>
      </c>
      <c r="J40" s="40" t="s">
        <v>100</v>
      </c>
      <c r="K40" s="40"/>
      <c r="L40" s="160"/>
      <c r="M40" s="126" t="s">
        <v>46</v>
      </c>
      <c r="N40" s="80" t="s">
        <v>114</v>
      </c>
      <c r="O40" s="81"/>
      <c r="P40" s="166">
        <v>3126</v>
      </c>
      <c r="Q40" s="166">
        <f>R40</f>
        <v>268450</v>
      </c>
      <c r="R40" s="166">
        <v>268450</v>
      </c>
      <c r="S40" s="161">
        <f t="shared" si="113"/>
        <v>8948.3333333333339</v>
      </c>
      <c r="T40" s="166">
        <f t="shared" si="114"/>
        <v>85.876519513755596</v>
      </c>
      <c r="U40" s="167">
        <f t="shared" si="115"/>
        <v>85.876519513755596</v>
      </c>
      <c r="V40" s="167">
        <f t="shared" si="116"/>
        <v>100.22812211813815</v>
      </c>
      <c r="W40" s="167">
        <f t="shared" si="117"/>
        <v>8948.3333333333339</v>
      </c>
      <c r="X40" s="161">
        <f t="shared" si="118"/>
        <v>104.2</v>
      </c>
      <c r="Y40" s="168">
        <v>1264.3499999999999</v>
      </c>
      <c r="Z40" s="735">
        <f t="shared" si="119"/>
        <v>95.969289827255281</v>
      </c>
      <c r="AA40" s="168"/>
      <c r="AB40" s="833">
        <v>100</v>
      </c>
      <c r="AC40" s="834"/>
      <c r="AD40" s="18" t="s">
        <v>9</v>
      </c>
      <c r="AE40" s="674">
        <f t="shared" si="120"/>
        <v>30</v>
      </c>
      <c r="AF40" s="674">
        <f t="shared" si="121"/>
        <v>30</v>
      </c>
      <c r="AG40" s="18">
        <v>30</v>
      </c>
      <c r="AH40" s="37"/>
      <c r="AI40" s="50"/>
      <c r="AJ40" s="50"/>
      <c r="AK40" s="209">
        <v>2366.15</v>
      </c>
      <c r="AL40" s="426">
        <v>2678.39</v>
      </c>
      <c r="AM40" s="875">
        <f t="shared" si="122"/>
        <v>78.87166666666667</v>
      </c>
      <c r="AN40" s="10">
        <f t="shared" si="123"/>
        <v>89.279666666666657</v>
      </c>
      <c r="AO40" s="43">
        <v>7.23</v>
      </c>
      <c r="AP40" s="43">
        <v>6.39</v>
      </c>
      <c r="AQ40" s="43">
        <v>570.15</v>
      </c>
      <c r="AR40" s="46">
        <v>0</v>
      </c>
      <c r="AS40" s="46">
        <v>0</v>
      </c>
      <c r="AT40" s="62">
        <f>16/AE40</f>
        <v>0.53333333333333333</v>
      </c>
      <c r="AU40" s="62">
        <f>12/AE40</f>
        <v>0.4</v>
      </c>
      <c r="AV40" s="62">
        <f>2/AE40</f>
        <v>6.6666666666666666E-2</v>
      </c>
      <c r="AW40" s="837"/>
      <c r="AX40" s="60">
        <v>0</v>
      </c>
      <c r="AY40" s="62">
        <f>AX40/P40</f>
        <v>0</v>
      </c>
      <c r="AZ40" s="44">
        <v>3</v>
      </c>
      <c r="BA40" s="42" t="s">
        <v>439</v>
      </c>
      <c r="BB40" s="18" t="s">
        <v>100</v>
      </c>
      <c r="BC40" s="40"/>
      <c r="BD40" s="40"/>
      <c r="BE40" s="40"/>
      <c r="BF40" s="40"/>
      <c r="BG40" s="186">
        <v>41667</v>
      </c>
      <c r="BH40" s="186">
        <v>41787</v>
      </c>
      <c r="BI40" s="159">
        <v>42601</v>
      </c>
      <c r="BJ40" s="75">
        <v>42626</v>
      </c>
      <c r="BK40" s="867"/>
      <c r="BL40" s="124">
        <v>41932</v>
      </c>
      <c r="BM40" s="838">
        <v>42027</v>
      </c>
      <c r="BN40" s="1007">
        <f t="shared" si="73"/>
        <v>3.1666666666666665</v>
      </c>
      <c r="BO40" s="951"/>
      <c r="BP40" s="127">
        <v>42117</v>
      </c>
      <c r="BQ40" s="127">
        <v>42074</v>
      </c>
      <c r="BR40" s="224">
        <v>42125</v>
      </c>
      <c r="BS40" s="224">
        <f>DATE(YEAR(BR40),MONTH(BR40)+36,DAY(BR40))</f>
        <v>43221</v>
      </c>
      <c r="BT40" s="605">
        <f>18650+94096</f>
        <v>112746</v>
      </c>
      <c r="BU40" s="224" t="str">
        <f t="shared" si="124"/>
        <v>oui</v>
      </c>
      <c r="BV40" s="784">
        <f t="shared" si="125"/>
        <v>-4.0333333333333332</v>
      </c>
      <c r="BW40" s="605" t="str">
        <f t="shared" si="126"/>
        <v>0</v>
      </c>
      <c r="BX40" s="605">
        <f t="shared" si="127"/>
        <v>112746</v>
      </c>
      <c r="BY40" s="702" t="s">
        <v>107</v>
      </c>
      <c r="BZ40" s="697" t="s">
        <v>218</v>
      </c>
      <c r="CA40" s="707"/>
      <c r="CB40" s="707"/>
      <c r="CC40" s="707"/>
      <c r="CD40" s="699"/>
      <c r="CE40" s="699"/>
      <c r="CF40" s="699"/>
      <c r="CG40" s="699"/>
      <c r="CH40" s="699"/>
      <c r="CI40" s="699"/>
      <c r="CJ40" s="699"/>
      <c r="CK40" s="699"/>
      <c r="CL40" s="699"/>
      <c r="CM40" s="699"/>
      <c r="CN40" s="699"/>
      <c r="CO40" s="699"/>
      <c r="CP40" s="699"/>
      <c r="CQ40" s="95">
        <v>41548</v>
      </c>
      <c r="CR40" s="95">
        <v>41549</v>
      </c>
      <c r="CS40" s="95">
        <v>41564</v>
      </c>
      <c r="CT40" s="475">
        <f t="shared" si="9"/>
        <v>15</v>
      </c>
      <c r="CU40" s="95">
        <v>41679</v>
      </c>
      <c r="CV40" s="95">
        <v>41674</v>
      </c>
      <c r="CW40" s="475">
        <f t="shared" si="10"/>
        <v>-5</v>
      </c>
      <c r="CX40" s="95">
        <v>41679</v>
      </c>
      <c r="CY40" s="95">
        <v>41697</v>
      </c>
      <c r="CZ40" s="475">
        <f t="shared" si="11"/>
        <v>18</v>
      </c>
      <c r="DA40" s="95">
        <v>41753</v>
      </c>
      <c r="DB40" s="95">
        <v>41824</v>
      </c>
      <c r="DC40" s="475">
        <f t="shared" si="12"/>
        <v>71</v>
      </c>
      <c r="DD40" s="95">
        <v>41880</v>
      </c>
      <c r="DE40" s="95">
        <v>41920</v>
      </c>
      <c r="DF40" s="475">
        <f t="shared" si="13"/>
        <v>40</v>
      </c>
      <c r="DG40" s="62"/>
      <c r="DH40" s="95">
        <v>42055</v>
      </c>
      <c r="DI40" s="95">
        <v>42177</v>
      </c>
      <c r="DJ40" s="95">
        <v>42780</v>
      </c>
      <c r="DK40" s="496">
        <f t="shared" si="128"/>
        <v>603</v>
      </c>
      <c r="DL40" s="95">
        <v>42781</v>
      </c>
      <c r="DM40" s="430">
        <v>42780</v>
      </c>
      <c r="DN40" s="325">
        <v>2017</v>
      </c>
      <c r="DO40" s="434">
        <f t="shared" si="129"/>
        <v>5.9666666666666668</v>
      </c>
      <c r="DP40" s="496">
        <f t="shared" si="130"/>
        <v>-1</v>
      </c>
      <c r="DQ40" s="198">
        <v>16</v>
      </c>
      <c r="DR40" s="90">
        <f t="shared" si="131"/>
        <v>17</v>
      </c>
      <c r="DS40" s="95">
        <v>42844</v>
      </c>
      <c r="DT40" s="95">
        <v>42844</v>
      </c>
      <c r="DU40" s="496">
        <f t="shared" si="132"/>
        <v>0</v>
      </c>
      <c r="DV40" s="95">
        <v>42916</v>
      </c>
      <c r="DW40" s="512">
        <v>42936</v>
      </c>
      <c r="DX40" s="513">
        <f t="shared" si="133"/>
        <v>20</v>
      </c>
      <c r="DY40" s="95">
        <v>43124</v>
      </c>
      <c r="DZ40" s="95">
        <v>43084</v>
      </c>
      <c r="EA40" s="475">
        <f t="shared" si="134"/>
        <v>-40</v>
      </c>
      <c r="EB40" s="237">
        <v>43182</v>
      </c>
      <c r="EC40" s="484">
        <f ca="1">IF(EB40&lt;TODAY(),TODAY(),EB40)</f>
        <v>43647</v>
      </c>
      <c r="ED40" s="481">
        <f t="shared" ca="1" si="135"/>
        <v>465</v>
      </c>
      <c r="EE40" s="563">
        <v>43161</v>
      </c>
      <c r="EF40" s="487"/>
      <c r="EG40" s="616" t="str">
        <f t="shared" si="136"/>
        <v>0</v>
      </c>
      <c r="EH40" s="237">
        <v>43180</v>
      </c>
      <c r="EI40" s="237">
        <v>43262</v>
      </c>
      <c r="EJ40" s="616">
        <f t="shared" si="137"/>
        <v>82</v>
      </c>
      <c r="EK40" s="237">
        <v>43196</v>
      </c>
      <c r="EL40" s="237">
        <v>43313</v>
      </c>
      <c r="EM40" s="616">
        <f t="shared" si="138"/>
        <v>117</v>
      </c>
      <c r="EN40" s="237">
        <v>43208</v>
      </c>
      <c r="EO40" s="237">
        <v>43209</v>
      </c>
      <c r="EP40" s="237">
        <v>43220</v>
      </c>
      <c r="EQ40" s="534">
        <f t="shared" si="139"/>
        <v>43265</v>
      </c>
      <c r="ER40" s="331">
        <v>43320</v>
      </c>
      <c r="ES40" s="684">
        <f t="shared" si="140"/>
        <v>1.8333333333333333</v>
      </c>
      <c r="ET40" s="930">
        <f t="shared" ca="1" si="145"/>
        <v>0</v>
      </c>
      <c r="EU40" s="441">
        <f t="shared" ref="EU40:EU43" si="147">DATE(YEAR(DW40)+2,MONTH(DW40),DAY(DW40))</f>
        <v>43666</v>
      </c>
      <c r="EV40" s="89">
        <v>43318</v>
      </c>
      <c r="EW40" s="182">
        <v>42887</v>
      </c>
      <c r="EX40" s="89">
        <v>43328</v>
      </c>
      <c r="EY40" s="441" t="s">
        <v>694</v>
      </c>
      <c r="EZ40" s="746">
        <f>DATE(YEAR(EQ40),MONTH(EQ40),DAY(EQ40)+15)</f>
        <v>43280</v>
      </c>
      <c r="FA40" s="331">
        <v>43342</v>
      </c>
      <c r="FB40" s="431">
        <v>2018</v>
      </c>
      <c r="FC40" s="679">
        <f t="shared" si="141"/>
        <v>2.0666666666666669</v>
      </c>
      <c r="FD40" s="629">
        <f>209322.88214303/12</f>
        <v>17443.573511919167</v>
      </c>
      <c r="FE40" s="694">
        <f t="shared" si="142"/>
        <v>36050.05192463295</v>
      </c>
      <c r="FF40" s="237">
        <v>43321</v>
      </c>
      <c r="FG40" s="502">
        <v>0</v>
      </c>
      <c r="FH40" s="502">
        <v>0</v>
      </c>
      <c r="FI40" s="502">
        <f>310011*1.021</f>
        <v>316521.23099999997</v>
      </c>
      <c r="FJ40" s="502"/>
      <c r="FK40" s="502">
        <v>0</v>
      </c>
      <c r="FL40" s="664">
        <f t="shared" si="112"/>
        <v>0</v>
      </c>
      <c r="FM40" s="499" t="s">
        <v>586</v>
      </c>
      <c r="FN40" s="587" t="s">
        <v>681</v>
      </c>
      <c r="FO40" s="587" t="s">
        <v>687</v>
      </c>
      <c r="FP40" s="587" t="s">
        <v>650</v>
      </c>
      <c r="FQ40" s="96" t="s">
        <v>811</v>
      </c>
      <c r="FR40" s="237">
        <v>43444</v>
      </c>
      <c r="FS40" s="96"/>
      <c r="FT40" s="96"/>
      <c r="FU40" s="237">
        <v>43445</v>
      </c>
      <c r="FV40" s="238">
        <v>43474</v>
      </c>
      <c r="FW40" s="212">
        <f t="shared" si="146"/>
        <v>43685</v>
      </c>
      <c r="FX40" s="212"/>
      <c r="FY40" s="40"/>
      <c r="FZ40" s="238">
        <v>43410</v>
      </c>
      <c r="GA40" s="685" t="s">
        <v>906</v>
      </c>
      <c r="GB40" s="40"/>
      <c r="GC40" s="40"/>
      <c r="GD40" s="40"/>
      <c r="GE40" s="40"/>
      <c r="GF40" s="40"/>
      <c r="GG40" s="40"/>
      <c r="GH40" s="40"/>
      <c r="GI40" s="40"/>
      <c r="GJ40" s="40"/>
      <c r="GK40" s="40"/>
      <c r="GL40" s="742"/>
      <c r="GM40" s="979">
        <f t="shared" si="144"/>
        <v>5264070.26</v>
      </c>
      <c r="GN40" s="772">
        <f t="shared" si="34"/>
        <v>5264070.26</v>
      </c>
      <c r="GO40" s="683">
        <f t="shared" si="143"/>
        <v>5264070.26</v>
      </c>
      <c r="GP40" s="909">
        <f t="shared" ref="GP40:GP43" si="148">HA40+HB40+HF40+HE40+HJ40+HL40</f>
        <v>328640.06</v>
      </c>
      <c r="GQ40" s="35">
        <f t="shared" si="97"/>
        <v>1965.3860192130346</v>
      </c>
      <c r="GR40" s="35">
        <f t="shared" si="98"/>
        <v>175469.00866666666</v>
      </c>
      <c r="GS40" s="895">
        <v>1638956.14</v>
      </c>
      <c r="GT40" s="577"/>
      <c r="GU40" s="575">
        <f t="shared" si="99"/>
        <v>54631.871333333329</v>
      </c>
      <c r="GV40" s="855">
        <f>GW40+GX40</f>
        <v>3296474.06</v>
      </c>
      <c r="GW40" s="857">
        <v>618601</v>
      </c>
      <c r="GX40" s="12">
        <v>2677873.06</v>
      </c>
      <c r="GY40" s="567">
        <f t="shared" si="100"/>
        <v>109882.46866666667</v>
      </c>
      <c r="GZ40" s="855">
        <v>0</v>
      </c>
      <c r="HA40" s="53">
        <v>280000</v>
      </c>
      <c r="HB40" s="57">
        <v>0</v>
      </c>
      <c r="HC40" s="28">
        <f t="shared" si="101"/>
        <v>5.3190779410303694E-2</v>
      </c>
      <c r="HD40" s="68"/>
      <c r="HE40" s="68"/>
      <c r="HF40" s="855">
        <v>48640.06</v>
      </c>
      <c r="HG40" s="35">
        <f t="shared" si="102"/>
        <v>9333.3333333333339</v>
      </c>
      <c r="HH40" s="35">
        <f t="shared" si="103"/>
        <v>63965.204666666665</v>
      </c>
      <c r="HI40" s="858">
        <v>0</v>
      </c>
      <c r="HJ40" s="858">
        <v>0</v>
      </c>
      <c r="HK40" s="19">
        <f t="shared" ref="HK40:HK43" si="149">(GS40+HA40+HJ40)/AE40</f>
        <v>63965.204666666665</v>
      </c>
      <c r="HL40" s="858">
        <v>0</v>
      </c>
      <c r="HM40" s="34">
        <f t="shared" si="104"/>
        <v>63965.204666666665</v>
      </c>
      <c r="HN40" s="36">
        <f t="shared" ref="HN40:HN43" si="150">(GS40+HA40+HJ40+HL40)/(HI40+GN40-HO40)</f>
        <v>0.37636610731736259</v>
      </c>
      <c r="HO40" s="858">
        <v>165428</v>
      </c>
      <c r="HP40" s="858"/>
      <c r="HQ40" s="11">
        <f>FH40</f>
        <v>0</v>
      </c>
      <c r="HR40" s="910">
        <v>4780372.2692322833</v>
      </c>
      <c r="HS40" s="907">
        <f t="shared" si="105"/>
        <v>0.90811331025666886</v>
      </c>
      <c r="HT40" s="915">
        <f t="shared" si="106"/>
        <v>483697.99076771643</v>
      </c>
      <c r="HU40" s="898">
        <f t="shared" ca="1" si="49"/>
        <v>483697.99076771643</v>
      </c>
      <c r="HV40" s="907">
        <f t="shared" ref="HV40:HV43" ca="1" si="151">(HU40+HR40)/GN40</f>
        <v>1</v>
      </c>
      <c r="HW40" s="899">
        <f>'[3]GLOBAL OPERATION'!$AG$32</f>
        <v>260226.06</v>
      </c>
      <c r="HX40" s="899">
        <f t="shared" si="50"/>
        <v>68414</v>
      </c>
      <c r="HY40" s="908">
        <f t="shared" si="51"/>
        <v>0.79182696108319839</v>
      </c>
      <c r="HZ40" s="908"/>
      <c r="IA40" s="29" t="e">
        <f>#REF!+HI40</f>
        <v>#REF!</v>
      </c>
      <c r="IB40" s="752"/>
      <c r="IC40" s="73"/>
      <c r="ID40" s="73"/>
      <c r="IE40" s="73"/>
      <c r="IF40" s="73"/>
    </row>
    <row r="41" spans="1:240" ht="20.100000000000001" customHeight="1">
      <c r="A41" s="970" t="s">
        <v>206</v>
      </c>
      <c r="B41" s="66" t="s">
        <v>805</v>
      </c>
      <c r="C41" s="8" t="s">
        <v>14</v>
      </c>
      <c r="D41" s="8" t="s">
        <v>92</v>
      </c>
      <c r="E41" s="8">
        <v>2015</v>
      </c>
      <c r="F41" s="8" t="s">
        <v>189</v>
      </c>
      <c r="G41" s="8" t="s">
        <v>854</v>
      </c>
      <c r="H41" s="8" t="s">
        <v>705</v>
      </c>
      <c r="I41" s="8" t="s">
        <v>140</v>
      </c>
      <c r="J41" s="41"/>
      <c r="K41" s="39"/>
      <c r="L41" s="199"/>
      <c r="M41" s="126" t="s">
        <v>46</v>
      </c>
      <c r="N41" s="80" t="s">
        <v>54</v>
      </c>
      <c r="O41" s="81"/>
      <c r="P41" s="161">
        <v>779</v>
      </c>
      <c r="Q41" s="161">
        <v>195000</v>
      </c>
      <c r="R41" s="161">
        <f>Q41</f>
        <v>195000</v>
      </c>
      <c r="S41" s="161">
        <f t="shared" si="113"/>
        <v>9750</v>
      </c>
      <c r="T41" s="161">
        <f t="shared" si="114"/>
        <v>250.32092426187421</v>
      </c>
      <c r="U41" s="167">
        <f t="shared" si="115"/>
        <v>250.32092426187421</v>
      </c>
      <c r="V41" s="167">
        <f t="shared" si="116"/>
        <v>150.05655978022486</v>
      </c>
      <c r="W41" s="167">
        <f t="shared" si="117"/>
        <v>9750</v>
      </c>
      <c r="X41" s="161">
        <f t="shared" si="118"/>
        <v>38.950000000000003</v>
      </c>
      <c r="Y41" s="162"/>
      <c r="Z41" s="733">
        <f t="shared" si="119"/>
        <v>256.73940949935815</v>
      </c>
      <c r="AA41" s="162" t="s">
        <v>158</v>
      </c>
      <c r="AB41" s="164">
        <v>35</v>
      </c>
      <c r="AC41" s="165">
        <v>0</v>
      </c>
      <c r="AD41" s="18" t="s">
        <v>10</v>
      </c>
      <c r="AE41" s="674">
        <f t="shared" si="120"/>
        <v>20</v>
      </c>
      <c r="AF41" s="674">
        <f t="shared" si="121"/>
        <v>20</v>
      </c>
      <c r="AG41" s="9"/>
      <c r="AH41" s="8">
        <v>20</v>
      </c>
      <c r="AI41" s="50"/>
      <c r="AJ41" s="50"/>
      <c r="AK41" s="209">
        <v>1299.51</v>
      </c>
      <c r="AL41" s="426">
        <v>1299.51</v>
      </c>
      <c r="AM41" s="875">
        <f t="shared" si="122"/>
        <v>64.975499999999997</v>
      </c>
      <c r="AN41" s="10">
        <f t="shared" si="123"/>
        <v>64.975499999999997</v>
      </c>
      <c r="AO41" s="43">
        <v>5.59</v>
      </c>
      <c r="AP41" s="43">
        <v>5.59</v>
      </c>
      <c r="AQ41" s="43">
        <v>363.43</v>
      </c>
      <c r="AR41" s="61">
        <v>0.2</v>
      </c>
      <c r="AS41" s="61">
        <v>0.4</v>
      </c>
      <c r="AT41" s="61">
        <v>0.2</v>
      </c>
      <c r="AU41" s="61">
        <v>0.2</v>
      </c>
      <c r="AV41" s="61">
        <v>0</v>
      </c>
      <c r="AW41" s="10"/>
      <c r="AX41" s="59">
        <v>0</v>
      </c>
      <c r="AY41" s="61">
        <f>AX41/P41</f>
        <v>0</v>
      </c>
      <c r="AZ41" s="43">
        <v>4</v>
      </c>
      <c r="BA41" s="42" t="s">
        <v>439</v>
      </c>
      <c r="BB41" s="8" t="s">
        <v>101</v>
      </c>
      <c r="BC41" s="39"/>
      <c r="BD41" s="39"/>
      <c r="BE41" s="39"/>
      <c r="BF41" s="39"/>
      <c r="BG41" s="87">
        <v>41921</v>
      </c>
      <c r="BH41" s="39"/>
      <c r="BI41" s="159">
        <v>42249</v>
      </c>
      <c r="BJ41" s="75"/>
      <c r="BK41" s="867"/>
      <c r="BL41" s="124">
        <v>42606</v>
      </c>
      <c r="BM41" s="157">
        <v>42620</v>
      </c>
      <c r="BN41" s="1007">
        <f t="shared" si="73"/>
        <v>0.46666666666666667</v>
      </c>
      <c r="BO41" s="158"/>
      <c r="BP41" s="125">
        <v>42711</v>
      </c>
      <c r="BQ41" s="125">
        <v>42646</v>
      </c>
      <c r="BR41" s="225">
        <v>42736</v>
      </c>
      <c r="BS41" s="224">
        <f t="shared" ref="BS41:BS43" si="152">DATE(YEAR(BR41),MONTH(BR41)+24,DAY(BR41))</f>
        <v>43466</v>
      </c>
      <c r="BT41" s="605">
        <f>34022+7868</f>
        <v>41890</v>
      </c>
      <c r="BU41" s="224" t="str">
        <f t="shared" si="124"/>
        <v>non</v>
      </c>
      <c r="BV41" s="784">
        <f t="shared" si="125"/>
        <v>4.333333333333333</v>
      </c>
      <c r="BW41" s="605">
        <f t="shared" si="126"/>
        <v>31498.999999999996</v>
      </c>
      <c r="BX41" s="605">
        <f t="shared" si="127"/>
        <v>10391.000000000004</v>
      </c>
      <c r="BY41" s="817" t="s">
        <v>325</v>
      </c>
      <c r="BZ41" s="697" t="s">
        <v>457</v>
      </c>
      <c r="CA41" s="375"/>
      <c r="CB41" s="375"/>
      <c r="CC41" s="375"/>
      <c r="CD41" s="360">
        <v>42725</v>
      </c>
      <c r="CE41" s="360"/>
      <c r="CF41" s="360"/>
      <c r="CG41" s="360"/>
      <c r="CH41" s="360"/>
      <c r="CI41" s="360"/>
      <c r="CJ41" s="360"/>
      <c r="CK41" s="360">
        <v>42915</v>
      </c>
      <c r="CL41" s="360">
        <v>42912</v>
      </c>
      <c r="CM41" s="360"/>
      <c r="CN41" s="360"/>
      <c r="CO41" s="360"/>
      <c r="CP41" s="360"/>
      <c r="CQ41" s="95">
        <v>41828</v>
      </c>
      <c r="CR41" s="95">
        <v>41829</v>
      </c>
      <c r="CS41" s="95">
        <v>41862</v>
      </c>
      <c r="CT41" s="475">
        <f t="shared" si="9"/>
        <v>33</v>
      </c>
      <c r="CU41" s="95">
        <v>42048</v>
      </c>
      <c r="CV41" s="95">
        <v>42040</v>
      </c>
      <c r="CW41" s="475">
        <f t="shared" si="10"/>
        <v>-8</v>
      </c>
      <c r="CX41" s="95">
        <v>42027</v>
      </c>
      <c r="CY41" s="95">
        <v>42027</v>
      </c>
      <c r="CZ41" s="475">
        <f t="shared" si="11"/>
        <v>0</v>
      </c>
      <c r="DA41" s="95">
        <v>42121</v>
      </c>
      <c r="DB41" s="95">
        <v>42184</v>
      </c>
      <c r="DC41" s="475">
        <f t="shared" si="12"/>
        <v>63</v>
      </c>
      <c r="DD41" s="95">
        <v>42244</v>
      </c>
      <c r="DE41" s="95">
        <v>42254</v>
      </c>
      <c r="DF41" s="475">
        <f t="shared" si="13"/>
        <v>10</v>
      </c>
      <c r="DG41" s="438"/>
      <c r="DH41" s="95">
        <v>42528</v>
      </c>
      <c r="DI41" s="95">
        <v>42810</v>
      </c>
      <c r="DJ41" s="95">
        <v>42781</v>
      </c>
      <c r="DK41" s="475">
        <f t="shared" si="128"/>
        <v>-29</v>
      </c>
      <c r="DL41" s="95">
        <v>42796</v>
      </c>
      <c r="DM41" s="430">
        <v>42786</v>
      </c>
      <c r="DN41" s="325">
        <v>2017</v>
      </c>
      <c r="DO41" s="434">
        <f t="shared" si="129"/>
        <v>17.899999999999999</v>
      </c>
      <c r="DP41" s="475">
        <f t="shared" si="130"/>
        <v>-10</v>
      </c>
      <c r="DQ41" s="300">
        <v>14</v>
      </c>
      <c r="DR41" s="90">
        <f t="shared" si="131"/>
        <v>17</v>
      </c>
      <c r="DS41" s="95">
        <v>42860</v>
      </c>
      <c r="DT41" s="95">
        <v>42893</v>
      </c>
      <c r="DU41" s="475">
        <f t="shared" si="132"/>
        <v>33</v>
      </c>
      <c r="DV41" s="95">
        <v>42899</v>
      </c>
      <c r="DW41" s="512">
        <v>42978</v>
      </c>
      <c r="DX41" s="478">
        <f t="shared" si="133"/>
        <v>79</v>
      </c>
      <c r="DY41" s="95">
        <v>42978</v>
      </c>
      <c r="DZ41" s="95">
        <v>43054</v>
      </c>
      <c r="EA41" s="475">
        <f t="shared" si="134"/>
        <v>76</v>
      </c>
      <c r="EB41" s="95">
        <v>43054</v>
      </c>
      <c r="EC41" s="95">
        <v>43181</v>
      </c>
      <c r="ED41" s="475">
        <f t="shared" si="135"/>
        <v>127</v>
      </c>
      <c r="EE41" s="95">
        <v>43047</v>
      </c>
      <c r="EF41" s="95">
        <v>43604</v>
      </c>
      <c r="EG41" s="475">
        <f t="shared" si="136"/>
        <v>557</v>
      </c>
      <c r="EH41" s="95">
        <v>43167</v>
      </c>
      <c r="EI41" s="237">
        <v>43665</v>
      </c>
      <c r="EJ41" s="616">
        <f t="shared" si="137"/>
        <v>498</v>
      </c>
      <c r="EK41" s="237">
        <v>43200</v>
      </c>
      <c r="EL41" s="237">
        <v>43313</v>
      </c>
      <c r="EM41" s="616">
        <f t="shared" si="138"/>
        <v>113</v>
      </c>
      <c r="EN41" s="298"/>
      <c r="EO41" s="298"/>
      <c r="EP41" s="298"/>
      <c r="EQ41" s="534">
        <f t="shared" si="139"/>
        <v>43210</v>
      </c>
      <c r="ER41" s="331">
        <v>43326</v>
      </c>
      <c r="ES41" s="684">
        <f t="shared" si="140"/>
        <v>3.8666666666666667</v>
      </c>
      <c r="ET41" s="929">
        <f t="shared" ca="1" si="145"/>
        <v>0</v>
      </c>
      <c r="EU41" s="441">
        <f t="shared" si="147"/>
        <v>43708</v>
      </c>
      <c r="EV41" s="186">
        <v>43361</v>
      </c>
      <c r="EW41" s="186">
        <v>42879</v>
      </c>
      <c r="EX41" s="89">
        <v>43327</v>
      </c>
      <c r="EY41" s="441">
        <v>43328</v>
      </c>
      <c r="EZ41" s="746">
        <f>DATE(YEAR(EQ41),MONTH(EQ41),DAY(EQ41)+15)</f>
        <v>43225</v>
      </c>
      <c r="FA41" s="331">
        <v>43336</v>
      </c>
      <c r="FB41" s="431">
        <v>2018</v>
      </c>
      <c r="FC41" s="679">
        <f t="shared" si="141"/>
        <v>3.7</v>
      </c>
      <c r="FD41" s="630">
        <v>7269</v>
      </c>
      <c r="FE41" s="694">
        <f t="shared" si="142"/>
        <v>26895.300000000003</v>
      </c>
      <c r="FF41" s="237">
        <v>43307</v>
      </c>
      <c r="FG41" s="502">
        <v>0</v>
      </c>
      <c r="FH41" s="502">
        <f>31976-22182.97</f>
        <v>9793.0299999999988</v>
      </c>
      <c r="FI41" s="502">
        <v>11509.23</v>
      </c>
      <c r="FJ41" s="502">
        <v>0</v>
      </c>
      <c r="FK41" s="502">
        <f>(10675+20610)*1.021</f>
        <v>31941.984999999997</v>
      </c>
      <c r="FL41" s="664">
        <f t="shared" si="112"/>
        <v>1.1458239270137867E-2</v>
      </c>
      <c r="FM41" s="499" t="s">
        <v>580</v>
      </c>
      <c r="FN41" s="587" t="s">
        <v>682</v>
      </c>
      <c r="FO41" s="587" t="s">
        <v>696</v>
      </c>
      <c r="FP41" s="587"/>
      <c r="FQ41" s="94"/>
      <c r="FR41" s="95">
        <v>43440</v>
      </c>
      <c r="FS41" s="94"/>
      <c r="FT41" s="94"/>
      <c r="FU41" s="212" t="s">
        <v>919</v>
      </c>
      <c r="FV41" s="87">
        <v>43474</v>
      </c>
      <c r="FW41" s="212">
        <f t="shared" si="146"/>
        <v>43691</v>
      </c>
      <c r="FX41" s="212"/>
      <c r="FY41" s="39"/>
      <c r="FZ41" s="87">
        <v>43419</v>
      </c>
      <c r="GA41" s="87">
        <v>43529</v>
      </c>
      <c r="GB41" s="39"/>
      <c r="GC41" s="39"/>
      <c r="GD41" s="39"/>
      <c r="GE41" s="39"/>
      <c r="GF41" s="39"/>
      <c r="GG41" s="143"/>
      <c r="GH41" s="39"/>
      <c r="GI41" s="39"/>
      <c r="GJ41" s="39"/>
      <c r="GK41" s="39"/>
      <c r="GL41" s="742"/>
      <c r="GM41" s="979">
        <f t="shared" si="144"/>
        <v>2787687.03</v>
      </c>
      <c r="GN41" s="772">
        <f t="shared" si="34"/>
        <v>2787687.03</v>
      </c>
      <c r="GO41" s="683">
        <f t="shared" si="143"/>
        <v>2787687.03</v>
      </c>
      <c r="GP41" s="909">
        <f t="shared" si="148"/>
        <v>430128</v>
      </c>
      <c r="GQ41" s="35">
        <f t="shared" si="97"/>
        <v>2145.1832075166794</v>
      </c>
      <c r="GR41" s="35">
        <f t="shared" si="98"/>
        <v>139384.35149999999</v>
      </c>
      <c r="GS41" s="573">
        <v>803098</v>
      </c>
      <c r="GT41" s="577"/>
      <c r="GU41" s="575">
        <f t="shared" si="99"/>
        <v>40154.9</v>
      </c>
      <c r="GV41" s="11">
        <f>GX41+GW41</f>
        <v>1544668</v>
      </c>
      <c r="GW41" s="12">
        <v>339371</v>
      </c>
      <c r="GX41" s="12">
        <v>1205297</v>
      </c>
      <c r="GY41" s="567">
        <f t="shared" si="100"/>
        <v>77233.399999999994</v>
      </c>
      <c r="GZ41" s="11"/>
      <c r="HA41" s="11">
        <v>400000</v>
      </c>
      <c r="HB41" s="53"/>
      <c r="HC41" s="28">
        <f t="shared" si="101"/>
        <v>0.14348813037308569</v>
      </c>
      <c r="HD41" s="68"/>
      <c r="HE41" s="68"/>
      <c r="HF41" s="11">
        <v>30128</v>
      </c>
      <c r="HG41" s="35">
        <f t="shared" si="102"/>
        <v>20000</v>
      </c>
      <c r="HH41" s="35">
        <f t="shared" si="103"/>
        <v>60154.9</v>
      </c>
      <c r="HI41" s="27">
        <v>0</v>
      </c>
      <c r="HJ41" s="27">
        <v>0</v>
      </c>
      <c r="HK41" s="19">
        <f t="shared" si="149"/>
        <v>60154.9</v>
      </c>
      <c r="HL41" s="27">
        <v>0</v>
      </c>
      <c r="HM41" s="19">
        <f t="shared" si="104"/>
        <v>60154.9</v>
      </c>
      <c r="HN41" s="36">
        <f t="shared" si="150"/>
        <v>0.43157570668899659</v>
      </c>
      <c r="HO41" s="27">
        <v>0</v>
      </c>
      <c r="HP41" s="27"/>
      <c r="HQ41" s="11">
        <f>FH41</f>
        <v>9793.0299999999988</v>
      </c>
      <c r="HR41" s="909">
        <v>2524740.5956999999</v>
      </c>
      <c r="HS41" s="907">
        <f t="shared" si="105"/>
        <v>0.905675769385059</v>
      </c>
      <c r="HT41" s="915">
        <f t="shared" si="106"/>
        <v>262946.43429999985</v>
      </c>
      <c r="HU41" s="898">
        <f t="shared" ca="1" si="49"/>
        <v>262946.43429999985</v>
      </c>
      <c r="HV41" s="907">
        <f t="shared" ca="1" si="151"/>
        <v>1</v>
      </c>
      <c r="HW41" s="898">
        <f>'[3]GLOBAL OPERATION'!$AG$37</f>
        <v>325531</v>
      </c>
      <c r="HX41" s="898">
        <f t="shared" si="50"/>
        <v>104597</v>
      </c>
      <c r="HY41" s="907">
        <f t="shared" si="51"/>
        <v>0.75682355019901049</v>
      </c>
      <c r="HZ41" s="907"/>
      <c r="IA41" s="29" t="e">
        <f>#REF!+HI41</f>
        <v>#REF!</v>
      </c>
      <c r="IB41" s="752"/>
      <c r="IC41" s="73"/>
      <c r="ID41" s="73"/>
      <c r="IE41" s="73"/>
      <c r="IF41" s="73"/>
    </row>
    <row r="42" spans="1:240" s="25" customFormat="1" ht="20.100000000000001" customHeight="1">
      <c r="A42" s="969" t="s">
        <v>232</v>
      </c>
      <c r="B42" s="74" t="s">
        <v>805</v>
      </c>
      <c r="C42" s="8" t="s">
        <v>25</v>
      </c>
      <c r="D42" s="8" t="s">
        <v>94</v>
      </c>
      <c r="E42" s="8">
        <v>2014</v>
      </c>
      <c r="F42" s="8" t="s">
        <v>129</v>
      </c>
      <c r="G42" s="8" t="s">
        <v>16</v>
      </c>
      <c r="H42" s="8" t="s">
        <v>371</v>
      </c>
      <c r="I42" s="18" t="s">
        <v>140</v>
      </c>
      <c r="J42" s="39"/>
      <c r="K42" s="39"/>
      <c r="L42" s="199" t="s">
        <v>298</v>
      </c>
      <c r="M42" s="126" t="s">
        <v>46</v>
      </c>
      <c r="N42" s="80" t="s">
        <v>114</v>
      </c>
      <c r="O42" s="81"/>
      <c r="P42" s="167">
        <v>2529</v>
      </c>
      <c r="Q42" s="167">
        <f>R42</f>
        <v>217810</v>
      </c>
      <c r="R42" s="167">
        <v>217810</v>
      </c>
      <c r="S42" s="161">
        <f t="shared" si="113"/>
        <v>7260.333333333333</v>
      </c>
      <c r="T42" s="167">
        <f t="shared" si="114"/>
        <v>86.124950573349153</v>
      </c>
      <c r="U42" s="167">
        <f t="shared" si="115"/>
        <v>86.124950573349153</v>
      </c>
      <c r="V42" s="167">
        <f t="shared" si="116"/>
        <v>84.950954581797617</v>
      </c>
      <c r="W42" s="167">
        <f t="shared" si="117"/>
        <v>7260.333333333333</v>
      </c>
      <c r="X42" s="161">
        <f t="shared" si="118"/>
        <v>84.3</v>
      </c>
      <c r="Y42" s="170">
        <f>523.3+554</f>
        <v>1077.3</v>
      </c>
      <c r="Z42" s="734">
        <f t="shared" si="119"/>
        <v>118.62396204033215</v>
      </c>
      <c r="AA42" s="170"/>
      <c r="AB42" s="164">
        <v>110</v>
      </c>
      <c r="AC42" s="165"/>
      <c r="AD42" s="8" t="s">
        <v>10</v>
      </c>
      <c r="AE42" s="674">
        <f t="shared" si="120"/>
        <v>30</v>
      </c>
      <c r="AF42" s="674">
        <f t="shared" si="121"/>
        <v>30</v>
      </c>
      <c r="AG42" s="9"/>
      <c r="AH42" s="8">
        <v>30</v>
      </c>
      <c r="AI42" s="50"/>
      <c r="AJ42" s="50"/>
      <c r="AK42" s="209">
        <v>2202.3000000000002</v>
      </c>
      <c r="AL42" s="426">
        <v>2563.9499999999998</v>
      </c>
      <c r="AM42" s="875">
        <f t="shared" si="122"/>
        <v>73.410000000000011</v>
      </c>
      <c r="AN42" s="10">
        <f t="shared" si="123"/>
        <v>85.464999999999989</v>
      </c>
      <c r="AO42" s="43">
        <v>5.97</v>
      </c>
      <c r="AP42" s="43">
        <v>5.13</v>
      </c>
      <c r="AQ42" s="43">
        <v>438.4627734</v>
      </c>
      <c r="AR42" s="61">
        <f>2/AE42</f>
        <v>6.6666666666666666E-2</v>
      </c>
      <c r="AS42" s="61">
        <f>12/AE42</f>
        <v>0.4</v>
      </c>
      <c r="AT42" s="61">
        <f>12/AE42</f>
        <v>0.4</v>
      </c>
      <c r="AU42" s="61">
        <f>3/AE42</f>
        <v>0.1</v>
      </c>
      <c r="AV42" s="61">
        <f>1/AE42</f>
        <v>3.3333333333333333E-2</v>
      </c>
      <c r="AW42" s="10"/>
      <c r="AX42" s="59">
        <v>0</v>
      </c>
      <c r="AY42" s="61">
        <f>AX42/P42</f>
        <v>0</v>
      </c>
      <c r="AZ42" s="43">
        <v>4</v>
      </c>
      <c r="BA42" s="42" t="s">
        <v>439</v>
      </c>
      <c r="BB42" s="8" t="s">
        <v>100</v>
      </c>
      <c r="BC42" s="39"/>
      <c r="BD42" s="39"/>
      <c r="BE42" s="39"/>
      <c r="BF42" s="39"/>
      <c r="BG42" s="87">
        <v>41667</v>
      </c>
      <c r="BH42" s="88"/>
      <c r="BI42" s="159">
        <v>41890</v>
      </c>
      <c r="BJ42" s="75"/>
      <c r="BK42" s="867"/>
      <c r="BL42" s="124">
        <v>42233</v>
      </c>
      <c r="BM42" s="157">
        <v>42262</v>
      </c>
      <c r="BN42" s="1007">
        <f t="shared" si="73"/>
        <v>0.96666666666666667</v>
      </c>
      <c r="BO42" s="158"/>
      <c r="BP42" s="125">
        <v>42353</v>
      </c>
      <c r="BQ42" s="125">
        <v>42269</v>
      </c>
      <c r="BR42" s="225">
        <v>42370</v>
      </c>
      <c r="BS42" s="224">
        <f t="shared" si="152"/>
        <v>43101</v>
      </c>
      <c r="BT42" s="605">
        <f>10688+63372</f>
        <v>74060</v>
      </c>
      <c r="BU42" s="224" t="str">
        <f t="shared" si="124"/>
        <v>oui</v>
      </c>
      <c r="BV42" s="784">
        <f t="shared" si="125"/>
        <v>-7.9333333333333336</v>
      </c>
      <c r="BW42" s="605" t="str">
        <f t="shared" si="126"/>
        <v>0</v>
      </c>
      <c r="BX42" s="605">
        <f t="shared" si="127"/>
        <v>74060</v>
      </c>
      <c r="BY42" s="705" t="s">
        <v>107</v>
      </c>
      <c r="BZ42" s="697" t="s">
        <v>308</v>
      </c>
      <c r="CA42" s="707"/>
      <c r="CB42" s="707"/>
      <c r="CC42" s="707"/>
      <c r="CD42" s="699" t="s">
        <v>273</v>
      </c>
      <c r="CE42" s="699"/>
      <c r="CF42" s="699"/>
      <c r="CG42" s="699"/>
      <c r="CH42" s="699"/>
      <c r="CI42" s="699"/>
      <c r="CJ42" s="699"/>
      <c r="CK42" s="699">
        <v>42410</v>
      </c>
      <c r="CL42" s="699"/>
      <c r="CM42" s="699"/>
      <c r="CN42" s="699"/>
      <c r="CO42" s="699"/>
      <c r="CP42" s="699"/>
      <c r="CQ42" s="95">
        <v>41543</v>
      </c>
      <c r="CR42" s="95">
        <v>41544</v>
      </c>
      <c r="CS42" s="95">
        <v>41554</v>
      </c>
      <c r="CT42" s="475">
        <f t="shared" si="9"/>
        <v>10</v>
      </c>
      <c r="CU42" s="95">
        <v>41676</v>
      </c>
      <c r="CV42" s="95">
        <v>41625</v>
      </c>
      <c r="CW42" s="475">
        <f t="shared" si="10"/>
        <v>-51</v>
      </c>
      <c r="CX42" s="95">
        <v>41708</v>
      </c>
      <c r="CY42" s="95">
        <v>41708</v>
      </c>
      <c r="CZ42" s="475">
        <f t="shared" si="11"/>
        <v>0</v>
      </c>
      <c r="DA42" s="95">
        <v>41835</v>
      </c>
      <c r="DB42" s="95">
        <v>41835</v>
      </c>
      <c r="DC42" s="475">
        <f t="shared" si="12"/>
        <v>0</v>
      </c>
      <c r="DD42" s="95">
        <v>41892</v>
      </c>
      <c r="DE42" s="95">
        <v>41892</v>
      </c>
      <c r="DF42" s="475">
        <f t="shared" si="13"/>
        <v>0</v>
      </c>
      <c r="DG42" s="61"/>
      <c r="DH42" s="95">
        <v>42055</v>
      </c>
      <c r="DI42" s="95">
        <v>42368</v>
      </c>
      <c r="DJ42" s="95">
        <v>42772</v>
      </c>
      <c r="DK42" s="475">
        <f t="shared" si="128"/>
        <v>404</v>
      </c>
      <c r="DL42" s="95">
        <v>42787</v>
      </c>
      <c r="DM42" s="331">
        <v>42772</v>
      </c>
      <c r="DN42" s="325">
        <v>2017</v>
      </c>
      <c r="DO42" s="434">
        <f t="shared" si="129"/>
        <v>29.4</v>
      </c>
      <c r="DP42" s="475">
        <f t="shared" si="130"/>
        <v>-15</v>
      </c>
      <c r="DQ42" s="187">
        <v>16</v>
      </c>
      <c r="DR42" s="90">
        <f t="shared" si="131"/>
        <v>18</v>
      </c>
      <c r="DS42" s="95">
        <v>42839</v>
      </c>
      <c r="DT42" s="95">
        <v>42839</v>
      </c>
      <c r="DU42" s="475">
        <f t="shared" si="132"/>
        <v>0</v>
      </c>
      <c r="DV42" s="477">
        <v>42908</v>
      </c>
      <c r="DW42" s="476">
        <v>42907</v>
      </c>
      <c r="DX42" s="478">
        <f t="shared" si="133"/>
        <v>-1</v>
      </c>
      <c r="DY42" s="477">
        <v>43144</v>
      </c>
      <c r="DZ42" s="477">
        <v>43088</v>
      </c>
      <c r="EA42" s="475">
        <f t="shared" si="134"/>
        <v>-56</v>
      </c>
      <c r="EB42" s="95">
        <v>43189</v>
      </c>
      <c r="EC42" s="95">
        <v>43189</v>
      </c>
      <c r="ED42" s="475">
        <f t="shared" si="135"/>
        <v>0</v>
      </c>
      <c r="EE42" s="95">
        <v>43147</v>
      </c>
      <c r="EF42" s="95">
        <v>43209</v>
      </c>
      <c r="EG42" s="616">
        <f t="shared" si="136"/>
        <v>62</v>
      </c>
      <c r="EH42" s="237">
        <v>43168</v>
      </c>
      <c r="EI42" s="237">
        <v>43216</v>
      </c>
      <c r="EJ42" s="616">
        <f t="shared" si="137"/>
        <v>48</v>
      </c>
      <c r="EK42" s="237">
        <v>43238</v>
      </c>
      <c r="EL42" s="237">
        <v>43311</v>
      </c>
      <c r="EM42" s="616">
        <f t="shared" si="138"/>
        <v>73</v>
      </c>
      <c r="EN42" s="237">
        <v>43224</v>
      </c>
      <c r="EO42" s="237">
        <v>43224</v>
      </c>
      <c r="EP42" s="237">
        <v>43160</v>
      </c>
      <c r="EQ42" s="441">
        <f t="shared" si="139"/>
        <v>43257</v>
      </c>
      <c r="ER42" s="331">
        <v>43339</v>
      </c>
      <c r="ES42" s="684">
        <f t="shared" si="140"/>
        <v>2.7333333333333334</v>
      </c>
      <c r="ET42" s="930">
        <f t="shared" ca="1" si="145"/>
        <v>0</v>
      </c>
      <c r="EU42" s="441">
        <f t="shared" si="147"/>
        <v>43637</v>
      </c>
      <c r="EV42" s="186">
        <v>43341</v>
      </c>
      <c r="EW42" s="181">
        <v>42702</v>
      </c>
      <c r="EX42" s="89">
        <f>DATE(YEAR(ER42),MONTH(ER42),DAY(ER42)+15)</f>
        <v>43354</v>
      </c>
      <c r="EY42" s="678" t="s">
        <v>693</v>
      </c>
      <c r="EZ42" s="746">
        <f>DATE(YEAR(EQ42),MONTH(EQ42),DAY(EQ42)+15)</f>
        <v>43272</v>
      </c>
      <c r="FA42" s="331">
        <v>43339</v>
      </c>
      <c r="FB42" s="431">
        <v>2018</v>
      </c>
      <c r="FC42" s="679">
        <f t="shared" si="141"/>
        <v>2.2333333333333334</v>
      </c>
      <c r="FD42" s="629">
        <f>154560.988069324/12</f>
        <v>12880.082339110333</v>
      </c>
      <c r="FE42" s="694">
        <f t="shared" si="142"/>
        <v>28765.517224013078</v>
      </c>
      <c r="FF42" s="237">
        <v>43278</v>
      </c>
      <c r="FG42" s="502">
        <v>0</v>
      </c>
      <c r="FH42" s="502">
        <v>0</v>
      </c>
      <c r="FI42" s="502">
        <f>99194.95*1.021</f>
        <v>101278.04394999999</v>
      </c>
      <c r="FJ42" s="502"/>
      <c r="FK42" s="502">
        <v>84397</v>
      </c>
      <c r="FL42" s="664">
        <f t="shared" si="112"/>
        <v>1.7556918865481084E-2</v>
      </c>
      <c r="FM42" s="500" t="s">
        <v>576</v>
      </c>
      <c r="FN42" s="668"/>
      <c r="FO42" s="587" t="s">
        <v>697</v>
      </c>
      <c r="FP42" s="587" t="s">
        <v>651</v>
      </c>
      <c r="FQ42" s="94"/>
      <c r="FR42" s="95">
        <v>43441</v>
      </c>
      <c r="FS42" s="94"/>
      <c r="FT42" s="94"/>
      <c r="FU42" s="212" t="s">
        <v>921</v>
      </c>
      <c r="FV42" s="376" t="s">
        <v>919</v>
      </c>
      <c r="FW42" s="212">
        <f t="shared" si="146"/>
        <v>43704</v>
      </c>
      <c r="FX42" s="212"/>
      <c r="FY42" s="39"/>
      <c r="FZ42" s="87">
        <v>43417</v>
      </c>
      <c r="GA42" s="87">
        <v>43552</v>
      </c>
      <c r="GB42" s="39"/>
      <c r="GC42" s="39"/>
      <c r="GD42" s="39"/>
      <c r="GE42" s="39"/>
      <c r="GF42" s="39"/>
      <c r="GG42" s="39"/>
      <c r="GH42" s="39"/>
      <c r="GI42" s="39"/>
      <c r="GJ42" s="39"/>
      <c r="GK42" s="39"/>
      <c r="GL42" s="742"/>
      <c r="GM42" s="979">
        <f t="shared" si="144"/>
        <v>4807050.75</v>
      </c>
      <c r="GN42" s="772">
        <f t="shared" si="34"/>
        <v>4807050.75</v>
      </c>
      <c r="GO42" s="683">
        <f t="shared" si="143"/>
        <v>4807050.75</v>
      </c>
      <c r="GP42" s="909">
        <f t="shared" si="148"/>
        <v>638342.75</v>
      </c>
      <c r="GQ42" s="35">
        <f t="shared" si="97"/>
        <v>1874.8613467501318</v>
      </c>
      <c r="GR42" s="35">
        <f t="shared" si="98"/>
        <v>160235.02499999999</v>
      </c>
      <c r="GS42" s="573">
        <v>1462622</v>
      </c>
      <c r="GT42" s="577"/>
      <c r="GU42" s="575">
        <f t="shared" si="99"/>
        <v>48754.066666666666</v>
      </c>
      <c r="GV42" s="11">
        <f>+GW42+GX42</f>
        <v>2706086</v>
      </c>
      <c r="GW42" s="12">
        <v>461009</v>
      </c>
      <c r="GX42" s="12">
        <v>2245077</v>
      </c>
      <c r="GY42" s="567">
        <f t="shared" si="100"/>
        <v>90202.866666666669</v>
      </c>
      <c r="GZ42" s="11"/>
      <c r="HA42" s="11">
        <v>600000</v>
      </c>
      <c r="HB42" s="53">
        <v>0</v>
      </c>
      <c r="HC42" s="28">
        <f t="shared" si="101"/>
        <v>0.12481665603384778</v>
      </c>
      <c r="HD42" s="68"/>
      <c r="HE42" s="68"/>
      <c r="HF42" s="11">
        <v>38342.75</v>
      </c>
      <c r="HG42" s="35">
        <f t="shared" si="102"/>
        <v>20000</v>
      </c>
      <c r="HH42" s="35">
        <f t="shared" si="103"/>
        <v>68754.066666666666</v>
      </c>
      <c r="HI42" s="858">
        <v>0</v>
      </c>
      <c r="HJ42" s="858">
        <v>0</v>
      </c>
      <c r="HK42" s="19">
        <f t="shared" si="149"/>
        <v>68754.066666666666</v>
      </c>
      <c r="HL42" s="858">
        <v>0</v>
      </c>
      <c r="HM42" s="34">
        <f t="shared" si="104"/>
        <v>68754.066666666666</v>
      </c>
      <c r="HN42" s="36">
        <f t="shared" si="150"/>
        <v>0.42908263450307865</v>
      </c>
      <c r="HO42" s="858">
        <v>0</v>
      </c>
      <c r="HP42" s="858"/>
      <c r="HQ42" s="855">
        <f>FH42</f>
        <v>0</v>
      </c>
      <c r="HR42" s="909">
        <v>4582214.86063</v>
      </c>
      <c r="HS42" s="907">
        <f t="shared" si="105"/>
        <v>0.95322789355406745</v>
      </c>
      <c r="HT42" s="915">
        <f t="shared" si="106"/>
        <v>224835.88936999999</v>
      </c>
      <c r="HU42" s="898">
        <f t="shared" ca="1" si="49"/>
        <v>224835.88936999999</v>
      </c>
      <c r="HV42" s="907">
        <f t="shared" ca="1" si="151"/>
        <v>1</v>
      </c>
      <c r="HW42" s="898">
        <f>'[3]GLOBAL OPERATION'!$AG$36</f>
        <v>480000</v>
      </c>
      <c r="HX42" s="898">
        <f t="shared" si="50"/>
        <v>158342.75</v>
      </c>
      <c r="HY42" s="907">
        <f t="shared" si="51"/>
        <v>0.75194713185040485</v>
      </c>
      <c r="HZ42" s="907"/>
      <c r="IA42" s="29" t="e">
        <f>#REF!+HI42</f>
        <v>#REF!</v>
      </c>
      <c r="IB42" s="752"/>
      <c r="IC42" s="73"/>
      <c r="ID42" s="73"/>
      <c r="IE42" s="73"/>
      <c r="IF42" s="73"/>
    </row>
    <row r="43" spans="1:240" ht="27.75" customHeight="1">
      <c r="A43" s="971" t="s">
        <v>712</v>
      </c>
      <c r="B43" s="66" t="s">
        <v>805</v>
      </c>
      <c r="C43" s="8" t="s">
        <v>33</v>
      </c>
      <c r="D43" s="8" t="s">
        <v>93</v>
      </c>
      <c r="E43" s="8">
        <v>2015</v>
      </c>
      <c r="F43" s="8" t="s">
        <v>197</v>
      </c>
      <c r="G43" s="8" t="s">
        <v>119</v>
      </c>
      <c r="H43" s="8" t="s">
        <v>147</v>
      </c>
      <c r="I43" s="798" t="s">
        <v>140</v>
      </c>
      <c r="J43" s="41"/>
      <c r="K43" s="39"/>
      <c r="L43" s="199" t="s">
        <v>297</v>
      </c>
      <c r="M43" s="126" t="s">
        <v>51</v>
      </c>
      <c r="N43" s="80" t="s">
        <v>118</v>
      </c>
      <c r="O43" s="81"/>
      <c r="P43" s="161">
        <v>1767</v>
      </c>
      <c r="Q43" s="161">
        <v>210000</v>
      </c>
      <c r="R43" s="161">
        <v>210000</v>
      </c>
      <c r="S43" s="161">
        <f t="shared" si="113"/>
        <v>11666.666666666666</v>
      </c>
      <c r="T43" s="161">
        <f t="shared" si="114"/>
        <v>118.84550084889644</v>
      </c>
      <c r="U43" s="167">
        <f t="shared" si="115"/>
        <v>118.84550084889644</v>
      </c>
      <c r="V43" s="167">
        <f t="shared" si="116"/>
        <v>122.89973137630142</v>
      </c>
      <c r="W43" s="167">
        <f t="shared" si="117"/>
        <v>11666.666666666666</v>
      </c>
      <c r="X43" s="161">
        <f t="shared" si="118"/>
        <v>98.166666666666671</v>
      </c>
      <c r="Y43" s="162"/>
      <c r="Z43" s="733">
        <f t="shared" si="119"/>
        <v>101.86757215619694</v>
      </c>
      <c r="AA43" s="162" t="s">
        <v>205</v>
      </c>
      <c r="AB43" s="164">
        <v>200</v>
      </c>
      <c r="AC43" s="165"/>
      <c r="AD43" s="18" t="s">
        <v>10</v>
      </c>
      <c r="AE43" s="674">
        <f t="shared" si="120"/>
        <v>18</v>
      </c>
      <c r="AF43" s="674">
        <f t="shared" si="121"/>
        <v>18</v>
      </c>
      <c r="AG43" s="9"/>
      <c r="AH43" s="8">
        <v>18</v>
      </c>
      <c r="AI43" s="50"/>
      <c r="AJ43" s="50"/>
      <c r="AK43" s="209">
        <v>1480.6299999999999</v>
      </c>
      <c r="AL43" s="426">
        <v>1708.71</v>
      </c>
      <c r="AM43" s="875">
        <f t="shared" si="122"/>
        <v>82.257222222222211</v>
      </c>
      <c r="AN43" s="10">
        <f t="shared" si="123"/>
        <v>94.928333333333342</v>
      </c>
      <c r="AO43" s="43">
        <v>5.8</v>
      </c>
      <c r="AP43" s="43">
        <v>5.0199999999999996</v>
      </c>
      <c r="AQ43" s="43">
        <v>476.85</v>
      </c>
      <c r="AR43" s="61">
        <v>0</v>
      </c>
      <c r="AS43" s="61">
        <v>0</v>
      </c>
      <c r="AT43" s="61">
        <f>10/AE43</f>
        <v>0.55555555555555558</v>
      </c>
      <c r="AU43" s="61">
        <f>4/AE43</f>
        <v>0.22222222222222221</v>
      </c>
      <c r="AV43" s="61">
        <f>4/AE43</f>
        <v>0.22222222222222221</v>
      </c>
      <c r="AW43" s="10"/>
      <c r="AX43" s="59">
        <v>0</v>
      </c>
      <c r="AY43" s="61">
        <v>0</v>
      </c>
      <c r="AZ43" s="43">
        <v>3</v>
      </c>
      <c r="BA43" s="42" t="s">
        <v>439</v>
      </c>
      <c r="BB43" s="8" t="s">
        <v>100</v>
      </c>
      <c r="BC43" s="39"/>
      <c r="BD43" s="39"/>
      <c r="BE43" s="39"/>
      <c r="BF43" s="39"/>
      <c r="BG43" s="87">
        <v>41920</v>
      </c>
      <c r="BH43" s="39"/>
      <c r="BI43" s="159">
        <v>42320</v>
      </c>
      <c r="BJ43" s="75"/>
      <c r="BK43" s="867"/>
      <c r="BL43" s="124">
        <v>42608</v>
      </c>
      <c r="BM43" s="157">
        <v>42620</v>
      </c>
      <c r="BN43" s="1007">
        <f t="shared" si="73"/>
        <v>0.4</v>
      </c>
      <c r="BO43" s="158"/>
      <c r="BP43" s="125">
        <v>42711</v>
      </c>
      <c r="BQ43" s="125">
        <v>42648</v>
      </c>
      <c r="BR43" s="225">
        <v>42736</v>
      </c>
      <c r="BS43" s="224">
        <f t="shared" si="152"/>
        <v>43466</v>
      </c>
      <c r="BT43" s="605">
        <f>47718.4+7748.48</f>
        <v>55466.880000000005</v>
      </c>
      <c r="BU43" s="224" t="str">
        <f t="shared" si="124"/>
        <v>non</v>
      </c>
      <c r="BV43" s="784">
        <f t="shared" si="125"/>
        <v>3.2</v>
      </c>
      <c r="BW43" s="605">
        <f t="shared" si="126"/>
        <v>28294.400000000001</v>
      </c>
      <c r="BX43" s="605">
        <f t="shared" si="127"/>
        <v>27172.480000000003</v>
      </c>
      <c r="BY43" s="705">
        <v>42627</v>
      </c>
      <c r="BZ43" s="705">
        <v>42725</v>
      </c>
      <c r="CA43" s="217"/>
      <c r="CB43" s="217"/>
      <c r="CC43" s="217"/>
      <c r="CD43" s="216"/>
      <c r="CE43" s="216"/>
      <c r="CF43" s="216"/>
      <c r="CG43" s="216"/>
      <c r="CH43" s="216"/>
      <c r="CI43" s="216"/>
      <c r="CJ43" s="216"/>
      <c r="CK43" s="77">
        <v>42725</v>
      </c>
      <c r="CL43" s="216"/>
      <c r="CM43" s="216"/>
      <c r="CN43" s="216"/>
      <c r="CO43" s="216"/>
      <c r="CP43" s="216"/>
      <c r="CQ43" s="95">
        <v>41813</v>
      </c>
      <c r="CR43" s="95">
        <v>41814</v>
      </c>
      <c r="CS43" s="95">
        <v>41813</v>
      </c>
      <c r="CT43" s="475">
        <f t="shared" si="9"/>
        <v>-1</v>
      </c>
      <c r="CU43" s="95">
        <v>42027</v>
      </c>
      <c r="CV43" s="95">
        <v>41996</v>
      </c>
      <c r="CW43" s="475">
        <f t="shared" si="10"/>
        <v>-31</v>
      </c>
      <c r="CX43" s="95">
        <v>42026</v>
      </c>
      <c r="CY43" s="95">
        <v>42038</v>
      </c>
      <c r="CZ43" s="475">
        <f t="shared" si="11"/>
        <v>12</v>
      </c>
      <c r="DA43" s="95">
        <v>42078</v>
      </c>
      <c r="DB43" s="95">
        <v>42128</v>
      </c>
      <c r="DC43" s="475">
        <f t="shared" si="12"/>
        <v>50</v>
      </c>
      <c r="DD43" s="95">
        <v>42186</v>
      </c>
      <c r="DE43" s="95">
        <v>42254</v>
      </c>
      <c r="DF43" s="475">
        <f t="shared" si="13"/>
        <v>68</v>
      </c>
      <c r="DG43" s="438"/>
      <c r="DH43" s="95">
        <v>42472</v>
      </c>
      <c r="DI43" s="95">
        <v>42695</v>
      </c>
      <c r="DJ43" s="95">
        <v>42769</v>
      </c>
      <c r="DK43" s="475">
        <f t="shared" si="128"/>
        <v>74</v>
      </c>
      <c r="DL43" s="95">
        <v>42783</v>
      </c>
      <c r="DM43" s="430">
        <v>42772</v>
      </c>
      <c r="DN43" s="325">
        <v>2017</v>
      </c>
      <c r="DO43" s="434">
        <f t="shared" si="129"/>
        <v>15.066666666666666</v>
      </c>
      <c r="DP43" s="475">
        <f t="shared" si="130"/>
        <v>-11</v>
      </c>
      <c r="DQ43" s="198">
        <v>16</v>
      </c>
      <c r="DR43" s="90">
        <f t="shared" si="131"/>
        <v>18</v>
      </c>
      <c r="DS43" s="95">
        <v>42800</v>
      </c>
      <c r="DT43" s="95">
        <v>42867</v>
      </c>
      <c r="DU43" s="475">
        <f t="shared" si="132"/>
        <v>67</v>
      </c>
      <c r="DV43" s="95">
        <v>42899</v>
      </c>
      <c r="DW43" s="512">
        <v>42923</v>
      </c>
      <c r="DX43" s="478">
        <f t="shared" si="133"/>
        <v>24</v>
      </c>
      <c r="DY43" s="95">
        <v>43068</v>
      </c>
      <c r="DZ43" s="95">
        <v>43064</v>
      </c>
      <c r="EA43" s="475">
        <f t="shared" si="134"/>
        <v>-4</v>
      </c>
      <c r="EB43" s="95">
        <v>43082</v>
      </c>
      <c r="EC43" s="95">
        <v>43082</v>
      </c>
      <c r="ED43" s="475">
        <f t="shared" si="135"/>
        <v>0</v>
      </c>
      <c r="EE43" s="95">
        <v>43136</v>
      </c>
      <c r="EF43" s="95">
        <v>43144</v>
      </c>
      <c r="EG43" s="475">
        <f t="shared" si="136"/>
        <v>8</v>
      </c>
      <c r="EH43" s="95">
        <v>43216</v>
      </c>
      <c r="EI43" s="95">
        <v>43294</v>
      </c>
      <c r="EJ43" s="475">
        <f t="shared" si="137"/>
        <v>78</v>
      </c>
      <c r="EK43" s="95">
        <v>43244</v>
      </c>
      <c r="EL43" s="95">
        <v>43325</v>
      </c>
      <c r="EM43" s="475">
        <f t="shared" si="138"/>
        <v>81</v>
      </c>
      <c r="EN43" s="95"/>
      <c r="EO43" s="95"/>
      <c r="EP43" s="95"/>
      <c r="EQ43" s="534">
        <f t="shared" si="139"/>
        <v>43257</v>
      </c>
      <c r="ER43" s="331">
        <v>43346</v>
      </c>
      <c r="ES43" s="684">
        <f t="shared" si="140"/>
        <v>2.9666666666666668</v>
      </c>
      <c r="ET43" s="930">
        <f t="shared" ca="1" si="145"/>
        <v>0</v>
      </c>
      <c r="EU43" s="441">
        <f t="shared" si="147"/>
        <v>43653</v>
      </c>
      <c r="EV43" s="89">
        <v>43360</v>
      </c>
      <c r="EW43" s="238">
        <v>42879</v>
      </c>
      <c r="EX43" s="89">
        <v>43334</v>
      </c>
      <c r="EY43" s="441">
        <v>43340</v>
      </c>
      <c r="EZ43" s="746">
        <f>DATE(YEAR(EQ43),MONTH(EQ43),DAY(EQ43)+15)</f>
        <v>43272</v>
      </c>
      <c r="FA43" s="331">
        <v>43370</v>
      </c>
      <c r="FB43" s="431">
        <v>2018</v>
      </c>
      <c r="FC43" s="679">
        <f t="shared" si="141"/>
        <v>3.2666666666666666</v>
      </c>
      <c r="FD43" s="630">
        <v>8842</v>
      </c>
      <c r="FE43" s="901">
        <f t="shared" si="142"/>
        <v>28883.866666666665</v>
      </c>
      <c r="FF43" s="237">
        <v>43328</v>
      </c>
      <c r="FG43" s="502">
        <v>0</v>
      </c>
      <c r="FH43" s="502">
        <v>0</v>
      </c>
      <c r="FI43" s="502">
        <f>174061.74*1.021</f>
        <v>177717.03653999997</v>
      </c>
      <c r="FJ43" s="502">
        <v>128189</v>
      </c>
      <c r="FK43" s="502">
        <f>8252.34*1.021</f>
        <v>8425.6391399999993</v>
      </c>
      <c r="FL43" s="664">
        <f t="shared" si="112"/>
        <v>2.4811956027903106E-3</v>
      </c>
      <c r="FM43" s="499" t="s">
        <v>580</v>
      </c>
      <c r="FN43" s="587"/>
      <c r="FO43" s="587" t="s">
        <v>678</v>
      </c>
      <c r="FP43" s="587" t="s">
        <v>585</v>
      </c>
      <c r="FQ43" s="94"/>
      <c r="FR43" s="95">
        <v>43446</v>
      </c>
      <c r="FS43" s="94"/>
      <c r="FT43" s="94"/>
      <c r="FU43" s="212" t="s">
        <v>921</v>
      </c>
      <c r="FV43" s="376" t="s">
        <v>919</v>
      </c>
      <c r="FW43" s="212">
        <f t="shared" si="146"/>
        <v>43711</v>
      </c>
      <c r="FX43" s="212"/>
      <c r="FY43" s="39"/>
      <c r="FZ43" s="87">
        <v>43417</v>
      </c>
      <c r="GA43" s="87">
        <v>43545</v>
      </c>
      <c r="GB43" s="39"/>
      <c r="GC43" s="39"/>
      <c r="GD43" s="39"/>
      <c r="GE43" s="39"/>
      <c r="GF43" s="39"/>
      <c r="GG43" s="143"/>
      <c r="GH43" s="88" t="s">
        <v>107</v>
      </c>
      <c r="GI43" s="39"/>
      <c r="GJ43" s="39"/>
      <c r="GK43" s="39"/>
      <c r="GL43" s="742"/>
      <c r="GM43" s="979">
        <f t="shared" si="144"/>
        <v>3395798.03</v>
      </c>
      <c r="GN43" s="772">
        <f t="shared" si="34"/>
        <v>3395798.03</v>
      </c>
      <c r="GO43" s="683">
        <f t="shared" si="143"/>
        <v>3395798.03</v>
      </c>
      <c r="GP43" s="909">
        <f t="shared" si="148"/>
        <v>388277.03</v>
      </c>
      <c r="GQ43" s="35">
        <f t="shared" si="97"/>
        <v>1987.346027119874</v>
      </c>
      <c r="GR43" s="35">
        <f t="shared" si="98"/>
        <v>188655.44611111109</v>
      </c>
      <c r="GS43" s="573">
        <v>982780</v>
      </c>
      <c r="GT43" s="577"/>
      <c r="GU43" s="575">
        <f t="shared" si="99"/>
        <v>54598.888888888891</v>
      </c>
      <c r="GV43" s="11">
        <f>SUBTOTAL(9,GW43:GX43)</f>
        <v>2024741</v>
      </c>
      <c r="GW43" s="12">
        <v>334225</v>
      </c>
      <c r="GX43" s="12">
        <v>1690516</v>
      </c>
      <c r="GY43" s="567">
        <f t="shared" si="100"/>
        <v>112485.61111111111</v>
      </c>
      <c r="GZ43" s="11"/>
      <c r="HA43" s="11">
        <v>360000</v>
      </c>
      <c r="HB43" s="53"/>
      <c r="HC43" s="28">
        <f t="shared" si="101"/>
        <v>0.10601337206147093</v>
      </c>
      <c r="HD43" s="68"/>
      <c r="HE43" s="68"/>
      <c r="HF43" s="11">
        <v>28277.03</v>
      </c>
      <c r="HG43" s="35">
        <f t="shared" si="102"/>
        <v>20000</v>
      </c>
      <c r="HH43" s="64">
        <f t="shared" si="103"/>
        <v>74598.888888888891</v>
      </c>
      <c r="HI43" s="27">
        <v>0</v>
      </c>
      <c r="HJ43" s="27">
        <v>0</v>
      </c>
      <c r="HK43" s="19">
        <f t="shared" si="149"/>
        <v>74598.888888888891</v>
      </c>
      <c r="HL43" s="27">
        <v>0</v>
      </c>
      <c r="HM43" s="19">
        <f t="shared" si="104"/>
        <v>74598.888888888891</v>
      </c>
      <c r="HN43" s="36">
        <f t="shared" si="150"/>
        <v>0.3954239881575054</v>
      </c>
      <c r="HO43" s="27">
        <v>0</v>
      </c>
      <c r="HP43" s="27"/>
      <c r="HQ43" s="11">
        <f>FH43</f>
        <v>0</v>
      </c>
      <c r="HR43" s="909">
        <v>3312676.0346199996</v>
      </c>
      <c r="HS43" s="907">
        <f t="shared" si="105"/>
        <v>0.97552210271468931</v>
      </c>
      <c r="HT43" s="915">
        <f t="shared" si="106"/>
        <v>83121.995380000211</v>
      </c>
      <c r="HU43" s="898">
        <f t="shared" ca="1" si="49"/>
        <v>83121.995380000211</v>
      </c>
      <c r="HV43" s="907">
        <f t="shared" ca="1" si="151"/>
        <v>1</v>
      </c>
      <c r="HW43" s="898">
        <f>'[3]GLOBAL OPERATION'!$AG$41</f>
        <v>288000</v>
      </c>
      <c r="HX43" s="898">
        <f t="shared" si="50"/>
        <v>100277.03000000003</v>
      </c>
      <c r="HY43" s="907">
        <f t="shared" si="51"/>
        <v>0.7417384438116259</v>
      </c>
      <c r="HZ43" s="907"/>
      <c r="IA43" s="29">
        <f>GN43+HI43</f>
        <v>3395798.03</v>
      </c>
      <c r="IB43" s="752"/>
      <c r="IC43" s="73"/>
      <c r="ID43" s="73"/>
      <c r="IE43" s="73"/>
      <c r="IF43" s="73"/>
    </row>
    <row r="44" spans="1:240" ht="20.100000000000001" customHeight="1">
      <c r="A44" s="980" t="s">
        <v>339</v>
      </c>
      <c r="B44" s="74" t="s">
        <v>635</v>
      </c>
      <c r="C44" s="8" t="s">
        <v>14</v>
      </c>
      <c r="D44" s="8" t="s">
        <v>92</v>
      </c>
      <c r="E44" s="8">
        <v>2017</v>
      </c>
      <c r="F44" s="8"/>
      <c r="G44" s="8" t="s">
        <v>341</v>
      </c>
      <c r="H44" s="8" t="s">
        <v>705</v>
      </c>
      <c r="I44" s="8" t="s">
        <v>141</v>
      </c>
      <c r="J44" s="39"/>
      <c r="K44" s="39" t="s">
        <v>342</v>
      </c>
      <c r="L44" s="199" t="s">
        <v>402</v>
      </c>
      <c r="M44" s="126" t="s">
        <v>46</v>
      </c>
      <c r="N44" s="80" t="s">
        <v>376</v>
      </c>
      <c r="O44" s="81">
        <v>34914</v>
      </c>
      <c r="P44" s="178"/>
      <c r="Q44" s="178"/>
      <c r="R44" s="178"/>
      <c r="S44" s="178"/>
      <c r="T44" s="178"/>
      <c r="U44" s="546"/>
      <c r="V44" s="546"/>
      <c r="W44" s="546"/>
      <c r="X44" s="178"/>
      <c r="Y44" s="162"/>
      <c r="Z44" s="736" t="e">
        <f t="shared" ref="Z44:Z62" si="153">10000*AE44/P44</f>
        <v>#DIV/0!</v>
      </c>
      <c r="AA44" s="162"/>
      <c r="AB44" s="164"/>
      <c r="AC44" s="165"/>
      <c r="AD44" s="8" t="s">
        <v>340</v>
      </c>
      <c r="AE44" s="674">
        <f t="shared" ref="AE44:AE62" si="154">SUM(AG44:AJ44)</f>
        <v>26</v>
      </c>
      <c r="AF44" s="674">
        <f t="shared" ref="AF44:AF62" si="155">AE44-AJ44</f>
        <v>0</v>
      </c>
      <c r="AG44" s="9"/>
      <c r="AH44" s="9"/>
      <c r="AI44" s="50"/>
      <c r="AJ44" s="149">
        <v>26</v>
      </c>
      <c r="AK44" s="209"/>
      <c r="AL44" s="426"/>
      <c r="AM44" s="875">
        <f t="shared" ref="AM44:AM62" si="156">AK44/AE44</f>
        <v>0</v>
      </c>
      <c r="AN44" s="10">
        <f t="shared" ref="AN44:AN62" si="157">AL44/AE44</f>
        <v>0</v>
      </c>
      <c r="AO44" s="43"/>
      <c r="AP44" s="43"/>
      <c r="AQ44" s="43"/>
      <c r="AR44" s="61"/>
      <c r="AS44" s="61"/>
      <c r="AT44" s="61"/>
      <c r="AU44" s="61"/>
      <c r="AV44" s="61"/>
      <c r="AW44" s="10"/>
      <c r="AX44" s="59"/>
      <c r="AY44" s="61"/>
      <c r="AZ44" s="43"/>
      <c r="BA44" s="39"/>
      <c r="BB44" s="8"/>
      <c r="BC44" s="39"/>
      <c r="BD44" s="39"/>
      <c r="BE44" s="39"/>
      <c r="BF44" s="39"/>
      <c r="BG44" s="39"/>
      <c r="BH44" s="39"/>
      <c r="BI44" s="159">
        <v>43005</v>
      </c>
      <c r="BJ44" s="75"/>
      <c r="BK44" s="867"/>
      <c r="BL44" s="124">
        <v>43081</v>
      </c>
      <c r="BM44" s="157">
        <v>43235</v>
      </c>
      <c r="BN44" s="1007">
        <f t="shared" si="73"/>
        <v>5.1333333333333337</v>
      </c>
      <c r="BO44" s="954">
        <v>78080</v>
      </c>
      <c r="BP44" s="125">
        <f>DATE(YEAR(BM44),MONTH(BM44)+3,DAY(BM44))</f>
        <v>43327</v>
      </c>
      <c r="BQ44" s="125"/>
      <c r="BR44" s="225">
        <v>43344</v>
      </c>
      <c r="BS44" s="224">
        <f t="shared" ref="BS44:BS62" si="158">DATE(YEAR(BR44),MONTH(BR44)+24,DAY(BR44))</f>
        <v>44075</v>
      </c>
      <c r="BT44" s="605"/>
      <c r="BU44" s="782"/>
      <c r="BV44" s="783"/>
      <c r="BW44" s="783"/>
      <c r="BX44" s="783"/>
      <c r="BY44" s="705"/>
      <c r="BZ44" s="982"/>
      <c r="CA44" s="703"/>
      <c r="CB44" s="703"/>
      <c r="CC44" s="703"/>
      <c r="CD44" s="699"/>
      <c r="CE44" s="699"/>
      <c r="CF44" s="699"/>
      <c r="CG44" s="699"/>
      <c r="CH44" s="699"/>
      <c r="CI44" s="699"/>
      <c r="CJ44" s="699"/>
      <c r="CK44" s="699"/>
      <c r="CL44" s="864"/>
      <c r="CM44" s="699"/>
      <c r="CN44" s="699"/>
      <c r="CO44" s="699"/>
      <c r="CP44" s="699"/>
      <c r="CQ44" s="237">
        <v>42649</v>
      </c>
      <c r="CR44" s="95"/>
      <c r="CS44" s="95"/>
      <c r="CT44" s="475" t="str">
        <f t="shared" ref="CT44:CT62" si="159">IF(AND(CR44&gt;0,CS44&gt;0),CS44-CR44,"0")</f>
        <v>0</v>
      </c>
      <c r="CU44" s="95">
        <v>42839</v>
      </c>
      <c r="CV44" s="95">
        <v>42879</v>
      </c>
      <c r="CW44" s="475">
        <f t="shared" ref="CW44:CW62" si="160">IF(AND(CU44&gt;0,CV44&gt;0),CV44-CU44,"0")</f>
        <v>40</v>
      </c>
      <c r="CX44" s="237">
        <v>42814</v>
      </c>
      <c r="CY44" s="237">
        <v>42793</v>
      </c>
      <c r="CZ44" s="475">
        <f t="shared" ref="CZ44:CZ62" si="161">IF(AND(CX44&gt;0,CY44&gt;0),CY44-CX44,"0")</f>
        <v>-21</v>
      </c>
      <c r="DA44" s="490">
        <v>42844</v>
      </c>
      <c r="DB44" s="488">
        <f ca="1">IF(DA44&lt;TODAY(),TODAY(),DA44)</f>
        <v>43647</v>
      </c>
      <c r="DC44" s="475">
        <f t="shared" ref="DC44:DC62" ca="1" si="162">IF(AND(DA44&gt;0,DB44&gt;0),DB44-DA44,"0")</f>
        <v>803</v>
      </c>
      <c r="DD44" s="490">
        <v>42965</v>
      </c>
      <c r="DE44" s="490">
        <f ca="1">IF(DD44&lt;TODAY(),TODAY(),DD44)</f>
        <v>43647</v>
      </c>
      <c r="DF44" s="475">
        <f t="shared" ref="DF44:DF62" ca="1" si="163">IF(AND(DD44&gt;0,DE44&gt;0),DE44-DD44,"0")</f>
        <v>682</v>
      </c>
      <c r="DG44" s="438"/>
      <c r="DH44" s="495">
        <v>43249</v>
      </c>
      <c r="DI44" s="486">
        <v>43083</v>
      </c>
      <c r="DJ44" s="484">
        <f ca="1">IF(DI44&lt;TODAY(),TODAY(),DI44)</f>
        <v>43647</v>
      </c>
      <c r="DK44" s="481">
        <f ca="1">IF(AND(DI44&gt;0,DJ44&gt;0),DJ44-DI44,"0")</f>
        <v>564</v>
      </c>
      <c r="DL44" s="486">
        <v>43090</v>
      </c>
      <c r="DM44" s="330">
        <v>43363</v>
      </c>
      <c r="DN44" s="323">
        <v>2018</v>
      </c>
      <c r="DO44" s="436">
        <f t="shared" ref="DO44:DO62" si="164">(DATEDIF(BI44,DM44,"d"))/30</f>
        <v>11.933333333333334</v>
      </c>
      <c r="DP44" s="481">
        <f t="shared" ref="DP44:DP62" si="165">IF(AND(DL44&gt;0,DM44&gt;0),DM44-DL44,"0")</f>
        <v>273</v>
      </c>
      <c r="DQ44" s="198">
        <v>12</v>
      </c>
      <c r="DR44" s="90">
        <f t="shared" ref="DR44:DR62" si="166">DATEDIF(DM44,ER44,"M")</f>
        <v>12</v>
      </c>
      <c r="DS44" s="479"/>
      <c r="DT44" s="484">
        <f ca="1">IF(DS44&lt;TODAY(),TODAY(),DS44)</f>
        <v>43647</v>
      </c>
      <c r="DU44" s="481" t="str">
        <f t="shared" ref="DU44:DU62" ca="1" si="167">IF(AND(DS44&gt;0,DT44&gt;0),DT44-DS44,"0")</f>
        <v>0</v>
      </c>
      <c r="DV44" s="479"/>
      <c r="DW44" s="497">
        <f ca="1">IF(DV44&lt;TODAY(),TODAY(),DV44)</f>
        <v>43647</v>
      </c>
      <c r="DX44" s="556" t="str">
        <f t="shared" ref="DX44:DX62" ca="1" si="168">IF(AND(DV44&gt;0,DW44&gt;0),DW44-DV44,"0")</f>
        <v>0</v>
      </c>
      <c r="DY44" s="484"/>
      <c r="DZ44" s="484">
        <f ca="1">IF(DY44&lt;TODAY(),TODAY(),DY44)</f>
        <v>43647</v>
      </c>
      <c r="EA44" s="481" t="str">
        <f t="shared" ref="EA44:EA62" ca="1" si="169">IF(AND(DY44&gt;0,DZ44&gt;0),DZ44-DY44,"0")</f>
        <v>0</v>
      </c>
      <c r="EB44" s="484">
        <v>43501</v>
      </c>
      <c r="EC44" s="484">
        <f ca="1">IF(EB44&lt;TODAY(),TODAY(),EB44)</f>
        <v>43647</v>
      </c>
      <c r="ED44" s="481">
        <f t="shared" ref="ED44:ED62" ca="1" si="170">IF(AND(EB44&gt;0,EC44&gt;0),EC44-EB44,"0")</f>
        <v>146</v>
      </c>
      <c r="EE44" s="485"/>
      <c r="EF44" s="485"/>
      <c r="EG44" s="481" t="str">
        <f t="shared" ref="EG44:EG62" si="171">IF(AND(EE44&gt;0,EF44&gt;0),EF44-EE44,"0")</f>
        <v>0</v>
      </c>
      <c r="EH44" s="484"/>
      <c r="EI44" s="484">
        <f ca="1">IF(EH44&lt;TODAY(),TODAY(),EH44)</f>
        <v>43647</v>
      </c>
      <c r="EJ44" s="481" t="str">
        <f t="shared" ref="EJ44:EJ62" ca="1" si="172">IF(AND(EH44&gt;0,EI44&gt;0),EI44-EH44,"0")</f>
        <v>0</v>
      </c>
      <c r="EK44" s="484">
        <v>43578</v>
      </c>
      <c r="EL44" s="484">
        <f ca="1">IF(EK44&lt;TODAY(),TODAY(),EK44)</f>
        <v>43647</v>
      </c>
      <c r="EM44" s="481">
        <f t="shared" ref="EM44:EM62" ca="1" si="173">IF(AND(EK44&gt;0,EL44&gt;0),EL44-EK44,"0")</f>
        <v>69</v>
      </c>
      <c r="EN44" s="484"/>
      <c r="EO44" s="484"/>
      <c r="EP44" s="484"/>
      <c r="EQ44" s="654">
        <f t="shared" ref="EQ44:EQ62" si="174">DATE(YEAR(DM44),MONTH(DM44)+DQ44,DAY(DM44))</f>
        <v>43728</v>
      </c>
      <c r="ER44" s="653">
        <v>43732</v>
      </c>
      <c r="ES44" s="650">
        <f t="shared" ref="ES44:ES62" si="175">(DATEDIF(EQ44,ER44,"d"))/30</f>
        <v>0.13333333333333333</v>
      </c>
      <c r="ET44" s="933">
        <f t="shared" ref="ET44:ET62" ca="1" si="176">IF(((ER44-TODAY())/30)&lt;0,0,(ER44-TODAY())/30)</f>
        <v>2.8333333333333335</v>
      </c>
      <c r="EU44" s="924">
        <f ca="1">DATE(YEAR(DW44)+2,MONTH(DW44),DAY(DW44))</f>
        <v>44378</v>
      </c>
      <c r="EV44" s="737"/>
      <c r="EW44" s="737"/>
      <c r="EX44" s="145"/>
      <c r="EY44" s="443"/>
      <c r="EZ44" s="747">
        <f>DATE(YEAR(EQ44),MONTH(EQ44)+1,DAY(EQ44))</f>
        <v>43758</v>
      </c>
      <c r="FA44" s="653">
        <v>43739</v>
      </c>
      <c r="FB44" s="518"/>
      <c r="FC44" s="647">
        <f>(DATEDIF(FA44,EZ44,"d"))/30</f>
        <v>0.6333333333333333</v>
      </c>
      <c r="FD44" s="635"/>
      <c r="FE44" s="46">
        <f t="shared" ref="FE44:FE62" si="177">FD44*FC44</f>
        <v>0</v>
      </c>
      <c r="FF44" s="91"/>
      <c r="FG44" s="502">
        <v>0</v>
      </c>
      <c r="FH44" s="502">
        <v>0</v>
      </c>
      <c r="FI44" s="502"/>
      <c r="FJ44" s="502"/>
      <c r="FK44" s="502"/>
      <c r="FL44" s="664" t="e">
        <f t="shared" ref="FL44:FL62" si="178">FK44/GN44</f>
        <v>#DIV/0!</v>
      </c>
      <c r="FM44" s="499"/>
      <c r="FN44" s="511"/>
      <c r="FO44" s="758" t="s">
        <v>816</v>
      </c>
      <c r="FP44" s="499"/>
      <c r="FQ44" s="94"/>
      <c r="FR44" s="94"/>
      <c r="FS44" s="94"/>
      <c r="FT44" s="94"/>
      <c r="FU44" s="94"/>
      <c r="FV44" s="39"/>
      <c r="FW44" s="212">
        <f t="shared" ref="FW44:FW62" si="179">DATE(YEAR(ER44)+1,MONTH(ER44),DAY(ER44))</f>
        <v>44098</v>
      </c>
      <c r="FX44" s="212"/>
      <c r="FY44" s="39"/>
      <c r="FZ44" s="39"/>
      <c r="GA44" s="39"/>
      <c r="GB44" s="39"/>
      <c r="GC44" s="39"/>
      <c r="GD44" s="39"/>
      <c r="GE44" s="39"/>
      <c r="GF44" s="39"/>
      <c r="GG44" s="39"/>
      <c r="GH44" s="39"/>
      <c r="GI44" s="39"/>
      <c r="GJ44" s="39"/>
      <c r="GK44" s="39"/>
      <c r="GL44" s="742"/>
      <c r="GM44" s="979">
        <f t="shared" ref="GM44:GM62" si="180">GS44+GV44+HA44+HQ44+GZ44+HF44+HD44+HE44</f>
        <v>0</v>
      </c>
      <c r="GN44" s="772">
        <f t="shared" ref="GN44:GN50" si="181">GS44+GV44+HA44+HQ44+GZ44+HF44+HD44+HE44</f>
        <v>0</v>
      </c>
      <c r="GO44" s="53"/>
      <c r="GP44" s="898">
        <f>HA44+HB44+HF44</f>
        <v>0</v>
      </c>
      <c r="GQ44" s="35" t="e">
        <f t="shared" ref="GQ44:GQ62" si="182">GN44/AL44</f>
        <v>#DIV/0!</v>
      </c>
      <c r="GR44" s="35">
        <f t="shared" ref="GR44:GR62" si="183">GN44/AE44</f>
        <v>0</v>
      </c>
      <c r="GS44" s="573"/>
      <c r="GT44" s="577"/>
      <c r="GU44" s="575" t="e">
        <f>#REF!/AE44</f>
        <v>#REF!</v>
      </c>
      <c r="GV44" s="11"/>
      <c r="GW44" s="12"/>
      <c r="GX44" s="12"/>
      <c r="GY44" s="567">
        <f>GV44/AE44</f>
        <v>0</v>
      </c>
      <c r="GZ44" s="863"/>
      <c r="HA44" s="11"/>
      <c r="HB44" s="53"/>
      <c r="HC44" s="28" t="e">
        <f t="shared" ref="HC44:HC62" si="184">HA44/GN44</f>
        <v>#DIV/0!</v>
      </c>
      <c r="HD44" s="53"/>
      <c r="HE44" s="53"/>
      <c r="HF44" s="11"/>
      <c r="HG44" s="35">
        <f t="shared" ref="HG44:HG62" si="185">HA44/AE44</f>
        <v>0</v>
      </c>
      <c r="HH44" s="35">
        <f t="shared" ref="HH44:HH62" si="186">(GS44+HA44)/AE44</f>
        <v>0</v>
      </c>
      <c r="HI44" s="27"/>
      <c r="HJ44" s="27"/>
      <c r="HK44" s="19" t="e">
        <f>(#REF!+#REF!+HJ44)/AE44</f>
        <v>#REF!</v>
      </c>
      <c r="HL44" s="27"/>
      <c r="HM44" s="19">
        <f t="shared" ref="HM44:HM62" si="187">(GS44+HA44+HJ44+HL44)/AE44</f>
        <v>0</v>
      </c>
      <c r="HN44" s="36" t="e">
        <f>(#REF!+#REF!+HJ44+HL44)/(HI44+#REF!-HO44)</f>
        <v>#REF!</v>
      </c>
      <c r="HO44" s="27"/>
      <c r="HP44" s="27"/>
      <c r="HQ44" s="11"/>
      <c r="HR44" s="898"/>
      <c r="HS44" s="898"/>
      <c r="HT44" s="898"/>
      <c r="HU44" s="898">
        <f t="shared" ref="HU44:HU60" ca="1" si="188">IF(ET44&lt;DATEDIF(TODAY(),$HU$1,"M"),HT44,(HT44/ET44*DATEDIF(TODAY(),$HU$1,"M")))</f>
        <v>0</v>
      </c>
      <c r="HV44" s="898"/>
      <c r="HW44" s="898"/>
      <c r="HX44" s="898">
        <f>GP44-HW44</f>
        <v>0</v>
      </c>
      <c r="HY44" s="898" t="e">
        <f>HW44/GP44</f>
        <v>#DIV/0!</v>
      </c>
      <c r="HZ44" s="898"/>
      <c r="IA44" s="29" t="e">
        <f>#REF!+HI44</f>
        <v>#REF!</v>
      </c>
      <c r="IB44" s="752"/>
      <c r="IC44" s="73"/>
      <c r="ID44" s="373"/>
      <c r="IE44" s="373"/>
      <c r="IF44" s="373"/>
    </row>
    <row r="45" spans="1:240" ht="32.25" customHeight="1">
      <c r="A45" s="980" t="s">
        <v>351</v>
      </c>
      <c r="B45" s="74" t="s">
        <v>635</v>
      </c>
      <c r="C45" s="8" t="s">
        <v>352</v>
      </c>
      <c r="D45" s="8" t="s">
        <v>94</v>
      </c>
      <c r="E45" s="8">
        <v>2017</v>
      </c>
      <c r="F45" s="8"/>
      <c r="G45" s="8" t="s">
        <v>926</v>
      </c>
      <c r="H45" s="8" t="s">
        <v>146</v>
      </c>
      <c r="I45" s="8" t="s">
        <v>141</v>
      </c>
      <c r="J45" s="39"/>
      <c r="K45" s="39" t="s">
        <v>353</v>
      </c>
      <c r="L45" s="199" t="s">
        <v>406</v>
      </c>
      <c r="M45" s="126" t="s">
        <v>46</v>
      </c>
      <c r="N45" s="80" t="s">
        <v>377</v>
      </c>
      <c r="O45" s="81">
        <v>35569</v>
      </c>
      <c r="P45" s="178"/>
      <c r="Q45" s="178"/>
      <c r="R45" s="178"/>
      <c r="S45" s="178"/>
      <c r="T45" s="178"/>
      <c r="U45" s="546"/>
      <c r="V45" s="546"/>
      <c r="W45" s="546"/>
      <c r="X45" s="178"/>
      <c r="Y45" s="162"/>
      <c r="Z45" s="736" t="e">
        <f t="shared" si="153"/>
        <v>#DIV/0!</v>
      </c>
      <c r="AA45" s="162"/>
      <c r="AB45" s="164"/>
      <c r="AC45" s="165"/>
      <c r="AD45" s="8" t="s">
        <v>340</v>
      </c>
      <c r="AE45" s="674">
        <f t="shared" si="154"/>
        <v>31</v>
      </c>
      <c r="AF45" s="674">
        <f t="shared" si="155"/>
        <v>0</v>
      </c>
      <c r="AG45" s="9"/>
      <c r="AH45" s="9"/>
      <c r="AI45" s="50"/>
      <c r="AJ45" s="149">
        <v>31</v>
      </c>
      <c r="AK45" s="209"/>
      <c r="AL45" s="426"/>
      <c r="AM45" s="875">
        <f t="shared" si="156"/>
        <v>0</v>
      </c>
      <c r="AN45" s="10">
        <f t="shared" si="157"/>
        <v>0</v>
      </c>
      <c r="AO45" s="43"/>
      <c r="AP45" s="43"/>
      <c r="AQ45" s="43"/>
      <c r="AR45" s="61"/>
      <c r="AS45" s="61"/>
      <c r="AT45" s="61"/>
      <c r="AU45" s="61"/>
      <c r="AV45" s="61"/>
      <c r="AW45" s="10"/>
      <c r="AX45" s="59"/>
      <c r="AY45" s="61"/>
      <c r="AZ45" s="43"/>
      <c r="BA45" s="39"/>
      <c r="BB45" s="8"/>
      <c r="BC45" s="39"/>
      <c r="BD45" s="39"/>
      <c r="BE45" s="39"/>
      <c r="BF45" s="39"/>
      <c r="BG45" s="39"/>
      <c r="BH45" s="39"/>
      <c r="BI45" s="159">
        <v>43039</v>
      </c>
      <c r="BJ45" s="75"/>
      <c r="BK45" s="867"/>
      <c r="BL45" s="124">
        <v>43081</v>
      </c>
      <c r="BM45" s="157">
        <v>43234</v>
      </c>
      <c r="BN45" s="1007">
        <f t="shared" si="73"/>
        <v>5.0999999999999996</v>
      </c>
      <c r="BO45" s="954">
        <v>78084</v>
      </c>
      <c r="BP45" s="125">
        <f>DATE(YEAR(BM45),MONTH(BM45)+3,DAY(BM45))</f>
        <v>43326</v>
      </c>
      <c r="BQ45" s="125"/>
      <c r="BR45" s="225">
        <v>43344</v>
      </c>
      <c r="BS45" s="224">
        <f t="shared" si="158"/>
        <v>44075</v>
      </c>
      <c r="BT45" s="605"/>
      <c r="BU45" s="782"/>
      <c r="BV45" s="783"/>
      <c r="BW45" s="783"/>
      <c r="BX45" s="783"/>
      <c r="BY45" s="705"/>
      <c r="BZ45" s="982"/>
      <c r="CA45" s="703"/>
      <c r="CB45" s="703"/>
      <c r="CC45" s="703"/>
      <c r="CD45" s="699"/>
      <c r="CE45" s="699"/>
      <c r="CF45" s="699"/>
      <c r="CG45" s="699"/>
      <c r="CH45" s="699"/>
      <c r="CI45" s="699"/>
      <c r="CJ45" s="699"/>
      <c r="CK45" s="699">
        <v>43395</v>
      </c>
      <c r="CL45" s="699"/>
      <c r="CM45" s="699"/>
      <c r="CN45" s="699"/>
      <c r="CO45" s="699"/>
      <c r="CP45" s="699"/>
      <c r="CQ45" s="237">
        <v>42632</v>
      </c>
      <c r="CR45" s="95"/>
      <c r="CS45" s="95"/>
      <c r="CT45" s="475" t="str">
        <f t="shared" si="159"/>
        <v>0</v>
      </c>
      <c r="CU45" s="95">
        <v>42914</v>
      </c>
      <c r="CV45" s="95">
        <v>42884</v>
      </c>
      <c r="CW45" s="475">
        <f t="shared" si="160"/>
        <v>-30</v>
      </c>
      <c r="CX45" s="237">
        <v>42809</v>
      </c>
      <c r="CY45" s="237">
        <v>42893</v>
      </c>
      <c r="CZ45" s="475">
        <f t="shared" si="161"/>
        <v>84</v>
      </c>
      <c r="DA45" s="95">
        <v>42972</v>
      </c>
      <c r="DB45" s="237">
        <v>42976</v>
      </c>
      <c r="DC45" s="475">
        <f t="shared" si="162"/>
        <v>4</v>
      </c>
      <c r="DD45" s="95">
        <v>42977</v>
      </c>
      <c r="DE45" s="95">
        <v>42976</v>
      </c>
      <c r="DF45" s="475">
        <f t="shared" si="163"/>
        <v>-1</v>
      </c>
      <c r="DG45" s="438"/>
      <c r="DH45" s="495">
        <v>43249</v>
      </c>
      <c r="DI45" s="486">
        <v>43077</v>
      </c>
      <c r="DJ45" s="484">
        <f ca="1">IF(DI45&lt;TODAY(),TODAY(),DI45)</f>
        <v>43647</v>
      </c>
      <c r="DK45" s="481">
        <f ca="1">IF(AND(DI45&gt;0,DJ45&gt;0),DJ45-DI45,"0")</f>
        <v>570</v>
      </c>
      <c r="DL45" s="486">
        <v>43090</v>
      </c>
      <c r="DM45" s="430">
        <v>43441</v>
      </c>
      <c r="DN45" s="431">
        <v>2018</v>
      </c>
      <c r="DO45" s="436">
        <f t="shared" si="164"/>
        <v>13.4</v>
      </c>
      <c r="DP45" s="481">
        <f t="shared" si="165"/>
        <v>351</v>
      </c>
      <c r="DQ45" s="198">
        <v>12</v>
      </c>
      <c r="DR45" s="90">
        <f t="shared" si="166"/>
        <v>10</v>
      </c>
      <c r="DS45" s="479"/>
      <c r="DT45" s="484">
        <f ca="1">IF(DS45&lt;TODAY(),TODAY(),DS45)</f>
        <v>43647</v>
      </c>
      <c r="DU45" s="481" t="str">
        <f t="shared" ca="1" si="167"/>
        <v>0</v>
      </c>
      <c r="DV45" s="479"/>
      <c r="DW45" s="497">
        <f ca="1">IF(DV45&lt;TODAY(),TODAY(),DV45)</f>
        <v>43647</v>
      </c>
      <c r="DX45" s="556" t="str">
        <f t="shared" ca="1" si="168"/>
        <v>0</v>
      </c>
      <c r="DY45" s="484"/>
      <c r="DZ45" s="484">
        <f ca="1">IF(DY45&lt;TODAY(),TODAY(),DY45)</f>
        <v>43647</v>
      </c>
      <c r="EA45" s="481" t="str">
        <f t="shared" ca="1" si="169"/>
        <v>0</v>
      </c>
      <c r="EB45" s="484">
        <v>43498</v>
      </c>
      <c r="EC45" s="484">
        <f ca="1">IF(EB45&lt;TODAY(),TODAY(),EB45)</f>
        <v>43647</v>
      </c>
      <c r="ED45" s="481">
        <f t="shared" ca="1" si="170"/>
        <v>149</v>
      </c>
      <c r="EE45" s="485"/>
      <c r="EF45" s="485"/>
      <c r="EG45" s="481" t="str">
        <f t="shared" si="171"/>
        <v>0</v>
      </c>
      <c r="EH45" s="484"/>
      <c r="EI45" s="484">
        <f ca="1">IF(EH45&lt;TODAY(),TODAY(),EH45)</f>
        <v>43647</v>
      </c>
      <c r="EJ45" s="481" t="str">
        <f t="shared" ca="1" si="172"/>
        <v>0</v>
      </c>
      <c r="EK45" s="484">
        <v>43575</v>
      </c>
      <c r="EL45" s="484">
        <f ca="1">IF(EK45&lt;TODAY(),TODAY(),EK45)</f>
        <v>43647</v>
      </c>
      <c r="EM45" s="481">
        <f t="shared" ca="1" si="173"/>
        <v>72</v>
      </c>
      <c r="EN45" s="484"/>
      <c r="EO45" s="484"/>
      <c r="EP45" s="484"/>
      <c r="EQ45" s="654">
        <f t="shared" si="174"/>
        <v>43806</v>
      </c>
      <c r="ER45" s="653">
        <v>43766</v>
      </c>
      <c r="ES45" s="650" t="e">
        <f t="shared" si="175"/>
        <v>#NUM!</v>
      </c>
      <c r="ET45" s="933">
        <f t="shared" ca="1" si="176"/>
        <v>3.9666666666666668</v>
      </c>
      <c r="EU45" s="924">
        <f ca="1">DATE(YEAR(DW45)+2,MONTH(DW45),DAY(DW45))</f>
        <v>44378</v>
      </c>
      <c r="EV45" s="737"/>
      <c r="EW45" s="737"/>
      <c r="EX45" s="145"/>
      <c r="EY45" s="516"/>
      <c r="EZ45" s="747">
        <f>DATE(YEAR(EQ45),MONTH(EQ45)+1,DAY(EQ45))</f>
        <v>43837</v>
      </c>
      <c r="FA45" s="653">
        <v>43774</v>
      </c>
      <c r="FB45" s="518"/>
      <c r="FC45" s="647">
        <f>(DATEDIF(FA45,EZ45,"d"))/30</f>
        <v>2.1</v>
      </c>
      <c r="FD45" s="636"/>
      <c r="FE45" s="46">
        <f t="shared" si="177"/>
        <v>0</v>
      </c>
      <c r="FF45" s="91"/>
      <c r="FG45" s="502">
        <v>0</v>
      </c>
      <c r="FH45" s="502">
        <v>0</v>
      </c>
      <c r="FI45" s="502"/>
      <c r="FJ45" s="502"/>
      <c r="FK45" s="502"/>
      <c r="FL45" s="664" t="e">
        <f t="shared" si="178"/>
        <v>#DIV/0!</v>
      </c>
      <c r="FM45" s="499"/>
      <c r="FN45" s="511"/>
      <c r="FO45" s="587" t="s">
        <v>619</v>
      </c>
      <c r="FP45" s="588"/>
      <c r="FQ45" s="94"/>
      <c r="FR45" s="94"/>
      <c r="FS45" s="94"/>
      <c r="FT45" s="94"/>
      <c r="FU45" s="94"/>
      <c r="FV45" s="39"/>
      <c r="FW45" s="212">
        <f t="shared" si="179"/>
        <v>44132</v>
      </c>
      <c r="FX45" s="212"/>
      <c r="FY45" s="39"/>
      <c r="FZ45" s="39"/>
      <c r="GA45" s="39"/>
      <c r="GB45" s="39"/>
      <c r="GC45" s="39"/>
      <c r="GD45" s="39"/>
      <c r="GE45" s="39"/>
      <c r="GF45" s="39"/>
      <c r="GG45" s="39"/>
      <c r="GH45" s="39"/>
      <c r="GI45" s="39"/>
      <c r="GJ45" s="39"/>
      <c r="GK45" s="39"/>
      <c r="GL45" s="742"/>
      <c r="GM45" s="979">
        <f t="shared" si="180"/>
        <v>0</v>
      </c>
      <c r="GN45" s="772">
        <f t="shared" si="181"/>
        <v>0</v>
      </c>
      <c r="GO45" s="53"/>
      <c r="GP45" s="898">
        <f>HA45+HB45+HF45</f>
        <v>0</v>
      </c>
      <c r="GQ45" s="35" t="e">
        <f t="shared" si="182"/>
        <v>#DIV/0!</v>
      </c>
      <c r="GR45" s="35">
        <f t="shared" si="183"/>
        <v>0</v>
      </c>
      <c r="GS45" s="573"/>
      <c r="GT45" s="577"/>
      <c r="GU45" s="575" t="e">
        <f>#REF!/AE45</f>
        <v>#REF!</v>
      </c>
      <c r="GV45" s="11"/>
      <c r="GW45" s="12"/>
      <c r="GX45" s="12"/>
      <c r="GY45" s="567">
        <f>GV45/AE45</f>
        <v>0</v>
      </c>
      <c r="GZ45" s="863"/>
      <c r="HA45" s="11"/>
      <c r="HB45" s="53"/>
      <c r="HC45" s="28" t="e">
        <f t="shared" si="184"/>
        <v>#DIV/0!</v>
      </c>
      <c r="HD45" s="53"/>
      <c r="HE45" s="53"/>
      <c r="HF45" s="11"/>
      <c r="HG45" s="35">
        <f t="shared" si="185"/>
        <v>0</v>
      </c>
      <c r="HH45" s="35">
        <f t="shared" si="186"/>
        <v>0</v>
      </c>
      <c r="HI45" s="27"/>
      <c r="HJ45" s="27"/>
      <c r="HK45" s="19" t="e">
        <f>(#REF!+#REF!+HJ45)/AE45</f>
        <v>#REF!</v>
      </c>
      <c r="HL45" s="27"/>
      <c r="HM45" s="19">
        <f t="shared" si="187"/>
        <v>0</v>
      </c>
      <c r="HN45" s="36" t="e">
        <f>(#REF!+#REF!+HJ45+HL45)/(HI45+#REF!-HO45)</f>
        <v>#REF!</v>
      </c>
      <c r="HO45" s="27"/>
      <c r="HP45" s="27"/>
      <c r="HQ45" s="11"/>
      <c r="HR45" s="898"/>
      <c r="HS45" s="898"/>
      <c r="HT45" s="898"/>
      <c r="HU45" s="898">
        <f t="shared" ca="1" si="188"/>
        <v>0</v>
      </c>
      <c r="HV45" s="898"/>
      <c r="HW45" s="898"/>
      <c r="HX45" s="898">
        <f>GP45-HW45</f>
        <v>0</v>
      </c>
      <c r="HY45" s="898" t="e">
        <f>HW45/GP45</f>
        <v>#DIV/0!</v>
      </c>
      <c r="HZ45" s="898"/>
      <c r="IA45" s="29" t="e">
        <f>#REF!+HI45</f>
        <v>#REF!</v>
      </c>
      <c r="IB45" s="752"/>
      <c r="IC45" s="73"/>
      <c r="ID45" s="373"/>
      <c r="IE45" s="373"/>
      <c r="IF45" s="373"/>
    </row>
    <row r="46" spans="1:240" ht="27" customHeight="1">
      <c r="A46" s="980" t="s">
        <v>345</v>
      </c>
      <c r="B46" s="74" t="s">
        <v>635</v>
      </c>
      <c r="C46" s="8" t="s">
        <v>31</v>
      </c>
      <c r="D46" s="8" t="s">
        <v>92</v>
      </c>
      <c r="E46" s="8">
        <v>2017</v>
      </c>
      <c r="F46" s="8"/>
      <c r="G46" s="8" t="s">
        <v>926</v>
      </c>
      <c r="H46" s="18" t="s">
        <v>371</v>
      </c>
      <c r="I46" s="39" t="s">
        <v>141</v>
      </c>
      <c r="J46" s="39"/>
      <c r="K46" s="39" t="s">
        <v>346</v>
      </c>
      <c r="L46" s="199" t="s">
        <v>404</v>
      </c>
      <c r="M46" s="126" t="s">
        <v>46</v>
      </c>
      <c r="N46" s="80" t="s">
        <v>380</v>
      </c>
      <c r="O46" s="81">
        <v>35049</v>
      </c>
      <c r="P46" s="178"/>
      <c r="Q46" s="178"/>
      <c r="R46" s="178"/>
      <c r="S46" s="178"/>
      <c r="T46" s="178"/>
      <c r="U46" s="546"/>
      <c r="V46" s="546"/>
      <c r="W46" s="546"/>
      <c r="X46" s="178"/>
      <c r="Y46" s="162"/>
      <c r="Z46" s="736" t="e">
        <f t="shared" si="153"/>
        <v>#DIV/0!</v>
      </c>
      <c r="AA46" s="162"/>
      <c r="AB46" s="164"/>
      <c r="AC46" s="165"/>
      <c r="AD46" s="8" t="s">
        <v>340</v>
      </c>
      <c r="AE46" s="674">
        <f t="shared" si="154"/>
        <v>6</v>
      </c>
      <c r="AF46" s="674">
        <f t="shared" si="155"/>
        <v>0</v>
      </c>
      <c r="AG46" s="9"/>
      <c r="AH46" s="9"/>
      <c r="AI46" s="50"/>
      <c r="AJ46" s="149">
        <v>6</v>
      </c>
      <c r="AK46" s="209"/>
      <c r="AL46" s="426"/>
      <c r="AM46" s="875">
        <f t="shared" si="156"/>
        <v>0</v>
      </c>
      <c r="AN46" s="10">
        <f t="shared" si="157"/>
        <v>0</v>
      </c>
      <c r="AO46" s="43"/>
      <c r="AP46" s="43"/>
      <c r="AQ46" s="43"/>
      <c r="AR46" s="61"/>
      <c r="AS46" s="61"/>
      <c r="AT46" s="61"/>
      <c r="AU46" s="61"/>
      <c r="AV46" s="61"/>
      <c r="AW46" s="10"/>
      <c r="AX46" s="59"/>
      <c r="AY46" s="61"/>
      <c r="AZ46" s="43"/>
      <c r="BA46" s="39"/>
      <c r="BB46" s="8"/>
      <c r="BC46" s="39"/>
      <c r="BD46" s="39"/>
      <c r="BE46" s="39"/>
      <c r="BF46" s="39"/>
      <c r="BG46" s="39"/>
      <c r="BH46" s="39"/>
      <c r="BI46" s="159">
        <v>43005</v>
      </c>
      <c r="BJ46" s="75"/>
      <c r="BK46" s="867"/>
      <c r="BL46" s="124">
        <v>43081</v>
      </c>
      <c r="BM46" s="157">
        <v>43234</v>
      </c>
      <c r="BN46" s="1007">
        <f t="shared" si="73"/>
        <v>5.0999999999999996</v>
      </c>
      <c r="BO46" s="954">
        <v>78083</v>
      </c>
      <c r="BP46" s="125">
        <f>DATE(YEAR(BM46),MONTH(BM46)+3,DAY(BM46))</f>
        <v>43326</v>
      </c>
      <c r="BQ46" s="125"/>
      <c r="BR46" s="225">
        <v>43344</v>
      </c>
      <c r="BS46" s="224">
        <f t="shared" si="158"/>
        <v>44075</v>
      </c>
      <c r="BT46" s="605"/>
      <c r="BU46" s="782"/>
      <c r="BV46" s="783"/>
      <c r="BW46" s="783"/>
      <c r="BX46" s="783"/>
      <c r="BY46" s="705"/>
      <c r="BZ46" s="982" t="s">
        <v>806</v>
      </c>
      <c r="CA46" s="703"/>
      <c r="CB46" s="703">
        <v>43340</v>
      </c>
      <c r="CC46" s="703">
        <v>43357</v>
      </c>
      <c r="CD46" s="699"/>
      <c r="CE46" s="699"/>
      <c r="CF46" s="699"/>
      <c r="CG46" s="699"/>
      <c r="CH46" s="699"/>
      <c r="CI46" s="699"/>
      <c r="CJ46" s="699"/>
      <c r="CK46" s="699"/>
      <c r="CL46" s="699"/>
      <c r="CM46" s="699"/>
      <c r="CN46" s="699"/>
      <c r="CO46" s="699"/>
      <c r="CP46" s="699"/>
      <c r="CQ46" s="237">
        <v>42649</v>
      </c>
      <c r="CR46" s="95"/>
      <c r="CS46" s="95"/>
      <c r="CT46" s="475" t="str">
        <f t="shared" si="159"/>
        <v>0</v>
      </c>
      <c r="CU46" s="95">
        <v>42901</v>
      </c>
      <c r="CV46" s="95">
        <v>42884</v>
      </c>
      <c r="CW46" s="475">
        <f t="shared" si="160"/>
        <v>-17</v>
      </c>
      <c r="CX46" s="237">
        <v>42814</v>
      </c>
      <c r="CY46" s="237">
        <v>42881</v>
      </c>
      <c r="CZ46" s="475">
        <f t="shared" si="161"/>
        <v>67</v>
      </c>
      <c r="DA46" s="490">
        <v>42972</v>
      </c>
      <c r="DB46" s="488">
        <f ca="1">IF(DA46&lt;TODAY(),TODAY(),DA46)</f>
        <v>43647</v>
      </c>
      <c r="DC46" s="475">
        <f t="shared" ca="1" si="162"/>
        <v>675</v>
      </c>
      <c r="DD46" s="490">
        <v>42972</v>
      </c>
      <c r="DE46" s="490">
        <f ca="1">IF(DD46&lt;TODAY(),TODAY(),DD46)</f>
        <v>43647</v>
      </c>
      <c r="DF46" s="475">
        <f t="shared" ca="1" si="163"/>
        <v>675</v>
      </c>
      <c r="DG46" s="438"/>
      <c r="DH46" s="488">
        <v>43296</v>
      </c>
      <c r="DI46" s="486">
        <v>43074</v>
      </c>
      <c r="DJ46" s="484">
        <f ca="1">IF(DI46&lt;TODAY(),TODAY(),DI46)</f>
        <v>43647</v>
      </c>
      <c r="DK46" s="481">
        <f ca="1">IF(AND(DI46&gt;0,DJ46&gt;0),DJ46-DI46,"0")</f>
        <v>573</v>
      </c>
      <c r="DL46" s="486">
        <v>43081</v>
      </c>
      <c r="DM46" s="430">
        <v>43452</v>
      </c>
      <c r="DN46" s="431">
        <v>2018</v>
      </c>
      <c r="DO46" s="436">
        <f t="shared" si="164"/>
        <v>14.9</v>
      </c>
      <c r="DP46" s="481">
        <f t="shared" si="165"/>
        <v>371</v>
      </c>
      <c r="DQ46" s="198">
        <v>7</v>
      </c>
      <c r="DR46" s="90">
        <f t="shared" si="166"/>
        <v>6</v>
      </c>
      <c r="DS46" s="479"/>
      <c r="DT46" s="484">
        <f ca="1">IF(DS46&lt;TODAY(),TODAY(),DS46)</f>
        <v>43647</v>
      </c>
      <c r="DU46" s="481" t="str">
        <f t="shared" ca="1" si="167"/>
        <v>0</v>
      </c>
      <c r="DV46" s="479"/>
      <c r="DW46" s="497">
        <f ca="1">IF(DV46&lt;TODAY(),TODAY(),DV46)</f>
        <v>43647</v>
      </c>
      <c r="DX46" s="556" t="str">
        <f t="shared" ca="1" si="168"/>
        <v>0</v>
      </c>
      <c r="DY46" s="484"/>
      <c r="DZ46" s="484">
        <f ca="1">IF(DY46&lt;TODAY(),TODAY(),DY46)</f>
        <v>43647</v>
      </c>
      <c r="EA46" s="481" t="str">
        <f t="shared" ca="1" si="169"/>
        <v>0</v>
      </c>
      <c r="EB46" s="484">
        <v>43500</v>
      </c>
      <c r="EC46" s="484">
        <f ca="1">IF(EB46&lt;TODAY(),TODAY(),EB46)</f>
        <v>43647</v>
      </c>
      <c r="ED46" s="481">
        <f t="shared" ca="1" si="170"/>
        <v>147</v>
      </c>
      <c r="EE46" s="485"/>
      <c r="EF46" s="485"/>
      <c r="EG46" s="481" t="str">
        <f t="shared" si="171"/>
        <v>0</v>
      </c>
      <c r="EH46" s="484"/>
      <c r="EI46" s="484">
        <f ca="1">IF(EH46&lt;TODAY(),TODAY(),EH46)</f>
        <v>43647</v>
      </c>
      <c r="EJ46" s="481" t="str">
        <f t="shared" ca="1" si="172"/>
        <v>0</v>
      </c>
      <c r="EK46" s="484">
        <v>43577</v>
      </c>
      <c r="EL46" s="484">
        <f ca="1">IF(EK46&lt;TODAY(),TODAY(),EK46)</f>
        <v>43647</v>
      </c>
      <c r="EM46" s="481">
        <f t="shared" ca="1" si="173"/>
        <v>70</v>
      </c>
      <c r="EN46" s="484"/>
      <c r="EO46" s="484"/>
      <c r="EP46" s="484"/>
      <c r="EQ46" s="680">
        <f t="shared" si="174"/>
        <v>43664</v>
      </c>
      <c r="ER46" s="653">
        <v>43647</v>
      </c>
      <c r="ES46" s="650" t="e">
        <f t="shared" si="175"/>
        <v>#NUM!</v>
      </c>
      <c r="ET46" s="933">
        <f t="shared" ca="1" si="176"/>
        <v>0</v>
      </c>
      <c r="EU46" s="924">
        <f ca="1">DATE(YEAR(DW46)+2,MONTH(DW46),DAY(DW46))</f>
        <v>44378</v>
      </c>
      <c r="EV46" s="737"/>
      <c r="EW46" s="737"/>
      <c r="EX46" s="145"/>
      <c r="EY46" s="443"/>
      <c r="EZ46" s="747">
        <f>DATE(YEAR(EQ46),MONTH(EQ46)+1,DAY(EQ46))</f>
        <v>43695</v>
      </c>
      <c r="FA46" s="653">
        <v>43654</v>
      </c>
      <c r="FB46" s="518"/>
      <c r="FC46" s="647">
        <f>(DATEDIF(FA46,EZ46,"d"))/30</f>
        <v>1.3666666666666667</v>
      </c>
      <c r="FD46" s="636"/>
      <c r="FE46" s="46">
        <f t="shared" si="177"/>
        <v>0</v>
      </c>
      <c r="FF46" s="91"/>
      <c r="FG46" s="502">
        <v>0</v>
      </c>
      <c r="FH46" s="502">
        <v>31250</v>
      </c>
      <c r="FI46" s="502"/>
      <c r="FJ46" s="502"/>
      <c r="FK46" s="502"/>
      <c r="FL46" s="664" t="e">
        <f t="shared" si="178"/>
        <v>#DIV/0!</v>
      </c>
      <c r="FM46" s="499"/>
      <c r="FN46" s="511"/>
      <c r="FO46" s="511" t="s">
        <v>620</v>
      </c>
      <c r="FP46" s="499"/>
      <c r="FQ46" s="94"/>
      <c r="FR46" s="94"/>
      <c r="FS46" s="94"/>
      <c r="FT46" s="94"/>
      <c r="FU46" s="94"/>
      <c r="FV46" s="39"/>
      <c r="FW46" s="212">
        <f t="shared" si="179"/>
        <v>44013</v>
      </c>
      <c r="FX46" s="212"/>
      <c r="FY46" s="39"/>
      <c r="FZ46" s="39"/>
      <c r="GA46" s="39"/>
      <c r="GB46" s="39"/>
      <c r="GC46" s="39"/>
      <c r="GD46" s="39"/>
      <c r="GE46" s="39"/>
      <c r="GF46" s="39"/>
      <c r="GG46" s="39"/>
      <c r="GH46" s="39"/>
      <c r="GI46" s="39"/>
      <c r="GJ46" s="39"/>
      <c r="GK46" s="39"/>
      <c r="GL46" s="742"/>
      <c r="GM46" s="979">
        <f t="shared" si="180"/>
        <v>0</v>
      </c>
      <c r="GN46" s="772">
        <f t="shared" si="181"/>
        <v>0</v>
      </c>
      <c r="GO46" s="53"/>
      <c r="GP46" s="898">
        <f>HA46+HB46+HF46</f>
        <v>0</v>
      </c>
      <c r="GQ46" s="35" t="e">
        <f t="shared" si="182"/>
        <v>#DIV/0!</v>
      </c>
      <c r="GR46" s="35">
        <f t="shared" si="183"/>
        <v>0</v>
      </c>
      <c r="GS46" s="573"/>
      <c r="GT46" s="577"/>
      <c r="GU46" s="575" t="e">
        <f>#REF!/AE46</f>
        <v>#REF!</v>
      </c>
      <c r="GV46" s="11"/>
      <c r="GW46" s="12"/>
      <c r="GX46" s="12"/>
      <c r="GY46" s="11">
        <v>281250</v>
      </c>
      <c r="GZ46" s="863"/>
      <c r="HA46" s="11"/>
      <c r="HB46" s="53"/>
      <c r="HC46" s="28" t="e">
        <f t="shared" si="184"/>
        <v>#DIV/0!</v>
      </c>
      <c r="HD46" s="53"/>
      <c r="HE46" s="53"/>
      <c r="HF46" s="11"/>
      <c r="HG46" s="35">
        <f t="shared" si="185"/>
        <v>0</v>
      </c>
      <c r="HH46" s="35">
        <f t="shared" si="186"/>
        <v>0</v>
      </c>
      <c r="HI46" s="27"/>
      <c r="HJ46" s="27"/>
      <c r="HK46" s="19" t="e">
        <f>(#REF!+#REF!+HJ46)/AE46</f>
        <v>#REF!</v>
      </c>
      <c r="HL46" s="27"/>
      <c r="HM46" s="19">
        <f t="shared" si="187"/>
        <v>0</v>
      </c>
      <c r="HN46" s="36" t="e">
        <f>(#REF!+#REF!+HJ46+HL46)/(HI46+#REF!-HO46)</f>
        <v>#REF!</v>
      </c>
      <c r="HO46" s="27"/>
      <c r="HP46" s="27"/>
      <c r="HQ46" s="11"/>
      <c r="HR46" s="898"/>
      <c r="HS46" s="898"/>
      <c r="HT46" s="898"/>
      <c r="HU46" s="898">
        <f t="shared" ca="1" si="188"/>
        <v>0</v>
      </c>
      <c r="HV46" s="898"/>
      <c r="HW46" s="898"/>
      <c r="HX46" s="898">
        <f>GP46-HW46</f>
        <v>0</v>
      </c>
      <c r="HY46" s="898" t="e">
        <f>HW46/GP46</f>
        <v>#DIV/0!</v>
      </c>
      <c r="HZ46" s="898"/>
      <c r="IA46" s="29" t="e">
        <f>#REF!+HI46</f>
        <v>#REF!</v>
      </c>
      <c r="IB46" s="752"/>
      <c r="IC46" s="73"/>
      <c r="ID46" s="373"/>
      <c r="IE46" s="373"/>
      <c r="IF46" s="373"/>
    </row>
    <row r="47" spans="1:240" ht="42.75" customHeight="1">
      <c r="A47" s="970" t="s">
        <v>935</v>
      </c>
      <c r="B47" s="778"/>
      <c r="C47" s="8" t="s">
        <v>131</v>
      </c>
      <c r="D47" s="8" t="s">
        <v>94</v>
      </c>
      <c r="E47" s="8">
        <v>2015</v>
      </c>
      <c r="F47" s="8" t="s">
        <v>194</v>
      </c>
      <c r="G47" s="8" t="s">
        <v>926</v>
      </c>
      <c r="H47" s="671"/>
      <c r="I47" s="8" t="s">
        <v>140</v>
      </c>
      <c r="J47" s="39"/>
      <c r="K47" s="39"/>
      <c r="L47" s="199" t="s">
        <v>441</v>
      </c>
      <c r="M47" s="126" t="s">
        <v>45</v>
      </c>
      <c r="N47" s="818"/>
      <c r="O47" s="81"/>
      <c r="P47" s="161">
        <f>13077/58*AE47</f>
        <v>10371.413793103447</v>
      </c>
      <c r="Q47" s="161">
        <f>590200/58*AE47</f>
        <v>468089.65517241386</v>
      </c>
      <c r="R47" s="161">
        <f>590200/58*AE47</f>
        <v>468089.65517241386</v>
      </c>
      <c r="S47" s="161">
        <f>Q47/AE47</f>
        <v>10175.862068965518</v>
      </c>
      <c r="T47" s="161">
        <f>Q47/P47</f>
        <v>45.13267569014301</v>
      </c>
      <c r="U47" s="167">
        <f>R47/P47</f>
        <v>45.13267569014301</v>
      </c>
      <c r="V47" s="167">
        <f>R47/AL47</f>
        <v>115.98823370433713</v>
      </c>
      <c r="W47" s="167">
        <f>R47/AE47</f>
        <v>10175.862068965518</v>
      </c>
      <c r="X47" s="161">
        <f>P47/AE47</f>
        <v>225.4655172413793</v>
      </c>
      <c r="Y47" s="162"/>
      <c r="Z47" s="733">
        <f t="shared" si="153"/>
        <v>44.352680278351308</v>
      </c>
      <c r="AA47" s="162" t="s">
        <v>718</v>
      </c>
      <c r="AB47" s="164">
        <v>280</v>
      </c>
      <c r="AC47" s="165">
        <v>0.25</v>
      </c>
      <c r="AD47" s="18" t="s">
        <v>9</v>
      </c>
      <c r="AE47" s="674">
        <f t="shared" si="154"/>
        <v>46</v>
      </c>
      <c r="AF47" s="674">
        <f t="shared" si="155"/>
        <v>46</v>
      </c>
      <c r="AG47" s="8">
        <v>46</v>
      </c>
      <c r="AH47" s="9"/>
      <c r="AI47" s="50"/>
      <c r="AJ47" s="50"/>
      <c r="AK47" s="209">
        <v>3586.65</v>
      </c>
      <c r="AL47" s="426">
        <v>4035.6650000000013</v>
      </c>
      <c r="AM47" s="875">
        <f t="shared" si="156"/>
        <v>77.970652173913052</v>
      </c>
      <c r="AN47" s="10">
        <f t="shared" si="157"/>
        <v>87.731847826086991</v>
      </c>
      <c r="AO47" s="43">
        <v>7.21</v>
      </c>
      <c r="AP47" s="43">
        <v>6.41</v>
      </c>
      <c r="AQ47" s="43">
        <v>562</v>
      </c>
      <c r="AR47" s="61"/>
      <c r="AS47" s="61"/>
      <c r="AT47" s="61">
        <f>36/AG47</f>
        <v>0.78260869565217395</v>
      </c>
      <c r="AU47" s="61">
        <f>10/AE47</f>
        <v>0.21739130434782608</v>
      </c>
      <c r="AV47" s="61"/>
      <c r="AW47" s="10"/>
      <c r="AX47" s="59"/>
      <c r="AY47" s="61"/>
      <c r="AZ47" s="45">
        <v>2</v>
      </c>
      <c r="BA47" s="42" t="s">
        <v>439</v>
      </c>
      <c r="BB47" s="8" t="s">
        <v>100</v>
      </c>
      <c r="BC47" s="39"/>
      <c r="BD47" s="39"/>
      <c r="BE47" s="39"/>
      <c r="BF47" s="39"/>
      <c r="BG47" s="87">
        <v>41921</v>
      </c>
      <c r="BH47" s="39"/>
      <c r="BI47" s="159">
        <v>42304</v>
      </c>
      <c r="BJ47" s="75">
        <v>42335</v>
      </c>
      <c r="BK47" s="867"/>
      <c r="BL47" s="124">
        <v>42614</v>
      </c>
      <c r="BM47" s="157">
        <v>42620</v>
      </c>
      <c r="BN47" s="1007">
        <f t="shared" si="73"/>
        <v>0.2</v>
      </c>
      <c r="BO47" s="954">
        <v>54047</v>
      </c>
      <c r="BP47" s="125">
        <v>42711</v>
      </c>
      <c r="BQ47" s="125"/>
      <c r="BR47" s="225">
        <v>42736</v>
      </c>
      <c r="BS47" s="224">
        <f t="shared" si="158"/>
        <v>43466</v>
      </c>
      <c r="BT47" s="605">
        <f>35712+134537</f>
        <v>170249</v>
      </c>
      <c r="BU47" s="224" t="str">
        <f>IF(FA47&gt;BS47,"oui","non")</f>
        <v>oui</v>
      </c>
      <c r="BV47" s="784">
        <f>(BS47-FA47)/30</f>
        <v>-1.6333333333333333</v>
      </c>
      <c r="BW47" s="605" t="str">
        <f>IF((BV47*FD47)&lt;0,"0",BV47*FD47)</f>
        <v>0</v>
      </c>
      <c r="BX47" s="605">
        <f>BT47-BW47</f>
        <v>170249</v>
      </c>
      <c r="BY47" s="705"/>
      <c r="BZ47" s="697"/>
      <c r="CA47" s="338"/>
      <c r="CB47" s="338"/>
      <c r="CC47" s="338"/>
      <c r="CD47" s="360"/>
      <c r="CE47" s="360"/>
      <c r="CF47" s="360"/>
      <c r="CG47" s="360"/>
      <c r="CH47" s="360"/>
      <c r="CI47" s="360"/>
      <c r="CJ47" s="360"/>
      <c r="CK47" s="360"/>
      <c r="CL47" s="360"/>
      <c r="CM47" s="360"/>
      <c r="CN47" s="360"/>
      <c r="CO47" s="360"/>
      <c r="CP47" s="360"/>
      <c r="CQ47" s="95"/>
      <c r="CR47" s="95"/>
      <c r="CS47" s="95"/>
      <c r="CT47" s="475" t="str">
        <f t="shared" si="159"/>
        <v>0</v>
      </c>
      <c r="CU47" s="95"/>
      <c r="CV47" s="95"/>
      <c r="CW47" s="475" t="str">
        <f t="shared" si="160"/>
        <v>0</v>
      </c>
      <c r="CX47" s="95"/>
      <c r="CY47" s="95"/>
      <c r="CZ47" s="475" t="str">
        <f t="shared" si="161"/>
        <v>0</v>
      </c>
      <c r="DA47" s="95"/>
      <c r="DB47" s="95"/>
      <c r="DC47" s="475" t="str">
        <f t="shared" si="162"/>
        <v>0</v>
      </c>
      <c r="DD47" s="95"/>
      <c r="DE47" s="95"/>
      <c r="DF47" s="475" t="str">
        <f t="shared" si="163"/>
        <v>0</v>
      </c>
      <c r="DG47" s="438"/>
      <c r="DH47" s="95"/>
      <c r="DI47" s="95"/>
      <c r="DJ47" s="95"/>
      <c r="DK47" s="475"/>
      <c r="DL47" s="95"/>
      <c r="DM47" s="430">
        <v>42782</v>
      </c>
      <c r="DN47" s="325">
        <v>2017</v>
      </c>
      <c r="DO47" s="434">
        <f t="shared" si="164"/>
        <v>15.933333333333334</v>
      </c>
      <c r="DP47" s="475" t="str">
        <f t="shared" si="165"/>
        <v>0</v>
      </c>
      <c r="DQ47" s="198">
        <v>18</v>
      </c>
      <c r="DR47" s="90">
        <f t="shared" si="166"/>
        <v>23</v>
      </c>
      <c r="DS47" s="95">
        <v>42909</v>
      </c>
      <c r="DT47" s="95">
        <v>42909</v>
      </c>
      <c r="DU47" s="475">
        <f t="shared" si="167"/>
        <v>0</v>
      </c>
      <c r="DV47" s="237">
        <v>42942</v>
      </c>
      <c r="DW47" s="555">
        <v>43160</v>
      </c>
      <c r="DX47" s="556">
        <f t="shared" si="168"/>
        <v>218</v>
      </c>
      <c r="DY47" s="95">
        <v>43046</v>
      </c>
      <c r="DZ47" s="95">
        <v>43259</v>
      </c>
      <c r="EA47" s="475">
        <f t="shared" si="169"/>
        <v>213</v>
      </c>
      <c r="EB47" s="237">
        <v>43133</v>
      </c>
      <c r="EC47" s="237">
        <v>43278</v>
      </c>
      <c r="ED47" s="616">
        <f t="shared" si="170"/>
        <v>145</v>
      </c>
      <c r="EE47" s="95">
        <v>43182</v>
      </c>
      <c r="EF47" s="95">
        <v>43290</v>
      </c>
      <c r="EG47" s="475">
        <f t="shared" si="171"/>
        <v>108</v>
      </c>
      <c r="EH47" s="237">
        <v>43214</v>
      </c>
      <c r="EI47" s="237">
        <v>43412</v>
      </c>
      <c r="EJ47" s="616">
        <f t="shared" si="172"/>
        <v>198</v>
      </c>
      <c r="EK47" s="484">
        <v>43346</v>
      </c>
      <c r="EL47" s="484">
        <f ca="1">IF(EK47&lt;TODAY(),TODAY(),EK47)</f>
        <v>43647</v>
      </c>
      <c r="EM47" s="481">
        <f t="shared" ca="1" si="173"/>
        <v>301</v>
      </c>
      <c r="EN47" s="485"/>
      <c r="EO47" s="485"/>
      <c r="EP47" s="485"/>
      <c r="EQ47" s="534">
        <f t="shared" si="174"/>
        <v>43328</v>
      </c>
      <c r="ER47" s="331">
        <v>43503</v>
      </c>
      <c r="ES47" s="684">
        <f t="shared" si="175"/>
        <v>5.833333333333333</v>
      </c>
      <c r="ET47" s="929">
        <f t="shared" ca="1" si="176"/>
        <v>0</v>
      </c>
      <c r="EU47" s="441">
        <f>DATE(YEAR(DW47)+2,MONTH(DW47),DAY(DW47))</f>
        <v>43891</v>
      </c>
      <c r="EV47" s="186">
        <v>43522</v>
      </c>
      <c r="EW47" s="186">
        <v>42887</v>
      </c>
      <c r="EX47" s="89">
        <v>43504</v>
      </c>
      <c r="EY47" s="441"/>
      <c r="EZ47" s="746">
        <f>DATE(YEAR(EQ47),MONTH(EQ47),DAY(EQ47)+15)</f>
        <v>43343</v>
      </c>
      <c r="FA47" s="331">
        <v>43515</v>
      </c>
      <c r="FB47" s="325">
        <v>2019</v>
      </c>
      <c r="FC47" s="679">
        <f>(DATEDIF(EZ47,FA47,"d"))/30</f>
        <v>5.7333333333333334</v>
      </c>
      <c r="FD47" s="630">
        <f>319600/12</f>
        <v>26633.333333333332</v>
      </c>
      <c r="FE47" s="694">
        <f t="shared" si="177"/>
        <v>152697.77777777778</v>
      </c>
      <c r="FF47" s="427"/>
      <c r="FG47" s="502">
        <v>0</v>
      </c>
      <c r="FH47" s="502">
        <v>0</v>
      </c>
      <c r="FI47" s="502">
        <f>481600.82*1.021</f>
        <v>491714.43721999996</v>
      </c>
      <c r="FJ47" s="502">
        <v>345197.8408103516</v>
      </c>
      <c r="FK47" s="502">
        <f>75606.36*1.021</f>
        <v>77194.093559999994</v>
      </c>
      <c r="FL47" s="664">
        <f t="shared" si="178"/>
        <v>9.0536925516670301E-3</v>
      </c>
      <c r="FM47" s="499" t="s">
        <v>583</v>
      </c>
      <c r="FN47" s="587" t="s">
        <v>807</v>
      </c>
      <c r="FO47" s="755" t="s">
        <v>813</v>
      </c>
      <c r="FP47" s="587" t="s">
        <v>652</v>
      </c>
      <c r="FQ47" s="95">
        <v>43511</v>
      </c>
      <c r="FR47" s="237">
        <v>43591</v>
      </c>
      <c r="FS47" s="94"/>
      <c r="FT47" s="94"/>
      <c r="FU47" s="94"/>
      <c r="FV47" s="376" t="s">
        <v>920</v>
      </c>
      <c r="FW47" s="212">
        <f t="shared" si="179"/>
        <v>43868</v>
      </c>
      <c r="FX47" s="427"/>
      <c r="FY47" s="87">
        <v>43563</v>
      </c>
      <c r="FZ47" s="87">
        <v>43563</v>
      </c>
      <c r="GA47" s="39"/>
      <c r="GB47" s="39"/>
      <c r="GC47" s="39"/>
      <c r="GD47" s="39"/>
      <c r="GE47" s="39"/>
      <c r="GF47" s="39"/>
      <c r="GG47" s="39"/>
      <c r="GH47" s="39"/>
      <c r="GI47" s="39"/>
      <c r="GJ47" s="39"/>
      <c r="GK47" s="39"/>
      <c r="GL47" s="742"/>
      <c r="GM47" s="979">
        <f t="shared" si="180"/>
        <v>8526255.2400000002</v>
      </c>
      <c r="GN47" s="772">
        <f t="shared" si="181"/>
        <v>8526255.2400000002</v>
      </c>
      <c r="GO47" s="683">
        <f>GN47</f>
        <v>8526255.2400000002</v>
      </c>
      <c r="GP47" s="909">
        <f>HA47+HB47+HF47+HE47+HJ47+HL47</f>
        <v>597696.24</v>
      </c>
      <c r="GQ47" s="35">
        <f t="shared" si="182"/>
        <v>2112.7262148865175</v>
      </c>
      <c r="GR47" s="35">
        <f t="shared" si="183"/>
        <v>185353.37478260871</v>
      </c>
      <c r="GS47" s="573">
        <v>2642685</v>
      </c>
      <c r="GT47" s="577"/>
      <c r="GU47" s="575">
        <f>GS47/AE47</f>
        <v>57449.67391304348</v>
      </c>
      <c r="GV47" s="11">
        <f>GW47+GX47</f>
        <v>5285874</v>
      </c>
      <c r="GW47" s="12">
        <v>1258166</v>
      </c>
      <c r="GX47" s="12">
        <v>4027708</v>
      </c>
      <c r="GY47" s="567">
        <f t="shared" ref="GY47:GY62" si="189">GV47/AE47</f>
        <v>114910.30434782608</v>
      </c>
      <c r="GZ47" s="11"/>
      <c r="HA47" s="11">
        <v>406000</v>
      </c>
      <c r="HB47" s="53"/>
      <c r="HC47" s="28">
        <f t="shared" si="184"/>
        <v>4.7617622106278866E-2</v>
      </c>
      <c r="HD47" s="68"/>
      <c r="HE47" s="68"/>
      <c r="HF47" s="11">
        <v>191696.24</v>
      </c>
      <c r="HG47" s="35">
        <f t="shared" si="185"/>
        <v>8826.0869565217399</v>
      </c>
      <c r="HH47" s="64">
        <f t="shared" si="186"/>
        <v>66275.760869565216</v>
      </c>
      <c r="HI47" s="27"/>
      <c r="HJ47" s="27"/>
      <c r="HK47" s="19">
        <f>(GS47+HA47+HJ47)/AE47</f>
        <v>66275.760869565216</v>
      </c>
      <c r="HL47" s="27"/>
      <c r="HM47" s="19">
        <f t="shared" si="187"/>
        <v>66275.760869565216</v>
      </c>
      <c r="HN47" s="36">
        <f>(GS47+HA47+HJ47+HL47)/(HI47+GN47-HO47)</f>
        <v>0.35756436022433691</v>
      </c>
      <c r="HO47" s="27"/>
      <c r="HP47" s="27"/>
      <c r="HQ47" s="11">
        <f>FH47</f>
        <v>0</v>
      </c>
      <c r="HR47" s="909">
        <v>6980817.6599099981</v>
      </c>
      <c r="HS47" s="907">
        <f>HR47/GN47</f>
        <v>0.81874368798628616</v>
      </c>
      <c r="HT47" s="915">
        <f>GN47-HR47</f>
        <v>1545437.5800900022</v>
      </c>
      <c r="HU47" s="898">
        <f t="shared" ca="1" si="188"/>
        <v>1545437.5800900022</v>
      </c>
      <c r="HV47" s="907">
        <f ca="1">(HU47+HR47)/GN47</f>
        <v>1</v>
      </c>
      <c r="HW47" s="898">
        <f>'[3]GLOBAL OPERATION'!$AG$47+65300</f>
        <v>694998.45</v>
      </c>
      <c r="HX47" s="898">
        <f>GP47+GP48-HW47</f>
        <v>200868</v>
      </c>
      <c r="HY47" s="907">
        <f>HW47/(GP47+GP48)</f>
        <v>0.77578354452273546</v>
      </c>
      <c r="HZ47" s="907"/>
      <c r="IA47" s="29">
        <f>GN47+HI47</f>
        <v>8526255.2400000002</v>
      </c>
      <c r="IB47" s="752"/>
      <c r="IC47" s="73"/>
      <c r="ID47" s="73"/>
      <c r="IE47" s="73"/>
      <c r="IF47" s="73"/>
    </row>
    <row r="48" spans="1:240" ht="45" customHeight="1">
      <c r="A48" s="970" t="s">
        <v>720</v>
      </c>
      <c r="B48" s="778"/>
      <c r="C48" s="8" t="s">
        <v>131</v>
      </c>
      <c r="D48" s="8" t="s">
        <v>94</v>
      </c>
      <c r="E48" s="8">
        <v>2015</v>
      </c>
      <c r="F48" s="8" t="s">
        <v>194</v>
      </c>
      <c r="G48" s="8" t="s">
        <v>926</v>
      </c>
      <c r="H48" s="8" t="s">
        <v>371</v>
      </c>
      <c r="I48" s="8" t="s">
        <v>140</v>
      </c>
      <c r="J48" s="39"/>
      <c r="K48" s="39"/>
      <c r="L48" s="199" t="s">
        <v>441</v>
      </c>
      <c r="M48" s="126" t="s">
        <v>45</v>
      </c>
      <c r="N48" s="80" t="s">
        <v>50</v>
      </c>
      <c r="O48" s="81"/>
      <c r="P48" s="161">
        <f>13077/58*AE48</f>
        <v>2705.5862068965516</v>
      </c>
      <c r="Q48" s="161">
        <f>590200/58*AE48</f>
        <v>122110.34482758622</v>
      </c>
      <c r="R48" s="161">
        <f>590200/58*AE48</f>
        <v>122110.34482758622</v>
      </c>
      <c r="S48" s="161">
        <f>Q48/AE48</f>
        <v>10175.862068965518</v>
      </c>
      <c r="T48" s="161">
        <f>Q48/P48</f>
        <v>45.132675690143003</v>
      </c>
      <c r="U48" s="167">
        <f>R48/P48</f>
        <v>45.132675690143003</v>
      </c>
      <c r="V48" s="167">
        <f>R48/AL48</f>
        <v>180.30054163480233</v>
      </c>
      <c r="W48" s="167">
        <f>R48/AE48</f>
        <v>10175.862068965518</v>
      </c>
      <c r="X48" s="161">
        <f>P48/AE48</f>
        <v>225.4655172413793</v>
      </c>
      <c r="Y48" s="162"/>
      <c r="Z48" s="733">
        <f t="shared" si="153"/>
        <v>44.352680278351308</v>
      </c>
      <c r="AA48" s="162" t="s">
        <v>718</v>
      </c>
      <c r="AB48" s="164">
        <v>280</v>
      </c>
      <c r="AC48" s="165">
        <v>0.25</v>
      </c>
      <c r="AD48" s="18" t="s">
        <v>10</v>
      </c>
      <c r="AE48" s="674">
        <f t="shared" si="154"/>
        <v>12</v>
      </c>
      <c r="AF48" s="674">
        <f t="shared" si="155"/>
        <v>12</v>
      </c>
      <c r="AG48" s="9"/>
      <c r="AH48" s="8">
        <v>12</v>
      </c>
      <c r="AI48" s="50"/>
      <c r="AJ48" s="50"/>
      <c r="AK48" s="209">
        <v>677.26</v>
      </c>
      <c r="AL48" s="426">
        <v>677.26</v>
      </c>
      <c r="AM48" s="875">
        <f t="shared" si="156"/>
        <v>56.438333333333333</v>
      </c>
      <c r="AN48" s="10">
        <f t="shared" si="157"/>
        <v>56.438333333333333</v>
      </c>
      <c r="AO48" s="43">
        <v>5.87</v>
      </c>
      <c r="AP48" s="43">
        <v>5.87</v>
      </c>
      <c r="AQ48" s="43">
        <v>331.1</v>
      </c>
      <c r="AR48" s="61"/>
      <c r="AS48" s="61">
        <f>12/AE48</f>
        <v>1</v>
      </c>
      <c r="AT48" s="61"/>
      <c r="AU48" s="61"/>
      <c r="AV48" s="61"/>
      <c r="AW48" s="10"/>
      <c r="AX48" s="59"/>
      <c r="AY48" s="61"/>
      <c r="AZ48" s="43">
        <v>2</v>
      </c>
      <c r="BA48" s="42" t="s">
        <v>439</v>
      </c>
      <c r="BB48" s="8" t="s">
        <v>100</v>
      </c>
      <c r="BC48" s="39"/>
      <c r="BD48" s="39"/>
      <c r="BE48" s="39"/>
      <c r="BF48" s="39"/>
      <c r="BG48" s="87">
        <v>41921</v>
      </c>
      <c r="BH48" s="39"/>
      <c r="BI48" s="159">
        <v>42306</v>
      </c>
      <c r="BJ48" s="75">
        <v>42335</v>
      </c>
      <c r="BK48" s="867"/>
      <c r="BL48" s="124">
        <v>42614</v>
      </c>
      <c r="BM48" s="157">
        <v>42622</v>
      </c>
      <c r="BN48" s="1007">
        <f t="shared" si="73"/>
        <v>0.26666666666666666</v>
      </c>
      <c r="BO48" s="954">
        <v>54134</v>
      </c>
      <c r="BP48" s="125">
        <v>42713</v>
      </c>
      <c r="BQ48" s="125"/>
      <c r="BR48" s="225">
        <v>42736</v>
      </c>
      <c r="BS48" s="224">
        <f t="shared" si="158"/>
        <v>43466</v>
      </c>
      <c r="BT48" s="605">
        <f>16897+4009</f>
        <v>20906</v>
      </c>
      <c r="BU48" s="224" t="str">
        <f>IF(FA48&gt;BS48,"oui","non")</f>
        <v>oui</v>
      </c>
      <c r="BV48" s="784">
        <f>(BS48-FA48)/30</f>
        <v>-1.6333333333333333</v>
      </c>
      <c r="BW48" s="605" t="str">
        <f>IF((BV48*FD48)&lt;0,"0",BV48*FD48)</f>
        <v>0</v>
      </c>
      <c r="BX48" s="605">
        <f>BT48-BW48</f>
        <v>20906</v>
      </c>
      <c r="BY48" s="705"/>
      <c r="BZ48" s="697"/>
      <c r="CA48" s="338"/>
      <c r="CB48" s="338"/>
      <c r="CC48" s="338"/>
      <c r="CD48" s="360"/>
      <c r="CE48" s="360"/>
      <c r="CF48" s="360"/>
      <c r="CG48" s="360"/>
      <c r="CH48" s="360"/>
      <c r="CI48" s="360"/>
      <c r="CJ48" s="360"/>
      <c r="CK48" s="360"/>
      <c r="CL48" s="360"/>
      <c r="CM48" s="360"/>
      <c r="CN48" s="360"/>
      <c r="CO48" s="360"/>
      <c r="CP48" s="360"/>
      <c r="CQ48" s="95"/>
      <c r="CR48" s="95"/>
      <c r="CS48" s="95"/>
      <c r="CT48" s="475" t="str">
        <f t="shared" si="159"/>
        <v>0</v>
      </c>
      <c r="CU48" s="95"/>
      <c r="CV48" s="95"/>
      <c r="CW48" s="475" t="str">
        <f t="shared" si="160"/>
        <v>0</v>
      </c>
      <c r="CX48" s="95"/>
      <c r="CY48" s="95"/>
      <c r="CZ48" s="475" t="str">
        <f t="shared" si="161"/>
        <v>0</v>
      </c>
      <c r="DA48" s="97"/>
      <c r="DB48" s="95"/>
      <c r="DC48" s="475" t="str">
        <f t="shared" si="162"/>
        <v>0</v>
      </c>
      <c r="DD48" s="95"/>
      <c r="DE48" s="95"/>
      <c r="DF48" s="475" t="str">
        <f t="shared" si="163"/>
        <v>0</v>
      </c>
      <c r="DG48" s="438"/>
      <c r="DH48" s="95"/>
      <c r="DI48" s="95"/>
      <c r="DJ48" s="95"/>
      <c r="DK48" s="475"/>
      <c r="DL48" s="95"/>
      <c r="DM48" s="430">
        <v>42782</v>
      </c>
      <c r="DN48" s="325">
        <v>2017</v>
      </c>
      <c r="DO48" s="434">
        <f t="shared" si="164"/>
        <v>15.866666666666667</v>
      </c>
      <c r="DP48" s="475" t="str">
        <f t="shared" si="165"/>
        <v>0</v>
      </c>
      <c r="DQ48" s="300">
        <v>18</v>
      </c>
      <c r="DR48" s="90">
        <f t="shared" si="166"/>
        <v>23</v>
      </c>
      <c r="DS48" s="95"/>
      <c r="DT48" s="95"/>
      <c r="DU48" s="475" t="str">
        <f t="shared" si="167"/>
        <v>0</v>
      </c>
      <c r="DV48" s="237"/>
      <c r="DW48" s="555"/>
      <c r="DX48" s="556" t="str">
        <f t="shared" si="168"/>
        <v>0</v>
      </c>
      <c r="DY48" s="95"/>
      <c r="DZ48" s="512"/>
      <c r="EA48" s="475" t="str">
        <f t="shared" si="169"/>
        <v>0</v>
      </c>
      <c r="EB48" s="237"/>
      <c r="EC48" s="237"/>
      <c r="ED48" s="616" t="str">
        <f t="shared" si="170"/>
        <v>0</v>
      </c>
      <c r="EE48" s="95"/>
      <c r="EF48" s="95">
        <v>43290</v>
      </c>
      <c r="EG48" s="475" t="str">
        <f t="shared" si="171"/>
        <v>0</v>
      </c>
      <c r="EH48" s="237"/>
      <c r="EI48" s="237"/>
      <c r="EJ48" s="616" t="str">
        <f t="shared" si="172"/>
        <v>0</v>
      </c>
      <c r="EK48" s="484"/>
      <c r="EL48" s="484"/>
      <c r="EM48" s="481" t="str">
        <f t="shared" si="173"/>
        <v>0</v>
      </c>
      <c r="EN48" s="485"/>
      <c r="EO48" s="485"/>
      <c r="EP48" s="485"/>
      <c r="EQ48" s="534">
        <f t="shared" si="174"/>
        <v>43328</v>
      </c>
      <c r="ER48" s="331">
        <v>43503</v>
      </c>
      <c r="ES48" s="684">
        <f t="shared" si="175"/>
        <v>5.833333333333333</v>
      </c>
      <c r="ET48" s="929">
        <f t="shared" ca="1" si="176"/>
        <v>0</v>
      </c>
      <c r="EU48" s="924"/>
      <c r="EV48" s="186">
        <v>43522</v>
      </c>
      <c r="EW48" s="186">
        <v>42887</v>
      </c>
      <c r="EX48" s="821"/>
      <c r="EY48" s="924"/>
      <c r="EZ48" s="746">
        <f>DATE(YEAR(EQ48),MONTH(EQ48),DAY(EQ48)+15)</f>
        <v>43343</v>
      </c>
      <c r="FA48" s="331">
        <v>43515</v>
      </c>
      <c r="FB48" s="530">
        <v>2019</v>
      </c>
      <c r="FC48" s="679">
        <f>(DATEDIF(EZ48,FA48,"d"))/30</f>
        <v>5.7333333333333334</v>
      </c>
      <c r="FD48" s="630">
        <f>49226/12</f>
        <v>4102.166666666667</v>
      </c>
      <c r="FE48" s="694">
        <f t="shared" si="177"/>
        <v>23519.088888888891</v>
      </c>
      <c r="FF48" s="237"/>
      <c r="FG48" s="502">
        <v>0</v>
      </c>
      <c r="FH48" s="502">
        <v>0</v>
      </c>
      <c r="FI48" s="178" t="s">
        <v>433</v>
      </c>
      <c r="FJ48" s="178"/>
      <c r="FK48" s="178"/>
      <c r="FL48" s="664">
        <f t="shared" si="178"/>
        <v>0</v>
      </c>
      <c r="FM48" s="88"/>
      <c r="FN48" s="853"/>
      <c r="FO48" s="854"/>
      <c r="FP48" s="853"/>
      <c r="FQ48" s="95"/>
      <c r="FR48" s="95"/>
      <c r="FS48" s="94"/>
      <c r="FT48" s="94"/>
      <c r="FU48" s="94"/>
      <c r="FV48" s="376" t="s">
        <v>920</v>
      </c>
      <c r="FW48" s="212">
        <f t="shared" si="179"/>
        <v>43868</v>
      </c>
      <c r="FX48" s="427"/>
      <c r="FY48" s="88"/>
      <c r="FZ48" s="88"/>
      <c r="GA48" s="88"/>
      <c r="GB48" s="88"/>
      <c r="GC48" s="88"/>
      <c r="GD48" s="88"/>
      <c r="GE48" s="88"/>
      <c r="GF48" s="88"/>
      <c r="GG48" s="143"/>
      <c r="GH48" s="39"/>
      <c r="GI48" s="39"/>
      <c r="GJ48" s="39"/>
      <c r="GK48" s="39"/>
      <c r="GL48" s="742"/>
      <c r="GM48" s="979">
        <f t="shared" si="180"/>
        <v>1513218.1</v>
      </c>
      <c r="GN48" s="772">
        <f t="shared" si="181"/>
        <v>1513218.1</v>
      </c>
      <c r="GO48" s="683">
        <f>GN48</f>
        <v>1513218.1</v>
      </c>
      <c r="GP48" s="909">
        <f>HA48+HB48+HF48+HE48+HJ48+HL48</f>
        <v>298170.21000000002</v>
      </c>
      <c r="GQ48" s="35">
        <f t="shared" si="182"/>
        <v>2234.3237456811271</v>
      </c>
      <c r="GR48" s="35">
        <f t="shared" si="183"/>
        <v>126101.50833333335</v>
      </c>
      <c r="GS48" s="11">
        <v>443491.89</v>
      </c>
      <c r="GT48" s="577"/>
      <c r="GU48" s="19">
        <f>GS48/AE48</f>
        <v>36957.657500000001</v>
      </c>
      <c r="GV48" s="11">
        <f>GW48+GX48</f>
        <v>771556</v>
      </c>
      <c r="GW48" s="12">
        <v>172922</v>
      </c>
      <c r="GX48" s="12">
        <v>598634</v>
      </c>
      <c r="GY48" s="567">
        <f t="shared" si="189"/>
        <v>64296.333333333336</v>
      </c>
      <c r="GZ48" s="11"/>
      <c r="HA48" s="11">
        <v>266000</v>
      </c>
      <c r="HB48" s="53"/>
      <c r="HC48" s="28">
        <f t="shared" si="184"/>
        <v>0.17578431027226016</v>
      </c>
      <c r="HD48" s="68"/>
      <c r="HE48" s="68"/>
      <c r="HF48" s="11">
        <v>32170.21</v>
      </c>
      <c r="HG48" s="35">
        <f t="shared" si="185"/>
        <v>22166.666666666668</v>
      </c>
      <c r="HH48" s="64">
        <f t="shared" si="186"/>
        <v>59124.324166666665</v>
      </c>
      <c r="HI48" s="27">
        <v>0</v>
      </c>
      <c r="HJ48" s="27">
        <v>0</v>
      </c>
      <c r="HK48" s="19">
        <f>(GS48+HA48+HJ48)/AE48</f>
        <v>59124.324166666665</v>
      </c>
      <c r="HL48" s="27">
        <v>0</v>
      </c>
      <c r="HM48" s="19">
        <f t="shared" si="187"/>
        <v>59124.324166666665</v>
      </c>
      <c r="HN48" s="36">
        <f>(GS48+HA48+HJ48+HL48)/(HI48+GN48-HO48)</f>
        <v>0.46886294183237698</v>
      </c>
      <c r="HO48" s="27">
        <v>0</v>
      </c>
      <c r="HP48" s="27"/>
      <c r="HQ48" s="11">
        <f>FH48</f>
        <v>0</v>
      </c>
      <c r="HR48" s="909">
        <v>1177926.57</v>
      </c>
      <c r="HS48" s="907">
        <f>HR48/GN48</f>
        <v>0.77842484834142545</v>
      </c>
      <c r="HT48" s="915">
        <f>GN48-HR48</f>
        <v>335291.53000000003</v>
      </c>
      <c r="HU48" s="898">
        <f t="shared" ca="1" si="188"/>
        <v>335291.53000000003</v>
      </c>
      <c r="HV48" s="907">
        <f ca="1">(HU48+HR48)/GN48</f>
        <v>1</v>
      </c>
      <c r="HW48" s="609"/>
      <c r="HX48" s="609"/>
      <c r="HY48" s="578">
        <f t="shared" ref="HY48:HY54" si="190">HW48/GP48</f>
        <v>0</v>
      </c>
      <c r="HZ48" s="578"/>
      <c r="IA48" s="29">
        <f>GN48+HI48</f>
        <v>1513218.1</v>
      </c>
      <c r="IB48" s="752"/>
      <c r="IC48" s="73"/>
      <c r="ID48" s="73"/>
      <c r="IE48" s="73"/>
      <c r="IF48" s="73"/>
    </row>
    <row r="49" spans="1:240" ht="51.75" customHeight="1">
      <c r="A49" s="710" t="s">
        <v>349</v>
      </c>
      <c r="B49" s="74" t="s">
        <v>635</v>
      </c>
      <c r="C49" s="8" t="s">
        <v>21</v>
      </c>
      <c r="D49" s="8" t="s">
        <v>92</v>
      </c>
      <c r="E49" s="39">
        <v>2017</v>
      </c>
      <c r="F49" s="39"/>
      <c r="G49" s="39" t="s">
        <v>341</v>
      </c>
      <c r="H49" s="39" t="s">
        <v>146</v>
      </c>
      <c r="I49" s="39" t="s">
        <v>142</v>
      </c>
      <c r="J49" s="39"/>
      <c r="K49" s="39" t="s">
        <v>350</v>
      </c>
      <c r="L49" s="199" t="s">
        <v>372</v>
      </c>
      <c r="M49" s="129" t="s">
        <v>46</v>
      </c>
      <c r="N49" s="130" t="s">
        <v>376</v>
      </c>
      <c r="O49" s="131">
        <v>34008</v>
      </c>
      <c r="P49" s="178"/>
      <c r="Q49" s="178"/>
      <c r="R49" s="178"/>
      <c r="S49" s="178"/>
      <c r="T49" s="178"/>
      <c r="U49" s="546"/>
      <c r="V49" s="546"/>
      <c r="W49" s="546"/>
      <c r="X49" s="178"/>
      <c r="Y49" s="162"/>
      <c r="Z49" s="736" t="e">
        <f t="shared" si="153"/>
        <v>#DIV/0!</v>
      </c>
      <c r="AA49" s="162"/>
      <c r="AB49" s="162"/>
      <c r="AC49" s="163"/>
      <c r="AD49" s="39" t="s">
        <v>340</v>
      </c>
      <c r="AE49" s="674">
        <f t="shared" si="154"/>
        <v>45</v>
      </c>
      <c r="AF49" s="674">
        <f t="shared" si="155"/>
        <v>0</v>
      </c>
      <c r="AG49" s="50"/>
      <c r="AH49" s="50"/>
      <c r="AI49" s="50"/>
      <c r="AJ49" s="149">
        <v>45</v>
      </c>
      <c r="AK49" s="209"/>
      <c r="AL49" s="422"/>
      <c r="AM49" s="875">
        <f t="shared" si="156"/>
        <v>0</v>
      </c>
      <c r="AN49" s="43">
        <f t="shared" si="157"/>
        <v>0</v>
      </c>
      <c r="AO49" s="43"/>
      <c r="AP49" s="43"/>
      <c r="AQ49" s="43"/>
      <c r="AR49" s="61"/>
      <c r="AS49" s="61"/>
      <c r="AT49" s="61"/>
      <c r="AU49" s="61"/>
      <c r="AV49" s="61"/>
      <c r="AW49" s="43"/>
      <c r="AX49" s="59"/>
      <c r="AY49" s="61"/>
      <c r="AZ49" s="43"/>
      <c r="BA49" s="39"/>
      <c r="BB49" s="39"/>
      <c r="BC49" s="39"/>
      <c r="BD49" s="39"/>
      <c r="BE49" s="39"/>
      <c r="BF49" s="39"/>
      <c r="BG49" s="39"/>
      <c r="BH49" s="39"/>
      <c r="BI49" s="159">
        <v>43032</v>
      </c>
      <c r="BJ49" s="75"/>
      <c r="BK49" s="867"/>
      <c r="BL49" s="125">
        <v>43081</v>
      </c>
      <c r="BM49" s="158">
        <v>43235</v>
      </c>
      <c r="BN49" s="1007">
        <f t="shared" si="73"/>
        <v>5.1333333333333337</v>
      </c>
      <c r="BO49" s="954">
        <v>78079</v>
      </c>
      <c r="BP49" s="125">
        <f>DATE(YEAR(BM49),MONTH(BM49)+3,DAY(BM49))</f>
        <v>43327</v>
      </c>
      <c r="BQ49" s="125"/>
      <c r="BR49" s="225">
        <v>43344</v>
      </c>
      <c r="BS49" s="224">
        <f t="shared" si="158"/>
        <v>44075</v>
      </c>
      <c r="BT49" s="605"/>
      <c r="BU49" s="782"/>
      <c r="BV49" s="783"/>
      <c r="BW49" s="783"/>
      <c r="BX49" s="783"/>
      <c r="BY49" s="702"/>
      <c r="BZ49" s="708"/>
      <c r="CA49" s="703"/>
      <c r="CB49" s="703"/>
      <c r="CC49" s="703"/>
      <c r="CD49" s="699"/>
      <c r="CE49" s="699"/>
      <c r="CF49" s="699"/>
      <c r="CG49" s="699"/>
      <c r="CH49" s="699"/>
      <c r="CI49" s="699"/>
      <c r="CJ49" s="699"/>
      <c r="CK49" s="699"/>
      <c r="CL49" s="699"/>
      <c r="CM49" s="699"/>
      <c r="CN49" s="699"/>
      <c r="CO49" s="699"/>
      <c r="CP49" s="699"/>
      <c r="CQ49" s="237">
        <v>42649</v>
      </c>
      <c r="CR49" s="95"/>
      <c r="CS49" s="95"/>
      <c r="CT49" s="475" t="str">
        <f t="shared" si="159"/>
        <v>0</v>
      </c>
      <c r="CU49" s="95">
        <v>42872</v>
      </c>
      <c r="CV49" s="95">
        <v>42880</v>
      </c>
      <c r="CW49" s="475">
        <f t="shared" si="160"/>
        <v>8</v>
      </c>
      <c r="CX49" s="237">
        <v>42814</v>
      </c>
      <c r="CY49" s="237">
        <v>42853</v>
      </c>
      <c r="CZ49" s="475">
        <f t="shared" si="161"/>
        <v>39</v>
      </c>
      <c r="DA49" s="490">
        <v>42877</v>
      </c>
      <c r="DB49" s="488">
        <f ca="1">IF(DA49&lt;TODAY(),TODAY(),DA49)</f>
        <v>43647</v>
      </c>
      <c r="DC49" s="475">
        <f t="shared" ca="1" si="162"/>
        <v>770</v>
      </c>
      <c r="DD49" s="490">
        <v>42962</v>
      </c>
      <c r="DE49" s="490">
        <f ca="1">IF(DD49&lt;TODAY(),TODAY(),DD49)</f>
        <v>43647</v>
      </c>
      <c r="DF49" s="475">
        <f t="shared" ca="1" si="163"/>
        <v>685</v>
      </c>
      <c r="DG49" s="438"/>
      <c r="DH49" s="495">
        <v>43270</v>
      </c>
      <c r="DI49" s="486">
        <v>43074</v>
      </c>
      <c r="DJ49" s="484">
        <f ca="1">IF(DI49&lt;TODAY(),TODAY(),DI49)</f>
        <v>43647</v>
      </c>
      <c r="DK49" s="616">
        <f ca="1">IF(AND(DI49&gt;0,DJ49&gt;0),DJ49-DI49,"0")</f>
        <v>573</v>
      </c>
      <c r="DL49" s="237">
        <v>43081</v>
      </c>
      <c r="DM49" s="430">
        <v>43362</v>
      </c>
      <c r="DN49" s="431">
        <v>2018</v>
      </c>
      <c r="DO49" s="436">
        <f t="shared" si="164"/>
        <v>11</v>
      </c>
      <c r="DP49" s="616">
        <f t="shared" si="165"/>
        <v>281</v>
      </c>
      <c r="DQ49" s="198">
        <v>12</v>
      </c>
      <c r="DR49" s="90">
        <f t="shared" si="166"/>
        <v>11</v>
      </c>
      <c r="DS49" s="479"/>
      <c r="DT49" s="484">
        <f ca="1">IF(DS49&lt;TODAY(),TODAY(),DS49)</f>
        <v>43647</v>
      </c>
      <c r="DU49" s="481" t="str">
        <f t="shared" ca="1" si="167"/>
        <v>0</v>
      </c>
      <c r="DV49" s="479"/>
      <c r="DW49" s="497">
        <f ca="1">IF(DV49&lt;TODAY(),TODAY(),DV49)</f>
        <v>43647</v>
      </c>
      <c r="DX49" s="556" t="str">
        <f t="shared" ca="1" si="168"/>
        <v>0</v>
      </c>
      <c r="DY49" s="484"/>
      <c r="DZ49" s="497">
        <f ca="1">IF(DY49&lt;TODAY(),TODAY(),DY49)</f>
        <v>43647</v>
      </c>
      <c r="EA49" s="481" t="str">
        <f t="shared" ca="1" si="169"/>
        <v>0</v>
      </c>
      <c r="EB49" s="484">
        <v>43497</v>
      </c>
      <c r="EC49" s="484">
        <f ca="1">IF(EB49&lt;TODAY(),TODAY(),EB49)</f>
        <v>43647</v>
      </c>
      <c r="ED49" s="481">
        <f t="shared" ca="1" si="170"/>
        <v>150</v>
      </c>
      <c r="EE49" s="485"/>
      <c r="EF49" s="484"/>
      <c r="EG49" s="481" t="str">
        <f t="shared" si="171"/>
        <v>0</v>
      </c>
      <c r="EH49" s="484"/>
      <c r="EI49" s="484">
        <f ca="1">IF(EH49&lt;TODAY(),TODAY(),EH49)</f>
        <v>43647</v>
      </c>
      <c r="EJ49" s="481" t="str">
        <f t="shared" ca="1" si="172"/>
        <v>0</v>
      </c>
      <c r="EK49" s="484">
        <v>43574</v>
      </c>
      <c r="EL49" s="484">
        <f ca="1">IF(EK49&lt;TODAY(),TODAY(),EK49)</f>
        <v>43647</v>
      </c>
      <c r="EM49" s="481">
        <f t="shared" ca="1" si="173"/>
        <v>73</v>
      </c>
      <c r="EN49" s="484"/>
      <c r="EO49" s="484"/>
      <c r="EP49" s="484"/>
      <c r="EQ49" s="654">
        <f t="shared" si="174"/>
        <v>43727</v>
      </c>
      <c r="ER49" s="653">
        <v>43725</v>
      </c>
      <c r="ES49" s="650" t="e">
        <f t="shared" si="175"/>
        <v>#NUM!</v>
      </c>
      <c r="ET49" s="933">
        <f t="shared" ca="1" si="176"/>
        <v>2.6</v>
      </c>
      <c r="EU49" s="924">
        <f t="shared" ref="EU49:EU62" ca="1" si="191">DATE(YEAR(DW49)+2,MONTH(DW49),DAY(DW49))</f>
        <v>44378</v>
      </c>
      <c r="EV49" s="737"/>
      <c r="EW49" s="737"/>
      <c r="EX49" s="145"/>
      <c r="EY49" s="443"/>
      <c r="EZ49" s="747">
        <f t="shared" ref="EZ49:EZ59" si="192">DATE(YEAR(EQ49),MONTH(EQ49)+1,DAY(EQ49))</f>
        <v>43757</v>
      </c>
      <c r="FA49" s="653">
        <v>43739</v>
      </c>
      <c r="FB49" s="518"/>
      <c r="FC49" s="647">
        <f>(DATEDIF(FA49,EZ49,"d"))/30</f>
        <v>0.6</v>
      </c>
      <c r="FD49" s="636"/>
      <c r="FE49" s="46">
        <f t="shared" si="177"/>
        <v>0</v>
      </c>
      <c r="FF49" s="91"/>
      <c r="FG49" s="502">
        <v>0</v>
      </c>
      <c r="FH49" s="502">
        <v>0</v>
      </c>
      <c r="FI49" s="502"/>
      <c r="FJ49" s="502"/>
      <c r="FK49" s="502"/>
      <c r="FL49" s="664" t="e">
        <f t="shared" si="178"/>
        <v>#DIV/0!</v>
      </c>
      <c r="FM49" s="499"/>
      <c r="FN49" s="511"/>
      <c r="FO49" s="758" t="s">
        <v>816</v>
      </c>
      <c r="FP49" s="588"/>
      <c r="FQ49" s="94"/>
      <c r="FR49" s="94"/>
      <c r="FS49" s="94"/>
      <c r="FT49" s="94"/>
      <c r="FU49" s="94"/>
      <c r="FV49" s="39"/>
      <c r="FW49" s="212">
        <f t="shared" si="179"/>
        <v>44091</v>
      </c>
      <c r="FX49" s="212"/>
      <c r="FY49" s="39"/>
      <c r="FZ49" s="39"/>
      <c r="GA49" s="39"/>
      <c r="GB49" s="39"/>
      <c r="GC49" s="39"/>
      <c r="GD49" s="39"/>
      <c r="GE49" s="39"/>
      <c r="GF49" s="39"/>
      <c r="GG49" s="39"/>
      <c r="GH49" s="39"/>
      <c r="GI49" s="39"/>
      <c r="GJ49" s="39"/>
      <c r="GK49" s="39"/>
      <c r="GL49" s="742"/>
      <c r="GM49" s="979">
        <f t="shared" si="180"/>
        <v>0</v>
      </c>
      <c r="GN49" s="772">
        <f t="shared" si="181"/>
        <v>0</v>
      </c>
      <c r="GO49" s="53"/>
      <c r="GP49" s="898">
        <f>HA49+HB49+HF49</f>
        <v>0</v>
      </c>
      <c r="GQ49" s="35" t="e">
        <f t="shared" si="182"/>
        <v>#DIV/0!</v>
      </c>
      <c r="GR49" s="35">
        <f t="shared" si="183"/>
        <v>0</v>
      </c>
      <c r="GS49" s="53"/>
      <c r="GT49" s="577"/>
      <c r="GU49" s="35" t="e">
        <f>#REF!/AE49</f>
        <v>#REF!</v>
      </c>
      <c r="GV49" s="53"/>
      <c r="GW49" s="67"/>
      <c r="GX49" s="67"/>
      <c r="GY49" s="568">
        <f t="shared" si="189"/>
        <v>0</v>
      </c>
      <c r="GZ49" s="934"/>
      <c r="HA49" s="53"/>
      <c r="HB49" s="53"/>
      <c r="HC49" s="68" t="e">
        <f t="shared" si="184"/>
        <v>#DIV/0!</v>
      </c>
      <c r="HD49" s="53"/>
      <c r="HE49" s="53"/>
      <c r="HF49" s="53"/>
      <c r="HG49" s="35">
        <f t="shared" si="185"/>
        <v>0</v>
      </c>
      <c r="HH49" s="35">
        <f t="shared" si="186"/>
        <v>0</v>
      </c>
      <c r="HI49" s="70"/>
      <c r="HJ49" s="70"/>
      <c r="HK49" s="19" t="e">
        <f>(#REF!+#REF!+HJ49)/AE49</f>
        <v>#REF!</v>
      </c>
      <c r="HL49" s="70"/>
      <c r="HM49" s="35">
        <f t="shared" si="187"/>
        <v>0</v>
      </c>
      <c r="HN49" s="36" t="e">
        <f>(#REF!+#REF!+HJ49+HL49)/(HI49+#REF!-HO49)</f>
        <v>#REF!</v>
      </c>
      <c r="HO49" s="70"/>
      <c r="HP49" s="70"/>
      <c r="HQ49" s="53"/>
      <c r="HR49" s="898"/>
      <c r="HS49" s="898"/>
      <c r="HT49" s="898"/>
      <c r="HU49" s="898">
        <f t="shared" ca="1" si="188"/>
        <v>0</v>
      </c>
      <c r="HV49" s="898"/>
      <c r="HW49" s="898"/>
      <c r="HX49" s="898"/>
      <c r="HY49" s="898" t="e">
        <f t="shared" si="190"/>
        <v>#DIV/0!</v>
      </c>
      <c r="HZ49" s="898"/>
      <c r="IA49" s="73" t="e">
        <f>#REF!+HI49</f>
        <v>#REF!</v>
      </c>
      <c r="IB49" s="752"/>
      <c r="IC49" s="73"/>
      <c r="ID49" s="373"/>
      <c r="IE49" s="373"/>
      <c r="IF49" s="373"/>
    </row>
    <row r="50" spans="1:240" ht="60" customHeight="1">
      <c r="A50" s="787" t="s">
        <v>908</v>
      </c>
      <c r="B50" s="778" t="b">
        <v>0</v>
      </c>
      <c r="C50" s="39" t="s">
        <v>25</v>
      </c>
      <c r="D50" s="39" t="s">
        <v>94</v>
      </c>
      <c r="E50" s="39">
        <v>2015</v>
      </c>
      <c r="F50" s="39" t="s">
        <v>195</v>
      </c>
      <c r="G50" s="39" t="s">
        <v>299</v>
      </c>
      <c r="H50" s="39" t="s">
        <v>147</v>
      </c>
      <c r="I50" s="39" t="s">
        <v>141</v>
      </c>
      <c r="J50" s="39"/>
      <c r="K50" s="39"/>
      <c r="L50" s="199"/>
      <c r="M50" s="129" t="s">
        <v>46</v>
      </c>
      <c r="N50" s="130" t="s">
        <v>114</v>
      </c>
      <c r="O50" s="131"/>
      <c r="P50" s="161">
        <v>1263</v>
      </c>
      <c r="Q50" s="161">
        <v>126500</v>
      </c>
      <c r="R50" s="161">
        <v>126500</v>
      </c>
      <c r="S50" s="161">
        <f>Q50/AE50</f>
        <v>7027.7777777777774</v>
      </c>
      <c r="T50" s="161">
        <f>Q50/P50</f>
        <v>100.15835312747427</v>
      </c>
      <c r="U50" s="167">
        <f>R50/P50</f>
        <v>100.15835312747427</v>
      </c>
      <c r="V50" s="167">
        <f>R50/AL50</f>
        <v>86.456710134230022</v>
      </c>
      <c r="W50" s="167">
        <f>R50/AE50</f>
        <v>7027.7777777777774</v>
      </c>
      <c r="X50" s="161">
        <f>P50/AE50</f>
        <v>70.166666666666671</v>
      </c>
      <c r="Y50" s="162"/>
      <c r="Z50" s="733">
        <f t="shared" si="153"/>
        <v>142.51781472684087</v>
      </c>
      <c r="AA50" s="162"/>
      <c r="AB50" s="162"/>
      <c r="AC50" s="163"/>
      <c r="AD50" s="40" t="s">
        <v>10</v>
      </c>
      <c r="AE50" s="674">
        <f t="shared" si="154"/>
        <v>18</v>
      </c>
      <c r="AF50" s="674">
        <f t="shared" si="155"/>
        <v>18</v>
      </c>
      <c r="AG50" s="50"/>
      <c r="AH50" s="39">
        <v>18</v>
      </c>
      <c r="AI50" s="50"/>
      <c r="AJ50" s="50"/>
      <c r="AK50" s="209">
        <v>1306.4099999999999</v>
      </c>
      <c r="AL50" s="426">
        <v>1463.16</v>
      </c>
      <c r="AM50" s="875">
        <f t="shared" si="156"/>
        <v>72.578333333333319</v>
      </c>
      <c r="AN50" s="10">
        <f t="shared" si="157"/>
        <v>81.286666666666676</v>
      </c>
      <c r="AO50" s="43">
        <v>5.86</v>
      </c>
      <c r="AP50" s="43">
        <v>5.23</v>
      </c>
      <c r="AQ50" s="43">
        <v>425.19</v>
      </c>
      <c r="AR50" s="61">
        <v>0</v>
      </c>
      <c r="AS50" s="61">
        <f>6/AE50</f>
        <v>0.33333333333333331</v>
      </c>
      <c r="AT50" s="61">
        <f>6/AE50</f>
        <v>0.33333333333333331</v>
      </c>
      <c r="AU50" s="61">
        <f>6/AE50</f>
        <v>0.33333333333333331</v>
      </c>
      <c r="AV50" s="61">
        <v>0</v>
      </c>
      <c r="AW50" s="43"/>
      <c r="AX50" s="59">
        <v>0</v>
      </c>
      <c r="AY50" s="61">
        <v>0</v>
      </c>
      <c r="AZ50" s="45">
        <v>3</v>
      </c>
      <c r="BA50" s="42" t="s">
        <v>439</v>
      </c>
      <c r="BB50" s="39" t="s">
        <v>100</v>
      </c>
      <c r="BC50" s="39"/>
      <c r="BD50" s="39"/>
      <c r="BE50" s="39"/>
      <c r="BF50" s="39"/>
      <c r="BG50" s="87">
        <v>42047</v>
      </c>
      <c r="BH50" s="39"/>
      <c r="BI50" s="159">
        <v>42298</v>
      </c>
      <c r="BJ50" s="75"/>
      <c r="BK50" s="867" t="s">
        <v>250</v>
      </c>
      <c r="BL50" s="124">
        <v>42885</v>
      </c>
      <c r="BM50" s="157">
        <v>42929</v>
      </c>
      <c r="BN50" s="1007">
        <f t="shared" si="73"/>
        <v>1.4666666666666666</v>
      </c>
      <c r="BO50" s="954">
        <v>66468</v>
      </c>
      <c r="BP50" s="125">
        <v>43013</v>
      </c>
      <c r="BQ50" s="125">
        <v>42957</v>
      </c>
      <c r="BR50" s="225">
        <v>43040</v>
      </c>
      <c r="BS50" s="224">
        <f t="shared" si="158"/>
        <v>43770</v>
      </c>
      <c r="BT50" s="605">
        <f>63863+6067</f>
        <v>69930</v>
      </c>
      <c r="BU50" s="224" t="str">
        <f>IF(FA50&gt;BS50,"oui","non")</f>
        <v>non</v>
      </c>
      <c r="BV50" s="784">
        <f>(BS50-FA50)/30</f>
        <v>4.0666666666666664</v>
      </c>
      <c r="BW50" s="605">
        <f>IF((BV50*FD50)&lt;0,"0",BV50*FD50)</f>
        <v>31417.033333333333</v>
      </c>
      <c r="BX50" s="605">
        <f>BT50-BW50</f>
        <v>38512.966666666667</v>
      </c>
      <c r="BY50" s="705">
        <v>42920</v>
      </c>
      <c r="BZ50" s="696" t="s">
        <v>506</v>
      </c>
      <c r="CA50" s="703"/>
      <c r="CB50" s="703"/>
      <c r="CC50" s="703"/>
      <c r="CD50" s="699"/>
      <c r="CE50" s="699"/>
      <c r="CF50" s="699"/>
      <c r="CG50" s="699"/>
      <c r="CH50" s="699"/>
      <c r="CI50" s="699"/>
      <c r="CJ50" s="699"/>
      <c r="CK50" s="699"/>
      <c r="CL50" s="864"/>
      <c r="CM50" s="699"/>
      <c r="CN50" s="699"/>
      <c r="CO50" s="699"/>
      <c r="CP50" s="699"/>
      <c r="CQ50" s="95">
        <v>41963</v>
      </c>
      <c r="CR50" s="95">
        <v>41955</v>
      </c>
      <c r="CS50" s="95">
        <v>41955</v>
      </c>
      <c r="CT50" s="475">
        <f t="shared" si="159"/>
        <v>0</v>
      </c>
      <c r="CU50" s="95">
        <v>42041</v>
      </c>
      <c r="CV50" s="95">
        <v>42012</v>
      </c>
      <c r="CW50" s="475">
        <f t="shared" si="160"/>
        <v>-29</v>
      </c>
      <c r="CX50" s="95">
        <v>42033</v>
      </c>
      <c r="CY50" s="95">
        <v>42033</v>
      </c>
      <c r="CZ50" s="475">
        <f t="shared" si="161"/>
        <v>0</v>
      </c>
      <c r="DA50" s="95">
        <v>42109</v>
      </c>
      <c r="DB50" s="95">
        <v>42109</v>
      </c>
      <c r="DC50" s="475">
        <f t="shared" si="162"/>
        <v>0</v>
      </c>
      <c r="DD50" s="95">
        <v>42174</v>
      </c>
      <c r="DE50" s="95">
        <v>42174</v>
      </c>
      <c r="DF50" s="475">
        <f t="shared" si="163"/>
        <v>0</v>
      </c>
      <c r="DG50" s="438"/>
      <c r="DH50" s="95">
        <v>42472</v>
      </c>
      <c r="DI50" s="95">
        <v>42502</v>
      </c>
      <c r="DJ50" s="95">
        <v>43088</v>
      </c>
      <c r="DK50" s="475">
        <f>IF(AND(DI50&gt;0,DJ50&gt;0),DJ50-DI50,"0")</f>
        <v>586</v>
      </c>
      <c r="DL50" s="95">
        <v>43112</v>
      </c>
      <c r="DM50" s="430">
        <v>43122</v>
      </c>
      <c r="DN50" s="431">
        <v>2018</v>
      </c>
      <c r="DO50" s="436">
        <f t="shared" si="164"/>
        <v>27.466666666666665</v>
      </c>
      <c r="DP50" s="475">
        <f t="shared" si="165"/>
        <v>10</v>
      </c>
      <c r="DQ50" s="198">
        <v>15</v>
      </c>
      <c r="DR50" s="90">
        <f t="shared" si="166"/>
        <v>16</v>
      </c>
      <c r="DS50" s="95"/>
      <c r="DT50" s="95">
        <v>43205</v>
      </c>
      <c r="DU50" s="475" t="str">
        <f t="shared" si="167"/>
        <v>0</v>
      </c>
      <c r="DV50" s="95"/>
      <c r="DW50" s="237">
        <v>43222</v>
      </c>
      <c r="DX50" s="478" t="str">
        <f t="shared" si="168"/>
        <v>0</v>
      </c>
      <c r="DY50" s="95">
        <v>43375</v>
      </c>
      <c r="DZ50" s="555">
        <v>43419</v>
      </c>
      <c r="EA50" s="475">
        <f t="shared" si="169"/>
        <v>44</v>
      </c>
      <c r="EB50" s="95">
        <v>43412</v>
      </c>
      <c r="EC50" s="95">
        <v>43445</v>
      </c>
      <c r="ED50" s="475">
        <f t="shared" si="170"/>
        <v>33</v>
      </c>
      <c r="EE50" s="186">
        <v>43427</v>
      </c>
      <c r="EF50" s="150">
        <v>43412</v>
      </c>
      <c r="EG50" s="890">
        <f t="shared" si="171"/>
        <v>-15</v>
      </c>
      <c r="EH50" s="182">
        <v>43447</v>
      </c>
      <c r="EI50" s="150">
        <v>43495</v>
      </c>
      <c r="EJ50" s="890">
        <f t="shared" si="172"/>
        <v>48</v>
      </c>
      <c r="EK50" s="150">
        <v>43552</v>
      </c>
      <c r="EL50" s="150">
        <v>43607</v>
      </c>
      <c r="EM50" s="890">
        <f t="shared" si="173"/>
        <v>55</v>
      </c>
      <c r="EN50" s="218"/>
      <c r="EO50" s="218"/>
      <c r="EP50" s="183">
        <v>43599</v>
      </c>
      <c r="EQ50" s="654">
        <f t="shared" si="174"/>
        <v>43577</v>
      </c>
      <c r="ER50" s="653">
        <v>43634</v>
      </c>
      <c r="ES50" s="649">
        <f t="shared" si="175"/>
        <v>1.9</v>
      </c>
      <c r="ET50" s="932">
        <f t="shared" ca="1" si="176"/>
        <v>0</v>
      </c>
      <c r="EU50" s="443">
        <f t="shared" si="191"/>
        <v>43953</v>
      </c>
      <c r="EV50" s="737"/>
      <c r="EW50" s="238">
        <v>43348</v>
      </c>
      <c r="EX50" s="145">
        <v>43630</v>
      </c>
      <c r="EY50" s="443">
        <v>43634</v>
      </c>
      <c r="EZ50" s="747">
        <f t="shared" si="192"/>
        <v>43607</v>
      </c>
      <c r="FA50" s="653">
        <v>43648</v>
      </c>
      <c r="FB50" s="859" t="s">
        <v>938</v>
      </c>
      <c r="FC50" s="647">
        <f>(DATEDIF(EZ50,FA50,"d"))/30</f>
        <v>1.3666666666666667</v>
      </c>
      <c r="FD50" s="636">
        <f>92706/12</f>
        <v>7725.5</v>
      </c>
      <c r="FE50" s="179">
        <f t="shared" si="177"/>
        <v>10558.183333333334</v>
      </c>
      <c r="FF50" s="91"/>
      <c r="FG50" s="502">
        <v>0</v>
      </c>
      <c r="FH50" s="502">
        <v>0</v>
      </c>
      <c r="FI50" s="502">
        <v>115573</v>
      </c>
      <c r="FJ50" s="502">
        <v>96000</v>
      </c>
      <c r="FK50" s="763"/>
      <c r="FL50" s="664">
        <f t="shared" si="178"/>
        <v>0</v>
      </c>
      <c r="FM50" s="499" t="s">
        <v>582</v>
      </c>
      <c r="FN50" s="511" t="s">
        <v>685</v>
      </c>
      <c r="FO50" s="756" t="s">
        <v>815</v>
      </c>
      <c r="FP50" s="511" t="s">
        <v>584</v>
      </c>
      <c r="FQ50" s="94"/>
      <c r="FR50" s="94"/>
      <c r="FS50" s="94"/>
      <c r="FT50" s="94"/>
      <c r="FU50" s="94"/>
      <c r="FV50" s="39"/>
      <c r="FW50" s="212">
        <f t="shared" si="179"/>
        <v>44000</v>
      </c>
      <c r="FX50" s="212"/>
      <c r="FY50" s="39"/>
      <c r="FZ50" s="39"/>
      <c r="GA50" s="39"/>
      <c r="GB50" s="39"/>
      <c r="GC50" s="39"/>
      <c r="GD50" s="39"/>
      <c r="GE50" s="39"/>
      <c r="GF50" s="39"/>
      <c r="GG50" s="39"/>
      <c r="GH50" s="39"/>
      <c r="GI50" s="39"/>
      <c r="GJ50" s="39"/>
      <c r="GK50" s="39"/>
      <c r="GL50" s="742"/>
      <c r="GM50" s="979">
        <f t="shared" si="180"/>
        <v>2916378.2627669135</v>
      </c>
      <c r="GN50" s="772">
        <f t="shared" si="181"/>
        <v>2916378.2627669135</v>
      </c>
      <c r="GO50" s="683">
        <f>GN50</f>
        <v>2916378.2627669135</v>
      </c>
      <c r="GP50" s="909">
        <f>HA50+HB50+HF50+HE50+HJ50+HL50</f>
        <v>382103.57660000003</v>
      </c>
      <c r="GQ50" s="35">
        <f t="shared" si="182"/>
        <v>1993.2052972791173</v>
      </c>
      <c r="GR50" s="35">
        <f t="shared" si="183"/>
        <v>162021.01459816186</v>
      </c>
      <c r="GS50" s="11">
        <v>876295.68616691383</v>
      </c>
      <c r="GT50" s="577">
        <v>866176</v>
      </c>
      <c r="GU50" s="19">
        <f>GS50/AE50</f>
        <v>48683.093675939657</v>
      </c>
      <c r="GV50" s="11">
        <f>GW50+GX50</f>
        <v>1657979</v>
      </c>
      <c r="GW50" s="12">
        <v>261692</v>
      </c>
      <c r="GX50" s="12">
        <v>1396287</v>
      </c>
      <c r="GY50" s="567">
        <f t="shared" si="189"/>
        <v>92109.944444444438</v>
      </c>
      <c r="GZ50" s="53"/>
      <c r="HA50" s="11">
        <v>360000</v>
      </c>
      <c r="HB50" s="53"/>
      <c r="HC50" s="28">
        <f t="shared" si="184"/>
        <v>0.12344077741769</v>
      </c>
      <c r="HD50" s="53"/>
      <c r="HE50" s="53"/>
      <c r="HF50" s="11">
        <v>22103.5766</v>
      </c>
      <c r="HG50" s="35">
        <f t="shared" si="185"/>
        <v>20000</v>
      </c>
      <c r="HH50" s="35">
        <f t="shared" si="186"/>
        <v>68683.093675939657</v>
      </c>
      <c r="HI50" s="27">
        <v>0</v>
      </c>
      <c r="HJ50" s="27">
        <v>0</v>
      </c>
      <c r="HK50" s="19">
        <f>(GS50+HA50+HJ50)/AE50</f>
        <v>68683.093675939657</v>
      </c>
      <c r="HL50" s="27">
        <v>0</v>
      </c>
      <c r="HM50" s="19">
        <f t="shared" si="187"/>
        <v>68683.093675939657</v>
      </c>
      <c r="HN50" s="36">
        <f>(GS50+HA50+HJ50+HL50)/(HI50+GN50-HO50)</f>
        <v>0.42391472394050089</v>
      </c>
      <c r="HO50" s="27">
        <v>0</v>
      </c>
      <c r="HP50" s="27"/>
      <c r="HQ50" s="11">
        <f>FH50</f>
        <v>0</v>
      </c>
      <c r="HR50" s="909">
        <v>2289749.1799699995</v>
      </c>
      <c r="HS50" s="907">
        <f>HR50/GN50</f>
        <v>0.78513449685281911</v>
      </c>
      <c r="HT50" s="915">
        <f>GN50-HR50</f>
        <v>626629.08279691404</v>
      </c>
      <c r="HU50" s="898">
        <f t="shared" ca="1" si="188"/>
        <v>626629.08279691404</v>
      </c>
      <c r="HV50" s="907">
        <f ca="1">(HU50+HR50)/GN50</f>
        <v>1</v>
      </c>
      <c r="HW50" s="898">
        <f>'[3]GLOBAL OPERATION'!$AG$67</f>
        <v>201456</v>
      </c>
      <c r="HX50" s="898">
        <f>GP50-HW50</f>
        <v>180647.57660000003</v>
      </c>
      <c r="HY50" s="907">
        <f t="shared" si="190"/>
        <v>0.52722877339327157</v>
      </c>
      <c r="HZ50" s="907"/>
      <c r="IA50" s="29">
        <f>GN50+HI50</f>
        <v>2916378.2627669135</v>
      </c>
      <c r="IB50" s="752"/>
      <c r="IC50" s="73"/>
      <c r="ID50" s="73"/>
      <c r="IE50" s="73"/>
      <c r="IF50" s="73"/>
    </row>
    <row r="51" spans="1:240" ht="57.75" customHeight="1">
      <c r="A51" s="981" t="s">
        <v>821</v>
      </c>
      <c r="B51" s="74" t="s">
        <v>635</v>
      </c>
      <c r="C51" s="40" t="s">
        <v>17</v>
      </c>
      <c r="D51" s="40" t="s">
        <v>92</v>
      </c>
      <c r="E51" s="40">
        <v>2015</v>
      </c>
      <c r="F51" s="40" t="s">
        <v>198</v>
      </c>
      <c r="G51" s="40" t="s">
        <v>16</v>
      </c>
      <c r="H51" s="40" t="s">
        <v>537</v>
      </c>
      <c r="I51" s="40" t="s">
        <v>140</v>
      </c>
      <c r="J51" s="40"/>
      <c r="K51" s="40"/>
      <c r="L51" s="199" t="s">
        <v>522</v>
      </c>
      <c r="M51" s="129" t="s">
        <v>45</v>
      </c>
      <c r="N51" s="130" t="s">
        <v>213</v>
      </c>
      <c r="O51" s="131"/>
      <c r="P51" s="166">
        <v>3547</v>
      </c>
      <c r="Q51" s="166">
        <v>319230</v>
      </c>
      <c r="R51" s="166">
        <v>132491.5</v>
      </c>
      <c r="S51" s="161">
        <f>Q51/AE51</f>
        <v>16801.57894736842</v>
      </c>
      <c r="T51" s="161">
        <f>Q51/P51</f>
        <v>90</v>
      </c>
      <c r="U51" s="167">
        <f>R51/P51</f>
        <v>37.353115308711587</v>
      </c>
      <c r="V51" s="167">
        <f>R51/AL51</f>
        <v>110.26440187087003</v>
      </c>
      <c r="W51" s="167">
        <f>R51/AE51</f>
        <v>6973.2368421052633</v>
      </c>
      <c r="X51" s="161">
        <f>P51/AE51</f>
        <v>186.68421052631578</v>
      </c>
      <c r="Y51" s="168"/>
      <c r="Z51" s="735">
        <f t="shared" si="153"/>
        <v>53.566394135889482</v>
      </c>
      <c r="AA51" s="168" t="s">
        <v>158</v>
      </c>
      <c r="AB51" s="172">
        <v>30</v>
      </c>
      <c r="AC51" s="169"/>
      <c r="AD51" s="40" t="s">
        <v>10</v>
      </c>
      <c r="AE51" s="674">
        <f t="shared" si="154"/>
        <v>19</v>
      </c>
      <c r="AF51" s="674">
        <f t="shared" si="155"/>
        <v>19</v>
      </c>
      <c r="AG51" s="200"/>
      <c r="AH51" s="40">
        <v>19</v>
      </c>
      <c r="AI51" s="50"/>
      <c r="AJ51" s="50"/>
      <c r="AK51" s="209">
        <v>1201.58</v>
      </c>
      <c r="AL51" s="426">
        <v>1201.58</v>
      </c>
      <c r="AM51" s="875">
        <f t="shared" si="156"/>
        <v>63.241052631578945</v>
      </c>
      <c r="AN51" s="10">
        <f t="shared" si="157"/>
        <v>63.241052631578945</v>
      </c>
      <c r="AO51" s="43">
        <v>5.65</v>
      </c>
      <c r="AP51" s="43">
        <v>5.65</v>
      </c>
      <c r="AQ51" s="43">
        <v>357.37715014736841</v>
      </c>
      <c r="AR51" s="46">
        <v>0</v>
      </c>
      <c r="AS51" s="62">
        <f>13/AE51</f>
        <v>0.68421052631578949</v>
      </c>
      <c r="AT51" s="62">
        <f>5/AE51</f>
        <v>0.26315789473684209</v>
      </c>
      <c r="AU51" s="62">
        <f>2/AE51</f>
        <v>0.10526315789473684</v>
      </c>
      <c r="AV51" s="62">
        <v>0</v>
      </c>
      <c r="AW51" s="44"/>
      <c r="AX51" s="60" t="s">
        <v>250</v>
      </c>
      <c r="AY51" s="62"/>
      <c r="AZ51" s="46">
        <v>2</v>
      </c>
      <c r="BA51" s="42" t="s">
        <v>439</v>
      </c>
      <c r="BB51" s="40" t="s">
        <v>101</v>
      </c>
      <c r="BC51" s="40"/>
      <c r="BD51" s="40"/>
      <c r="BE51" s="40"/>
      <c r="BF51" s="40"/>
      <c r="BG51" s="238">
        <v>42031</v>
      </c>
      <c r="BH51" s="40"/>
      <c r="BI51" s="159">
        <v>42248</v>
      </c>
      <c r="BJ51" s="75"/>
      <c r="BK51" s="867"/>
      <c r="BL51" s="124">
        <v>42548</v>
      </c>
      <c r="BM51" s="157">
        <v>42559</v>
      </c>
      <c r="BN51" s="1007">
        <f t="shared" si="73"/>
        <v>0.36666666666666664</v>
      </c>
      <c r="BO51" s="954">
        <v>52069</v>
      </c>
      <c r="BP51" s="127" t="s">
        <v>326</v>
      </c>
      <c r="BQ51" s="125"/>
      <c r="BR51" s="225">
        <v>42675</v>
      </c>
      <c r="BS51" s="224">
        <f t="shared" si="158"/>
        <v>43405</v>
      </c>
      <c r="BT51" s="605">
        <f>7745+28940</f>
        <v>36685</v>
      </c>
      <c r="BU51" s="224" t="str">
        <f>IF(FA51&gt;BS51,"oui","non")</f>
        <v>oui</v>
      </c>
      <c r="BV51" s="784">
        <f>(BS51-FA51)/30</f>
        <v>-7.6333333333333337</v>
      </c>
      <c r="BW51" s="605" t="str">
        <f>IF((BV51*FD51)&lt;0,"0",BV51*FD51)</f>
        <v>0</v>
      </c>
      <c r="BX51" s="605">
        <f>BT51-BW51</f>
        <v>36685</v>
      </c>
      <c r="BY51" s="705"/>
      <c r="BZ51" s="697"/>
      <c r="CA51" s="338"/>
      <c r="CB51" s="338"/>
      <c r="CC51" s="338"/>
      <c r="CD51" s="360"/>
      <c r="CE51" s="360"/>
      <c r="CF51" s="360"/>
      <c r="CG51" s="360"/>
      <c r="CH51" s="360"/>
      <c r="CI51" s="360"/>
      <c r="CJ51" s="360"/>
      <c r="CK51" s="360"/>
      <c r="CL51" s="839"/>
      <c r="CM51" s="360"/>
      <c r="CN51" s="360"/>
      <c r="CO51" s="360"/>
      <c r="CP51" s="360"/>
      <c r="CQ51" s="95"/>
      <c r="CR51" s="95"/>
      <c r="CS51" s="95"/>
      <c r="CT51" s="475" t="str">
        <f t="shared" si="159"/>
        <v>0</v>
      </c>
      <c r="CU51" s="95"/>
      <c r="CV51" s="95"/>
      <c r="CW51" s="475" t="str">
        <f t="shared" si="160"/>
        <v>0</v>
      </c>
      <c r="CX51" s="95"/>
      <c r="CY51" s="95"/>
      <c r="CZ51" s="475" t="str">
        <f t="shared" si="161"/>
        <v>0</v>
      </c>
      <c r="DA51" s="95"/>
      <c r="DB51" s="95"/>
      <c r="DC51" s="475" t="str">
        <f t="shared" si="162"/>
        <v>0</v>
      </c>
      <c r="DD51" s="95"/>
      <c r="DE51" s="95"/>
      <c r="DF51" s="475" t="str">
        <f t="shared" si="163"/>
        <v>0</v>
      </c>
      <c r="DG51" s="438"/>
      <c r="DH51" s="95"/>
      <c r="DI51" s="95"/>
      <c r="DJ51" s="95"/>
      <c r="DK51" s="475"/>
      <c r="DL51" s="95"/>
      <c r="DM51" s="430">
        <v>42947</v>
      </c>
      <c r="DN51" s="325">
        <v>2017</v>
      </c>
      <c r="DO51" s="434">
        <f t="shared" si="164"/>
        <v>23.3</v>
      </c>
      <c r="DP51" s="475" t="str">
        <f t="shared" si="165"/>
        <v>0</v>
      </c>
      <c r="DQ51" s="198">
        <v>15</v>
      </c>
      <c r="DR51" s="90">
        <f t="shared" si="166"/>
        <v>22</v>
      </c>
      <c r="DS51" s="95">
        <v>43059</v>
      </c>
      <c r="DT51" s="95">
        <v>43081</v>
      </c>
      <c r="DU51" s="475">
        <f t="shared" si="167"/>
        <v>22</v>
      </c>
      <c r="DV51" s="95">
        <v>43059</v>
      </c>
      <c r="DW51" s="512">
        <v>43144</v>
      </c>
      <c r="DX51" s="478">
        <f t="shared" si="168"/>
        <v>85</v>
      </c>
      <c r="DY51" s="95">
        <v>43166</v>
      </c>
      <c r="DZ51" s="512">
        <v>43264</v>
      </c>
      <c r="EA51" s="475">
        <f t="shared" si="169"/>
        <v>98</v>
      </c>
      <c r="EB51" s="95">
        <v>43209</v>
      </c>
      <c r="EC51" s="95">
        <v>43372</v>
      </c>
      <c r="ED51" s="475">
        <f t="shared" si="170"/>
        <v>163</v>
      </c>
      <c r="EE51" s="95">
        <v>43229</v>
      </c>
      <c r="EF51" s="95">
        <v>43390</v>
      </c>
      <c r="EG51" s="475">
        <f t="shared" si="171"/>
        <v>161</v>
      </c>
      <c r="EH51" s="95">
        <v>43252</v>
      </c>
      <c r="EI51" s="95">
        <v>43398</v>
      </c>
      <c r="EJ51" s="475">
        <f t="shared" si="172"/>
        <v>146</v>
      </c>
      <c r="EK51" s="150">
        <v>43287</v>
      </c>
      <c r="EL51" s="150">
        <v>43465</v>
      </c>
      <c r="EM51" s="892">
        <f t="shared" si="173"/>
        <v>178</v>
      </c>
      <c r="EN51" s="150">
        <v>43252</v>
      </c>
      <c r="EO51" s="150">
        <v>43252</v>
      </c>
      <c r="EP51" s="150">
        <v>43224</v>
      </c>
      <c r="EQ51" s="654">
        <f t="shared" si="174"/>
        <v>43404</v>
      </c>
      <c r="ER51" s="653">
        <v>43623</v>
      </c>
      <c r="ES51" s="649">
        <f t="shared" si="175"/>
        <v>7.3</v>
      </c>
      <c r="ET51" s="932">
        <f t="shared" ca="1" si="176"/>
        <v>0</v>
      </c>
      <c r="EU51" s="985">
        <f t="shared" si="191"/>
        <v>43874</v>
      </c>
      <c r="EV51" s="737"/>
      <c r="EW51" s="238">
        <v>43367</v>
      </c>
      <c r="EX51" s="939" t="s">
        <v>889</v>
      </c>
      <c r="EY51" s="940">
        <v>43621</v>
      </c>
      <c r="EZ51" s="941">
        <f t="shared" si="192"/>
        <v>43435</v>
      </c>
      <c r="FA51" s="942">
        <v>43634</v>
      </c>
      <c r="FB51" s="943">
        <v>2019</v>
      </c>
      <c r="FC51" s="944">
        <f>(DATEDIF(EZ51,FA51,"d"))/30</f>
        <v>6.6333333333333337</v>
      </c>
      <c r="FD51" s="945">
        <f>84005/12</f>
        <v>7000.416666666667</v>
      </c>
      <c r="FE51" s="946">
        <f t="shared" si="177"/>
        <v>46436.097222222226</v>
      </c>
      <c r="FF51" s="947"/>
      <c r="FG51" s="502">
        <v>66994</v>
      </c>
      <c r="FH51" s="502">
        <v>1994</v>
      </c>
      <c r="FI51" s="528">
        <f>97642*1.021</f>
        <v>99692.481999999989</v>
      </c>
      <c r="FJ51" s="528"/>
      <c r="FK51" s="528">
        <f>1754.94*1.021</f>
        <v>1791.7937399999998</v>
      </c>
      <c r="FL51" s="664">
        <f t="shared" si="178"/>
        <v>5.928586259071122E-4</v>
      </c>
      <c r="FM51" s="499" t="s">
        <v>16</v>
      </c>
      <c r="FN51" s="511" t="s">
        <v>846</v>
      </c>
      <c r="FO51" s="756" t="s">
        <v>847</v>
      </c>
      <c r="FP51" s="511" t="s">
        <v>849</v>
      </c>
      <c r="FQ51" s="96"/>
      <c r="FR51" s="96"/>
      <c r="FS51" s="96"/>
      <c r="FT51" s="96"/>
      <c r="FU51" s="96"/>
      <c r="FV51" s="40"/>
      <c r="FW51" s="212">
        <f t="shared" si="179"/>
        <v>43989</v>
      </c>
      <c r="FX51" s="212"/>
      <c r="FY51" s="40"/>
      <c r="FZ51" s="40"/>
      <c r="GA51" s="40"/>
      <c r="GB51" s="40"/>
      <c r="GC51" s="40"/>
      <c r="GD51" s="40"/>
      <c r="GE51" s="40"/>
      <c r="GF51" s="40"/>
      <c r="GG51" s="143"/>
      <c r="GH51" s="40"/>
      <c r="GI51" s="40"/>
      <c r="GJ51" s="40"/>
      <c r="GK51" s="40"/>
      <c r="GL51" s="742"/>
      <c r="GM51" s="979">
        <f t="shared" si="180"/>
        <v>2622995</v>
      </c>
      <c r="GN51" s="772">
        <f>GS51+GV51+HA51+HQ51+GZ51+HF51+HD51+HE51+HI51-HO51</f>
        <v>3022295.1336137499</v>
      </c>
      <c r="GO51" s="683">
        <f>GN51</f>
        <v>3022295.1336137499</v>
      </c>
      <c r="GP51" s="909">
        <f>HA51+HB51+HF51+HE51+HJ51+HL51</f>
        <v>872532</v>
      </c>
      <c r="GQ51" s="35">
        <f t="shared" si="182"/>
        <v>2515.2675091244446</v>
      </c>
      <c r="GR51" s="35">
        <f t="shared" si="183"/>
        <v>159068.16492703947</v>
      </c>
      <c r="GS51" s="11">
        <v>771141</v>
      </c>
      <c r="GT51" s="577"/>
      <c r="GU51" s="19">
        <f>GS51/AE51</f>
        <v>40586.368421052633</v>
      </c>
      <c r="GV51" s="11">
        <f>SUBTOTAL(9,GW51:GX51)</f>
        <v>1359322</v>
      </c>
      <c r="GW51" s="67">
        <v>334066</v>
      </c>
      <c r="GX51" s="12">
        <v>1025256</v>
      </c>
      <c r="GY51" s="567">
        <f t="shared" si="189"/>
        <v>71543.263157894733</v>
      </c>
      <c r="GZ51" s="53"/>
      <c r="HA51" s="11">
        <v>420000</v>
      </c>
      <c r="HB51" s="53"/>
      <c r="HC51" s="28">
        <f t="shared" si="184"/>
        <v>0.1389672356378403</v>
      </c>
      <c r="HD51" s="53"/>
      <c r="HE51" s="53"/>
      <c r="HF51" s="11">
        <v>72532</v>
      </c>
      <c r="HG51" s="35">
        <f t="shared" si="185"/>
        <v>22105.263157894737</v>
      </c>
      <c r="HH51" s="64">
        <f t="shared" si="186"/>
        <v>62691.631578947367</v>
      </c>
      <c r="HI51" s="27">
        <v>510850.13361374999</v>
      </c>
      <c r="HJ51" s="27">
        <v>380000</v>
      </c>
      <c r="HK51" s="19">
        <f>(GS51+HA51+HJ51)/AE51</f>
        <v>82691.631578947374</v>
      </c>
      <c r="HL51" s="27">
        <v>0</v>
      </c>
      <c r="HM51" s="19">
        <f t="shared" si="187"/>
        <v>82691.631578947374</v>
      </c>
      <c r="HN51" s="36">
        <f>(GS51+HA51+HJ51+HL51)/(HI51+GN51-HO51)</f>
        <v>0.45918376584413712</v>
      </c>
      <c r="HO51" s="27">
        <v>111550</v>
      </c>
      <c r="HP51" s="27"/>
      <c r="HQ51" s="11"/>
      <c r="HR51" s="909">
        <f>2015988.53+416919</f>
        <v>2432907.5300000003</v>
      </c>
      <c r="HS51" s="907">
        <f>HR51/GN51</f>
        <v>0.80498674763472866</v>
      </c>
      <c r="HT51" s="915">
        <f>GN51-HR51</f>
        <v>589387.60361374961</v>
      </c>
      <c r="HU51" s="898">
        <f t="shared" ca="1" si="188"/>
        <v>589387.60361374961</v>
      </c>
      <c r="HV51" s="907">
        <f ca="1">(HU51+HR51)/GN51</f>
        <v>1</v>
      </c>
      <c r="HW51" s="898">
        <f>'[3]GLOBAL OPERATION'!$AG$86</f>
        <v>640000</v>
      </c>
      <c r="HX51" s="898">
        <f>GP51-HW51</f>
        <v>232532</v>
      </c>
      <c r="HY51" s="907">
        <f t="shared" si="190"/>
        <v>0.73349745338852901</v>
      </c>
      <c r="HZ51" s="907"/>
      <c r="IA51" s="29" t="e">
        <f>#REF!+HI51</f>
        <v>#REF!</v>
      </c>
      <c r="IB51" s="752"/>
      <c r="IC51" s="73"/>
      <c r="ID51" s="73"/>
      <c r="IE51" s="73"/>
      <c r="IF51" s="73"/>
    </row>
    <row r="52" spans="1:240" ht="55.5" customHeight="1">
      <c r="A52" s="710" t="s">
        <v>347</v>
      </c>
      <c r="B52" s="74" t="s">
        <v>635</v>
      </c>
      <c r="C52" s="39" t="s">
        <v>21</v>
      </c>
      <c r="D52" s="39" t="s">
        <v>92</v>
      </c>
      <c r="E52" s="39">
        <v>2017</v>
      </c>
      <c r="F52" s="39"/>
      <c r="G52" s="39" t="s">
        <v>926</v>
      </c>
      <c r="H52" s="39" t="s">
        <v>146</v>
      </c>
      <c r="I52" s="39" t="s">
        <v>141</v>
      </c>
      <c r="J52" s="39"/>
      <c r="K52" s="39" t="s">
        <v>348</v>
      </c>
      <c r="L52" s="199" t="s">
        <v>405</v>
      </c>
      <c r="M52" s="129"/>
      <c r="N52" s="130"/>
      <c r="O52" s="131"/>
      <c r="P52" s="178"/>
      <c r="Q52" s="178"/>
      <c r="R52" s="178"/>
      <c r="S52" s="178"/>
      <c r="T52" s="178"/>
      <c r="U52" s="546"/>
      <c r="V52" s="546"/>
      <c r="W52" s="546"/>
      <c r="X52" s="178"/>
      <c r="Y52" s="162"/>
      <c r="Z52" s="736" t="e">
        <f t="shared" si="153"/>
        <v>#DIV/0!</v>
      </c>
      <c r="AA52" s="162"/>
      <c r="AB52" s="162"/>
      <c r="AC52" s="163"/>
      <c r="AD52" s="39" t="s">
        <v>340</v>
      </c>
      <c r="AE52" s="674">
        <f t="shared" si="154"/>
        <v>74</v>
      </c>
      <c r="AF52" s="674">
        <f t="shared" si="155"/>
        <v>0</v>
      </c>
      <c r="AG52" s="50"/>
      <c r="AH52" s="50"/>
      <c r="AI52" s="50"/>
      <c r="AJ52" s="149">
        <v>74</v>
      </c>
      <c r="AK52" s="209"/>
      <c r="AL52" s="426"/>
      <c r="AM52" s="875">
        <f t="shared" si="156"/>
        <v>0</v>
      </c>
      <c r="AN52" s="10">
        <f t="shared" si="157"/>
        <v>0</v>
      </c>
      <c r="AO52" s="43"/>
      <c r="AP52" s="43"/>
      <c r="AQ52" s="43"/>
      <c r="AR52" s="61"/>
      <c r="AS52" s="61"/>
      <c r="AT52" s="61"/>
      <c r="AU52" s="61"/>
      <c r="AV52" s="61"/>
      <c r="AW52" s="43"/>
      <c r="AX52" s="59"/>
      <c r="AY52" s="61"/>
      <c r="AZ52" s="43"/>
      <c r="BA52" s="39"/>
      <c r="BB52" s="39"/>
      <c r="BC52" s="39"/>
      <c r="BD52" s="39"/>
      <c r="BE52" s="39"/>
      <c r="BF52" s="39"/>
      <c r="BG52" s="39"/>
      <c r="BH52" s="39"/>
      <c r="BI52" s="159">
        <v>43039</v>
      </c>
      <c r="BJ52" s="75"/>
      <c r="BK52" s="867"/>
      <c r="BL52" s="124">
        <v>43081</v>
      </c>
      <c r="BM52" s="157">
        <v>43235</v>
      </c>
      <c r="BN52" s="1007">
        <f t="shared" si="73"/>
        <v>5.1333333333333337</v>
      </c>
      <c r="BO52" s="954">
        <v>78078</v>
      </c>
      <c r="BP52" s="125">
        <f>DATE(YEAR(BM52),MONTH(BM52)+3,DAY(BM52))</f>
        <v>43327</v>
      </c>
      <c r="BQ52" s="125"/>
      <c r="BR52" s="225">
        <v>43344</v>
      </c>
      <c r="BS52" s="224">
        <f t="shared" si="158"/>
        <v>44075</v>
      </c>
      <c r="BT52" s="605"/>
      <c r="BU52" s="782"/>
      <c r="BV52" s="783"/>
      <c r="BW52" s="783"/>
      <c r="BX52" s="783"/>
      <c r="BY52" s="705"/>
      <c r="BZ52" s="708"/>
      <c r="CA52" s="703"/>
      <c r="CB52" s="703"/>
      <c r="CC52" s="703"/>
      <c r="CD52" s="699"/>
      <c r="CE52" s="699"/>
      <c r="CF52" s="699"/>
      <c r="CG52" s="699"/>
      <c r="CH52" s="699"/>
      <c r="CI52" s="699"/>
      <c r="CJ52" s="699"/>
      <c r="CK52" s="699"/>
      <c r="CL52" s="699"/>
      <c r="CM52" s="699"/>
      <c r="CN52" s="699"/>
      <c r="CO52" s="699"/>
      <c r="CP52" s="699"/>
      <c r="CQ52" s="237">
        <v>42632</v>
      </c>
      <c r="CR52" s="95"/>
      <c r="CS52" s="95"/>
      <c r="CT52" s="475" t="str">
        <f t="shared" si="159"/>
        <v>0</v>
      </c>
      <c r="CU52" s="95">
        <v>42870</v>
      </c>
      <c r="CV52" s="95">
        <v>42879</v>
      </c>
      <c r="CW52" s="475">
        <f t="shared" si="160"/>
        <v>9</v>
      </c>
      <c r="CX52" s="237">
        <v>42814</v>
      </c>
      <c r="CY52" s="237">
        <v>42851</v>
      </c>
      <c r="CZ52" s="475">
        <f t="shared" si="161"/>
        <v>37</v>
      </c>
      <c r="DA52" s="95">
        <v>42874</v>
      </c>
      <c r="DB52" s="95">
        <v>42935</v>
      </c>
      <c r="DC52" s="475">
        <f t="shared" si="162"/>
        <v>61</v>
      </c>
      <c r="DD52" s="95">
        <v>42936</v>
      </c>
      <c r="DE52" s="95">
        <v>42935</v>
      </c>
      <c r="DF52" s="475">
        <f t="shared" si="163"/>
        <v>-1</v>
      </c>
      <c r="DG52" s="438"/>
      <c r="DH52" s="495">
        <v>43249</v>
      </c>
      <c r="DI52" s="486">
        <v>43074</v>
      </c>
      <c r="DJ52" s="484">
        <f ca="1">IF(DI52&lt;TODAY(),TODAY(),DI52)</f>
        <v>43647</v>
      </c>
      <c r="DK52" s="481">
        <f ca="1">IF(AND(DI52&gt;0,DJ52&gt;0),DJ52-DI52,"0")</f>
        <v>573</v>
      </c>
      <c r="DL52" s="237">
        <v>43081</v>
      </c>
      <c r="DM52" s="430">
        <v>43355</v>
      </c>
      <c r="DN52" s="431">
        <v>2018</v>
      </c>
      <c r="DO52" s="436">
        <f t="shared" si="164"/>
        <v>10.533333333333333</v>
      </c>
      <c r="DP52" s="616">
        <f t="shared" si="165"/>
        <v>274</v>
      </c>
      <c r="DQ52" s="198">
        <v>12</v>
      </c>
      <c r="DR52" s="90">
        <f t="shared" si="166"/>
        <v>12</v>
      </c>
      <c r="DS52" s="479"/>
      <c r="DT52" s="484">
        <f ca="1">IF(DS52&lt;TODAY(),TODAY(),DS52)</f>
        <v>43647</v>
      </c>
      <c r="DU52" s="481" t="str">
        <f t="shared" ca="1" si="167"/>
        <v>0</v>
      </c>
      <c r="DV52" s="479"/>
      <c r="DW52" s="497">
        <f ca="1">IF(DV52&lt;TODAY(),TODAY(),DV52)</f>
        <v>43647</v>
      </c>
      <c r="DX52" s="556" t="str">
        <f t="shared" ca="1" si="168"/>
        <v>0</v>
      </c>
      <c r="DY52" s="484"/>
      <c r="DZ52" s="497">
        <f ca="1">IF(DY52&lt;TODAY(),TODAY(),DY52)</f>
        <v>43647</v>
      </c>
      <c r="EA52" s="481" t="str">
        <f t="shared" ca="1" si="169"/>
        <v>0</v>
      </c>
      <c r="EB52" s="484">
        <v>43496</v>
      </c>
      <c r="EC52" s="484">
        <f ca="1">IF(EB52&lt;TODAY(),TODAY(),EB52)</f>
        <v>43647</v>
      </c>
      <c r="ED52" s="481">
        <f t="shared" ca="1" si="170"/>
        <v>151</v>
      </c>
      <c r="EE52" s="485"/>
      <c r="EF52" s="484"/>
      <c r="EG52" s="481" t="str">
        <f t="shared" si="171"/>
        <v>0</v>
      </c>
      <c r="EH52" s="484"/>
      <c r="EI52" s="484">
        <f t="shared" ref="EI52:EI57" ca="1" si="193">IF(EH52&lt;TODAY(),TODAY(),EH52)</f>
        <v>43647</v>
      </c>
      <c r="EJ52" s="481" t="str">
        <f t="shared" ca="1" si="172"/>
        <v>0</v>
      </c>
      <c r="EK52" s="484">
        <v>43573</v>
      </c>
      <c r="EL52" s="484">
        <f ca="1">IF(EK52&lt;TODAY(),TODAY(),EK52)</f>
        <v>43647</v>
      </c>
      <c r="EM52" s="481">
        <f t="shared" ca="1" si="173"/>
        <v>74</v>
      </c>
      <c r="EN52" s="484"/>
      <c r="EO52" s="484"/>
      <c r="EP52" s="484"/>
      <c r="EQ52" s="654">
        <f t="shared" si="174"/>
        <v>43720</v>
      </c>
      <c r="ER52" s="653">
        <v>43720</v>
      </c>
      <c r="ES52" s="650">
        <f t="shared" si="175"/>
        <v>0</v>
      </c>
      <c r="ET52" s="933">
        <f t="shared" ca="1" si="176"/>
        <v>2.4333333333333331</v>
      </c>
      <c r="EU52" s="927">
        <f t="shared" ca="1" si="191"/>
        <v>44378</v>
      </c>
      <c r="EV52" s="737"/>
      <c r="EW52" s="737"/>
      <c r="EX52" s="145"/>
      <c r="EY52" s="443"/>
      <c r="EZ52" s="747">
        <f t="shared" si="192"/>
        <v>43750</v>
      </c>
      <c r="FA52" s="653">
        <v>43739</v>
      </c>
      <c r="FB52" s="518"/>
      <c r="FC52" s="647">
        <f>(DATEDIF(FA52,EZ52,"d"))/30</f>
        <v>0.36666666666666664</v>
      </c>
      <c r="FD52" s="636"/>
      <c r="FE52" s="46">
        <f t="shared" si="177"/>
        <v>0</v>
      </c>
      <c r="FF52" s="91"/>
      <c r="FG52" s="502">
        <v>0</v>
      </c>
      <c r="FH52" s="502">
        <v>0</v>
      </c>
      <c r="FI52" s="502">
        <v>111598</v>
      </c>
      <c r="FJ52" s="502"/>
      <c r="FK52" s="502"/>
      <c r="FL52" s="664" t="e">
        <f t="shared" si="178"/>
        <v>#DIV/0!</v>
      </c>
      <c r="FM52" s="499"/>
      <c r="FN52" s="511"/>
      <c r="FO52" s="758" t="s">
        <v>816</v>
      </c>
      <c r="FP52" s="588"/>
      <c r="FQ52" s="94"/>
      <c r="FR52" s="94"/>
      <c r="FS52" s="94"/>
      <c r="FT52" s="94"/>
      <c r="FU52" s="94"/>
      <c r="FV52" s="39"/>
      <c r="FW52" s="212">
        <f t="shared" si="179"/>
        <v>44086</v>
      </c>
      <c r="FX52" s="212"/>
      <c r="FY52" s="39"/>
      <c r="FZ52" s="39"/>
      <c r="GA52" s="39"/>
      <c r="GB52" s="39"/>
      <c r="GC52" s="39"/>
      <c r="GD52" s="39"/>
      <c r="GE52" s="39"/>
      <c r="GF52" s="39"/>
      <c r="GG52" s="39"/>
      <c r="GH52" s="39"/>
      <c r="GI52" s="39"/>
      <c r="GJ52" s="39"/>
      <c r="GK52" s="39"/>
      <c r="GL52" s="742"/>
      <c r="GM52" s="979">
        <f t="shared" si="180"/>
        <v>0</v>
      </c>
      <c r="GN52" s="772">
        <f>GS52+GV52+HA52+HQ52+GZ52+HF52+HD52+HE52</f>
        <v>0</v>
      </c>
      <c r="GO52" s="367"/>
      <c r="GP52" s="898">
        <f>HA52+HB52+HF52</f>
        <v>0</v>
      </c>
      <c r="GQ52" s="367" t="e">
        <f t="shared" si="182"/>
        <v>#DIV/0!</v>
      </c>
      <c r="GR52" s="367">
        <f t="shared" si="183"/>
        <v>0</v>
      </c>
      <c r="GS52" s="11"/>
      <c r="GT52" s="644"/>
      <c r="GU52" s="368" t="e">
        <f>#REF!/AE52</f>
        <v>#REF!</v>
      </c>
      <c r="GV52" s="11"/>
      <c r="GW52" s="53"/>
      <c r="GX52" s="11"/>
      <c r="GY52" s="727">
        <f t="shared" si="189"/>
        <v>0</v>
      </c>
      <c r="GZ52" s="934"/>
      <c r="HA52" s="11"/>
      <c r="HB52" s="367"/>
      <c r="HC52" s="369" t="e">
        <f t="shared" si="184"/>
        <v>#DIV/0!</v>
      </c>
      <c r="HD52" s="53"/>
      <c r="HE52" s="53"/>
      <c r="HF52" s="53"/>
      <c r="HG52" s="367">
        <f t="shared" si="185"/>
        <v>0</v>
      </c>
      <c r="HH52" s="370">
        <f t="shared" si="186"/>
        <v>0</v>
      </c>
      <c r="HI52" s="368"/>
      <c r="HJ52" s="368"/>
      <c r="HK52" s="368" t="e">
        <f>(#REF!+#REF!+HJ52)/AE52</f>
        <v>#REF!</v>
      </c>
      <c r="HL52" s="368"/>
      <c r="HM52" s="368">
        <f t="shared" si="187"/>
        <v>0</v>
      </c>
      <c r="HN52" s="83" t="e">
        <f>(#REF!+#REF!+HJ52+HL52)/(HI52+#REF!-HO52)</f>
        <v>#REF!</v>
      </c>
      <c r="HO52" s="368"/>
      <c r="HP52" s="368"/>
      <c r="HQ52" s="368"/>
      <c r="HR52" s="898"/>
      <c r="HS52" s="898"/>
      <c r="HT52" s="898"/>
      <c r="HU52" s="898">
        <f t="shared" ca="1" si="188"/>
        <v>0</v>
      </c>
      <c r="HV52" s="898"/>
      <c r="HW52" s="898"/>
      <c r="HX52" s="898"/>
      <c r="HY52" s="898" t="e">
        <f t="shared" si="190"/>
        <v>#DIV/0!</v>
      </c>
      <c r="HZ52" s="898"/>
      <c r="IA52" s="371" t="e">
        <f>#REF!+HI52</f>
        <v>#REF!</v>
      </c>
      <c r="IB52" s="373"/>
      <c r="IC52" s="373"/>
      <c r="ID52" s="373"/>
      <c r="IE52" s="373"/>
      <c r="IF52" s="373"/>
    </row>
    <row r="53" spans="1:240" ht="35.25" customHeight="1">
      <c r="A53" s="972" t="s">
        <v>532</v>
      </c>
      <c r="B53" s="591" t="s">
        <v>804</v>
      </c>
      <c r="C53" s="39" t="s">
        <v>31</v>
      </c>
      <c r="D53" s="39" t="s">
        <v>92</v>
      </c>
      <c r="E53" s="39">
        <v>2016</v>
      </c>
      <c r="F53" s="39" t="s">
        <v>238</v>
      </c>
      <c r="G53" s="39" t="s">
        <v>16</v>
      </c>
      <c r="H53" s="39" t="s">
        <v>147</v>
      </c>
      <c r="I53" s="39" t="s">
        <v>141</v>
      </c>
      <c r="J53" s="39"/>
      <c r="K53" s="39" t="s">
        <v>277</v>
      </c>
      <c r="L53" s="199" t="s">
        <v>485</v>
      </c>
      <c r="M53" s="129"/>
      <c r="N53" s="130"/>
      <c r="O53" s="131"/>
      <c r="P53" s="161">
        <v>8111</v>
      </c>
      <c r="Q53" s="161">
        <v>405550</v>
      </c>
      <c r="R53" s="161">
        <v>405550</v>
      </c>
      <c r="S53" s="161">
        <f>Q53/AE53</f>
        <v>11587.142857142857</v>
      </c>
      <c r="T53" s="161">
        <f>Q53/P53</f>
        <v>50</v>
      </c>
      <c r="U53" s="167">
        <f>R53/P53</f>
        <v>50</v>
      </c>
      <c r="V53" s="167">
        <f>R53/AL53</f>
        <v>175.08224181251455</v>
      </c>
      <c r="W53" s="167">
        <f>R53/AE53</f>
        <v>11587.142857142857</v>
      </c>
      <c r="X53" s="161">
        <f>P53/AE53</f>
        <v>231.74285714285713</v>
      </c>
      <c r="Y53" s="162"/>
      <c r="Z53" s="736">
        <f t="shared" si="153"/>
        <v>43.151276044877328</v>
      </c>
      <c r="AA53" s="162" t="s">
        <v>872</v>
      </c>
      <c r="AB53" s="162">
        <v>450</v>
      </c>
      <c r="AC53" s="163"/>
      <c r="AD53" s="39" t="s">
        <v>10</v>
      </c>
      <c r="AE53" s="674">
        <f t="shared" si="154"/>
        <v>35</v>
      </c>
      <c r="AF53" s="674">
        <f t="shared" si="155"/>
        <v>35</v>
      </c>
      <c r="AG53" s="50"/>
      <c r="AH53" s="39">
        <v>35</v>
      </c>
      <c r="AI53" s="50"/>
      <c r="AJ53" s="50"/>
      <c r="AK53" s="209">
        <v>2289.5</v>
      </c>
      <c r="AL53" s="426">
        <v>2316.34</v>
      </c>
      <c r="AM53" s="875">
        <f t="shared" si="156"/>
        <v>65.414285714285711</v>
      </c>
      <c r="AN53" s="10">
        <f t="shared" si="157"/>
        <v>66.181142857142859</v>
      </c>
      <c r="AO53" s="43">
        <v>5.64</v>
      </c>
      <c r="AP53" s="43">
        <v>5.57</v>
      </c>
      <c r="AQ53" s="43">
        <v>368.79</v>
      </c>
      <c r="AR53" s="61">
        <f>8/AE53</f>
        <v>0.22857142857142856</v>
      </c>
      <c r="AS53" s="61">
        <f>8/AE53</f>
        <v>0.22857142857142856</v>
      </c>
      <c r="AT53" s="61">
        <f>8/AE53</f>
        <v>0.22857142857142856</v>
      </c>
      <c r="AU53" s="61">
        <f>11/AE53</f>
        <v>0.31428571428571428</v>
      </c>
      <c r="AV53" s="61"/>
      <c r="AW53" s="43"/>
      <c r="AX53" s="59"/>
      <c r="AY53" s="61"/>
      <c r="AZ53" s="43"/>
      <c r="BA53" s="42" t="s">
        <v>439</v>
      </c>
      <c r="BB53" s="39" t="s">
        <v>101</v>
      </c>
      <c r="BC53" s="39"/>
      <c r="BD53" s="39"/>
      <c r="BE53" s="39"/>
      <c r="BF53" s="39"/>
      <c r="BG53" s="183">
        <v>42396</v>
      </c>
      <c r="BH53" s="183">
        <v>42475</v>
      </c>
      <c r="BI53" s="159">
        <v>42660</v>
      </c>
      <c r="BJ53" s="75"/>
      <c r="BK53" s="867" t="s">
        <v>250</v>
      </c>
      <c r="BL53" s="124">
        <v>42886</v>
      </c>
      <c r="BM53" s="157">
        <v>42929</v>
      </c>
      <c r="BN53" s="1007">
        <f t="shared" si="73"/>
        <v>1.4333333333333333</v>
      </c>
      <c r="BO53" s="954">
        <v>66467</v>
      </c>
      <c r="BP53" s="125">
        <v>43013</v>
      </c>
      <c r="BQ53" s="125">
        <v>42957</v>
      </c>
      <c r="BR53" s="225">
        <v>43040</v>
      </c>
      <c r="BS53" s="224">
        <f t="shared" si="158"/>
        <v>43770</v>
      </c>
      <c r="BT53" s="605">
        <f>103063+17127</f>
        <v>120190</v>
      </c>
      <c r="BU53" s="224" t="str">
        <f>IF(FA53&gt;BS53,"oui","non")</f>
        <v>non</v>
      </c>
      <c r="BV53" s="784">
        <f>(BS53-FA53)/30</f>
        <v>2.0333333333333332</v>
      </c>
      <c r="BW53" s="605">
        <f>IF((BV53*FD53)&lt;0,"0",BV53*FD53)</f>
        <v>27037.233333333334</v>
      </c>
      <c r="BX53" s="605">
        <f>BT53-BW53</f>
        <v>93152.766666666663</v>
      </c>
      <c r="BY53" s="705">
        <v>42920</v>
      </c>
      <c r="BZ53" s="696" t="s">
        <v>428</v>
      </c>
      <c r="CA53" s="703"/>
      <c r="CB53" s="703"/>
      <c r="CC53" s="703"/>
      <c r="CD53" s="699"/>
      <c r="CE53" s="699"/>
      <c r="CF53" s="699"/>
      <c r="CG53" s="699"/>
      <c r="CH53" s="699"/>
      <c r="CI53" s="699"/>
      <c r="CJ53" s="699"/>
      <c r="CK53" s="699"/>
      <c r="CL53" s="699"/>
      <c r="CM53" s="699"/>
      <c r="CN53" s="699"/>
      <c r="CO53" s="699"/>
      <c r="CP53" s="699"/>
      <c r="CQ53" s="95">
        <v>42296</v>
      </c>
      <c r="CR53" s="95">
        <v>42307</v>
      </c>
      <c r="CS53" s="95">
        <v>42296</v>
      </c>
      <c r="CT53" s="475">
        <f t="shared" si="159"/>
        <v>-11</v>
      </c>
      <c r="CU53" s="95">
        <v>42412</v>
      </c>
      <c r="CV53" s="95">
        <v>42412</v>
      </c>
      <c r="CW53" s="475">
        <f t="shared" si="160"/>
        <v>0</v>
      </c>
      <c r="CX53" s="95">
        <v>42458</v>
      </c>
      <c r="CY53" s="95">
        <v>42593</v>
      </c>
      <c r="CZ53" s="475">
        <f t="shared" si="161"/>
        <v>135</v>
      </c>
      <c r="DA53" s="95">
        <v>42655</v>
      </c>
      <c r="DB53" s="95">
        <v>42683</v>
      </c>
      <c r="DC53" s="475">
        <f t="shared" si="162"/>
        <v>28</v>
      </c>
      <c r="DD53" s="95">
        <v>42779</v>
      </c>
      <c r="DE53" s="95">
        <v>42892</v>
      </c>
      <c r="DF53" s="475">
        <f t="shared" si="163"/>
        <v>113</v>
      </c>
      <c r="DG53" s="438"/>
      <c r="DH53" s="95">
        <v>43123</v>
      </c>
      <c r="DI53" s="237">
        <v>43140</v>
      </c>
      <c r="DJ53" s="95">
        <v>43160</v>
      </c>
      <c r="DK53" s="496">
        <f>IF(AND(DI53&gt;0,DJ53&gt;0),DJ53-DI53,"0")</f>
        <v>20</v>
      </c>
      <c r="DL53" s="182">
        <v>43154</v>
      </c>
      <c r="DM53" s="430">
        <v>43164</v>
      </c>
      <c r="DN53" s="431">
        <v>2018</v>
      </c>
      <c r="DO53" s="436">
        <f t="shared" si="164"/>
        <v>16.8</v>
      </c>
      <c r="DP53" s="475">
        <f t="shared" si="165"/>
        <v>10</v>
      </c>
      <c r="DQ53" s="198">
        <v>14</v>
      </c>
      <c r="DR53" s="90">
        <f t="shared" si="166"/>
        <v>16</v>
      </c>
      <c r="DS53" s="237">
        <v>43263</v>
      </c>
      <c r="DT53" s="237">
        <v>43292</v>
      </c>
      <c r="DU53" s="616">
        <f t="shared" si="167"/>
        <v>29</v>
      </c>
      <c r="DV53" s="237">
        <v>43287</v>
      </c>
      <c r="DW53" s="555">
        <v>43355</v>
      </c>
      <c r="DX53" s="478">
        <f t="shared" si="168"/>
        <v>68</v>
      </c>
      <c r="DY53" s="150">
        <v>43374</v>
      </c>
      <c r="DZ53" s="889">
        <v>43449</v>
      </c>
      <c r="EA53" s="890">
        <f t="shared" si="169"/>
        <v>75</v>
      </c>
      <c r="EB53" s="150">
        <v>43517</v>
      </c>
      <c r="EC53" s="150">
        <v>43622</v>
      </c>
      <c r="ED53" s="890">
        <f t="shared" si="170"/>
        <v>105</v>
      </c>
      <c r="EE53" s="589">
        <v>43517</v>
      </c>
      <c r="EF53" s="484">
        <f ca="1">IF(EE53&lt;TODAY(),TODAY(),EE53)</f>
        <v>43647</v>
      </c>
      <c r="EG53" s="481">
        <f t="shared" ca="1" si="171"/>
        <v>130</v>
      </c>
      <c r="EH53" s="509">
        <v>43528</v>
      </c>
      <c r="EI53" s="484">
        <f t="shared" ca="1" si="193"/>
        <v>43647</v>
      </c>
      <c r="EJ53" s="481">
        <f t="shared" ca="1" si="172"/>
        <v>119</v>
      </c>
      <c r="EK53" s="484">
        <v>43593</v>
      </c>
      <c r="EL53" s="484">
        <f ca="1">IF(EK53&lt;TODAY(),TODAY(),EK53)</f>
        <v>43647</v>
      </c>
      <c r="EM53" s="481">
        <f t="shared" ca="1" si="173"/>
        <v>54</v>
      </c>
      <c r="EN53" s="484">
        <v>43542</v>
      </c>
      <c r="EO53" s="484">
        <v>43542</v>
      </c>
      <c r="EP53" s="484">
        <v>43546</v>
      </c>
      <c r="EQ53" s="654">
        <f t="shared" si="174"/>
        <v>43590</v>
      </c>
      <c r="ER53" s="653">
        <v>43677</v>
      </c>
      <c r="ES53" s="650">
        <f t="shared" si="175"/>
        <v>2.9</v>
      </c>
      <c r="ET53" s="932">
        <f t="shared" ca="1" si="176"/>
        <v>1</v>
      </c>
      <c r="EU53" s="926">
        <f t="shared" si="191"/>
        <v>44086</v>
      </c>
      <c r="EV53" s="737"/>
      <c r="EW53" s="238">
        <v>43348</v>
      </c>
      <c r="EX53" s="145">
        <v>43694</v>
      </c>
      <c r="EY53" s="443"/>
      <c r="EZ53" s="747">
        <f t="shared" si="192"/>
        <v>43621</v>
      </c>
      <c r="FA53" s="653">
        <v>43709</v>
      </c>
      <c r="FB53" s="518"/>
      <c r="FC53" s="647">
        <f t="shared" ref="FC53:FC62" si="194">(DATEDIF(EZ53,FA53,"d"))/30</f>
        <v>2.9333333333333331</v>
      </c>
      <c r="FD53" s="636">
        <v>13297</v>
      </c>
      <c r="FE53" s="46">
        <f t="shared" si="177"/>
        <v>39004.533333333333</v>
      </c>
      <c r="FF53" s="91"/>
      <c r="FG53" s="502">
        <v>0</v>
      </c>
      <c r="FH53" s="502">
        <v>0</v>
      </c>
      <c r="FI53" s="502">
        <f>122000*1.021</f>
        <v>124561.99999999999</v>
      </c>
      <c r="FJ53" s="502"/>
      <c r="FK53" s="502">
        <v>0</v>
      </c>
      <c r="FL53" s="664">
        <f t="shared" si="178"/>
        <v>0</v>
      </c>
      <c r="FM53" s="499"/>
      <c r="FN53" s="511"/>
      <c r="FO53" s="756" t="s">
        <v>815</v>
      </c>
      <c r="FP53" s="499"/>
      <c r="FQ53" s="94"/>
      <c r="FR53" s="94"/>
      <c r="FS53" s="94"/>
      <c r="FT53" s="94"/>
      <c r="FU53" s="94"/>
      <c r="FV53" s="39"/>
      <c r="FW53" s="212">
        <f t="shared" si="179"/>
        <v>44043</v>
      </c>
      <c r="FX53" s="212"/>
      <c r="FY53" s="39"/>
      <c r="FZ53" s="39"/>
      <c r="GA53" s="39"/>
      <c r="GB53" s="39"/>
      <c r="GC53" s="39"/>
      <c r="GD53" s="39"/>
      <c r="GE53" s="39"/>
      <c r="GF53" s="39"/>
      <c r="GG53" s="39"/>
      <c r="GH53" s="39"/>
      <c r="GI53" s="39"/>
      <c r="GJ53" s="39"/>
      <c r="GK53" s="39"/>
      <c r="GL53" s="742"/>
      <c r="GM53" s="979">
        <f t="shared" si="180"/>
        <v>5432024</v>
      </c>
      <c r="GN53" s="772">
        <f>GS53+GV53+HA53+HQ53+GZ53+HF53+HD53+HE53</f>
        <v>5432024</v>
      </c>
      <c r="GO53" s="683">
        <f>GN53</f>
        <v>5432024</v>
      </c>
      <c r="GP53" s="909">
        <f>HA53+HB53+HF53+HE53+HJ53+HL53</f>
        <v>1118940</v>
      </c>
      <c r="GQ53" s="35">
        <f t="shared" si="182"/>
        <v>2345.0892356044446</v>
      </c>
      <c r="GR53" s="35">
        <f t="shared" si="183"/>
        <v>155200.6857142857</v>
      </c>
      <c r="GS53" s="11">
        <v>1552625</v>
      </c>
      <c r="GT53" s="577">
        <v>1629529</v>
      </c>
      <c r="GU53" s="19">
        <f>GS53/AE53</f>
        <v>44360.714285714283</v>
      </c>
      <c r="GV53" s="920">
        <f>GW53+GX53</f>
        <v>2760459</v>
      </c>
      <c r="GW53" s="826">
        <v>738771</v>
      </c>
      <c r="GX53" s="891">
        <v>2021688</v>
      </c>
      <c r="GY53" s="567">
        <f t="shared" si="189"/>
        <v>78870.257142857139</v>
      </c>
      <c r="GZ53" s="53"/>
      <c r="HA53" s="11">
        <v>945000</v>
      </c>
      <c r="HB53" s="53"/>
      <c r="HC53" s="28">
        <f t="shared" si="184"/>
        <v>0.17396830352737763</v>
      </c>
      <c r="HD53" s="68"/>
      <c r="HE53" s="68"/>
      <c r="HF53" s="53">
        <v>173940</v>
      </c>
      <c r="HG53" s="35">
        <f t="shared" si="185"/>
        <v>27000</v>
      </c>
      <c r="HH53" s="35">
        <f t="shared" si="186"/>
        <v>71360.71428571429</v>
      </c>
      <c r="HI53" s="27"/>
      <c r="HJ53" s="27"/>
      <c r="HK53" s="19">
        <f>(GS53+HA53+HJ53)/AE53</f>
        <v>71360.71428571429</v>
      </c>
      <c r="HL53" s="27"/>
      <c r="HM53" s="19">
        <f t="shared" si="187"/>
        <v>71360.71428571429</v>
      </c>
      <c r="HN53" s="36">
        <f>(GS53+HA53+HJ53+HL53)/(HI53+GN53-HO53)</f>
        <v>0.45979638528843025</v>
      </c>
      <c r="HO53" s="27"/>
      <c r="HP53" s="27"/>
      <c r="HQ53" s="11">
        <f>FH53</f>
        <v>0</v>
      </c>
      <c r="HR53" s="909">
        <v>3536127.0096999984</v>
      </c>
      <c r="HS53" s="907">
        <f>HR53/GN53</f>
        <v>0.65097779569825143</v>
      </c>
      <c r="HT53" s="915">
        <f>GN53-HR53</f>
        <v>1895896.9903000016</v>
      </c>
      <c r="HU53" s="898">
        <f t="shared" ca="1" si="188"/>
        <v>1895896.9903000016</v>
      </c>
      <c r="HV53" s="907">
        <f ca="1">(HU53+HR53)/GN53</f>
        <v>1</v>
      </c>
      <c r="HW53" s="898">
        <f>'[3]GLOBAL OPERATION'!$AG$74</f>
        <v>515686.5</v>
      </c>
      <c r="HX53" s="898">
        <f>GP53-HW53</f>
        <v>603253.5</v>
      </c>
      <c r="HY53" s="907">
        <f t="shared" si="190"/>
        <v>0.46087055606198724</v>
      </c>
      <c r="HZ53" s="907"/>
      <c r="IA53" s="29" t="e">
        <f>#REF!+HI53</f>
        <v>#REF!</v>
      </c>
      <c r="IB53" s="752"/>
      <c r="IC53" s="73"/>
      <c r="ID53" s="73"/>
      <c r="IE53" s="73"/>
      <c r="IF53" s="73"/>
    </row>
    <row r="54" spans="1:240" ht="75.75" customHeight="1">
      <c r="A54" s="972" t="s">
        <v>274</v>
      </c>
      <c r="B54" s="591" t="s">
        <v>635</v>
      </c>
      <c r="C54" s="39" t="s">
        <v>62</v>
      </c>
      <c r="D54" s="39" t="s">
        <v>94</v>
      </c>
      <c r="E54" s="39">
        <v>2016</v>
      </c>
      <c r="F54" s="39" t="s">
        <v>220</v>
      </c>
      <c r="G54" s="39" t="s">
        <v>16</v>
      </c>
      <c r="H54" s="39" t="s">
        <v>705</v>
      </c>
      <c r="I54" s="39" t="s">
        <v>141</v>
      </c>
      <c r="J54" s="39"/>
      <c r="K54" s="39" t="s">
        <v>278</v>
      </c>
      <c r="L54" s="199"/>
      <c r="M54" s="129"/>
      <c r="N54" s="130"/>
      <c r="O54" s="131"/>
      <c r="P54" s="161">
        <v>5130</v>
      </c>
      <c r="Q54" s="161">
        <v>425624</v>
      </c>
      <c r="R54" s="161">
        <v>271768</v>
      </c>
      <c r="S54" s="161">
        <f>Q54/AE54</f>
        <v>15200.857142857143</v>
      </c>
      <c r="T54" s="161">
        <f>Q54/P54</f>
        <v>82.967641325536064</v>
      </c>
      <c r="U54" s="167">
        <f>R54/P54</f>
        <v>52.976218323586743</v>
      </c>
      <c r="V54" s="167">
        <f>R54/AL54</f>
        <v>144.10749415389185</v>
      </c>
      <c r="W54" s="167">
        <f>R54/AE54</f>
        <v>9706</v>
      </c>
      <c r="X54" s="161">
        <f>P54/AE54</f>
        <v>183.21428571428572</v>
      </c>
      <c r="Y54" s="162"/>
      <c r="Z54" s="736">
        <f t="shared" si="153"/>
        <v>54.580896686159846</v>
      </c>
      <c r="AA54" s="162" t="s">
        <v>174</v>
      </c>
      <c r="AB54" s="162">
        <v>675</v>
      </c>
      <c r="AC54" s="163"/>
      <c r="AD54" s="39" t="s">
        <v>10</v>
      </c>
      <c r="AE54" s="674">
        <f t="shared" si="154"/>
        <v>28</v>
      </c>
      <c r="AF54" s="674">
        <f t="shared" si="155"/>
        <v>28</v>
      </c>
      <c r="AG54" s="50"/>
      <c r="AH54" s="39">
        <v>28</v>
      </c>
      <c r="AI54" s="50"/>
      <c r="AJ54" s="50"/>
      <c r="AK54" s="209">
        <v>1885.87</v>
      </c>
      <c r="AL54" s="422">
        <v>1885.87</v>
      </c>
      <c r="AM54" s="875">
        <f t="shared" si="156"/>
        <v>67.352499999999992</v>
      </c>
      <c r="AN54" s="10">
        <f t="shared" si="157"/>
        <v>67.352499999999992</v>
      </c>
      <c r="AO54" s="43">
        <v>5.54</v>
      </c>
      <c r="AP54" s="43">
        <v>5.54</v>
      </c>
      <c r="AQ54" s="43">
        <v>372.96841640000031</v>
      </c>
      <c r="AR54" s="61">
        <f>4/AE54</f>
        <v>0.14285714285714285</v>
      </c>
      <c r="AS54" s="61">
        <f>7/AE54</f>
        <v>0.25</v>
      </c>
      <c r="AT54" s="61">
        <f>10/AE54</f>
        <v>0.35714285714285715</v>
      </c>
      <c r="AU54" s="61">
        <f>7/AE54</f>
        <v>0.25</v>
      </c>
      <c r="AV54" s="61"/>
      <c r="AW54" s="43"/>
      <c r="AX54" s="59"/>
      <c r="AY54" s="61"/>
      <c r="AZ54" s="43">
        <v>2.5</v>
      </c>
      <c r="BA54" s="42" t="s">
        <v>439</v>
      </c>
      <c r="BB54" s="39" t="s">
        <v>101</v>
      </c>
      <c r="BC54" s="39"/>
      <c r="BD54" s="39"/>
      <c r="BE54" s="39"/>
      <c r="BF54" s="39"/>
      <c r="BG54" s="183">
        <v>42488</v>
      </c>
      <c r="BH54" s="183">
        <v>42475</v>
      </c>
      <c r="BI54" s="159">
        <v>42604</v>
      </c>
      <c r="BJ54" s="75">
        <v>42646</v>
      </c>
      <c r="BK54" s="867" t="s">
        <v>250</v>
      </c>
      <c r="BL54" s="125">
        <v>42877</v>
      </c>
      <c r="BM54" s="157">
        <v>42929</v>
      </c>
      <c r="BN54" s="1007">
        <f t="shared" si="73"/>
        <v>1.7333333333333334</v>
      </c>
      <c r="BO54" s="954">
        <v>66469</v>
      </c>
      <c r="BP54" s="125">
        <v>43013</v>
      </c>
      <c r="BQ54" s="125"/>
      <c r="BR54" s="225">
        <v>42948</v>
      </c>
      <c r="BS54" s="224">
        <f t="shared" si="158"/>
        <v>43678</v>
      </c>
      <c r="BT54" s="605">
        <f>9404+83662</f>
        <v>93066</v>
      </c>
      <c r="BU54" s="224" t="str">
        <f>IF(FA54&gt;BS54,"oui","non")</f>
        <v>oui</v>
      </c>
      <c r="BV54" s="784">
        <f>(BS54-FA54)/30</f>
        <v>-7.1</v>
      </c>
      <c r="BW54" s="605" t="str">
        <f>IF((BV54*FD54)&lt;0,"0",BV54*FD54)</f>
        <v>0</v>
      </c>
      <c r="BX54" s="605">
        <f>BT54-BW54</f>
        <v>93066</v>
      </c>
      <c r="BY54" s="702"/>
      <c r="BZ54" s="696"/>
      <c r="CA54" s="703"/>
      <c r="CB54" s="703"/>
      <c r="CC54" s="703"/>
      <c r="CD54" s="699"/>
      <c r="CE54" s="699"/>
      <c r="CF54" s="699"/>
      <c r="CG54" s="699"/>
      <c r="CH54" s="699"/>
      <c r="CI54" s="699"/>
      <c r="CJ54" s="699"/>
      <c r="CK54" s="699"/>
      <c r="CL54" s="699"/>
      <c r="CM54" s="699"/>
      <c r="CN54" s="699"/>
      <c r="CO54" s="699"/>
      <c r="CP54" s="699"/>
      <c r="CQ54" s="95"/>
      <c r="CR54" s="95"/>
      <c r="CS54" s="95"/>
      <c r="CT54" s="475" t="str">
        <f t="shared" si="159"/>
        <v>0</v>
      </c>
      <c r="CU54" s="95"/>
      <c r="CV54" s="95"/>
      <c r="CW54" s="475" t="str">
        <f t="shared" si="160"/>
        <v>0</v>
      </c>
      <c r="CX54" s="95"/>
      <c r="CY54" s="95"/>
      <c r="CZ54" s="475" t="str">
        <f t="shared" si="161"/>
        <v>0</v>
      </c>
      <c r="DA54" s="95"/>
      <c r="DB54" s="95"/>
      <c r="DC54" s="475" t="str">
        <f t="shared" si="162"/>
        <v>0</v>
      </c>
      <c r="DD54" s="95"/>
      <c r="DE54" s="95"/>
      <c r="DF54" s="475" t="str">
        <f t="shared" si="163"/>
        <v>0</v>
      </c>
      <c r="DG54" s="438"/>
      <c r="DH54" s="237"/>
      <c r="DI54" s="182"/>
      <c r="DJ54" s="182">
        <v>43251</v>
      </c>
      <c r="DK54" s="890"/>
      <c r="DL54" s="182"/>
      <c r="DM54" s="430">
        <v>43263</v>
      </c>
      <c r="DN54" s="323">
        <v>2018</v>
      </c>
      <c r="DO54" s="436">
        <f t="shared" si="164"/>
        <v>21.966666666666665</v>
      </c>
      <c r="DP54" s="475" t="str">
        <f t="shared" si="165"/>
        <v>0</v>
      </c>
      <c r="DQ54" s="198">
        <v>16</v>
      </c>
      <c r="DR54" s="90">
        <f t="shared" si="166"/>
        <v>16</v>
      </c>
      <c r="DS54" s="237">
        <v>43413</v>
      </c>
      <c r="DT54" s="95">
        <v>43410</v>
      </c>
      <c r="DU54" s="475">
        <f t="shared" si="167"/>
        <v>-3</v>
      </c>
      <c r="DV54" s="237">
        <v>43484</v>
      </c>
      <c r="DW54" s="555">
        <v>43453</v>
      </c>
      <c r="DX54" s="556">
        <f t="shared" si="168"/>
        <v>-31</v>
      </c>
      <c r="DY54" s="484">
        <v>43660</v>
      </c>
      <c r="DZ54" s="754">
        <f ca="1">IF(DY54&lt;TODAY(),TODAY(),DY54)</f>
        <v>43660</v>
      </c>
      <c r="EA54" s="481">
        <f t="shared" ca="1" si="169"/>
        <v>0</v>
      </c>
      <c r="EB54" s="484">
        <v>43717</v>
      </c>
      <c r="EC54" s="484">
        <f ca="1">IF(EB54&lt;TODAY(),TODAY(),EB54)</f>
        <v>43717</v>
      </c>
      <c r="ED54" s="481">
        <f t="shared" ca="1" si="170"/>
        <v>0</v>
      </c>
      <c r="EE54" s="589">
        <v>43731</v>
      </c>
      <c r="EF54" s="484">
        <f ca="1">IF(EE54&lt;TODAY(),TODAY(),EE54)</f>
        <v>43731</v>
      </c>
      <c r="EG54" s="481">
        <f t="shared" ca="1" si="171"/>
        <v>0</v>
      </c>
      <c r="EH54" s="484">
        <v>43728</v>
      </c>
      <c r="EI54" s="484">
        <f t="shared" ca="1" si="193"/>
        <v>43728</v>
      </c>
      <c r="EJ54" s="481">
        <f t="shared" ca="1" si="172"/>
        <v>0</v>
      </c>
      <c r="EK54" s="484">
        <v>43744</v>
      </c>
      <c r="EL54" s="484">
        <f ca="1">IF(EK54&lt;TODAY(),TODAY(),EK54)</f>
        <v>43744</v>
      </c>
      <c r="EM54" s="481">
        <f t="shared" ca="1" si="173"/>
        <v>0</v>
      </c>
      <c r="EN54" s="484"/>
      <c r="EO54" s="484"/>
      <c r="EP54" s="484"/>
      <c r="EQ54" s="654">
        <f t="shared" si="174"/>
        <v>43750</v>
      </c>
      <c r="ER54" s="653">
        <f>DATE(YEAR(DM54),MONTH(DM54)+DQ54,DAY(DM54))</f>
        <v>43750</v>
      </c>
      <c r="ES54" s="650">
        <f t="shared" si="175"/>
        <v>0</v>
      </c>
      <c r="ET54" s="932">
        <f t="shared" ca="1" si="176"/>
        <v>3.4333333333333331</v>
      </c>
      <c r="EU54" s="926">
        <f t="shared" si="191"/>
        <v>44184</v>
      </c>
      <c r="EV54" s="737"/>
      <c r="EW54" s="238">
        <v>43368</v>
      </c>
      <c r="EX54" s="145"/>
      <c r="EY54" s="443"/>
      <c r="EZ54" s="747">
        <f t="shared" si="192"/>
        <v>43781</v>
      </c>
      <c r="FA54" s="653">
        <v>43891</v>
      </c>
      <c r="FB54" s="518"/>
      <c r="FC54" s="647">
        <f t="shared" si="194"/>
        <v>3.6666666666666665</v>
      </c>
      <c r="FD54" s="636">
        <v>10758.758830000001</v>
      </c>
      <c r="FE54" s="46">
        <f t="shared" si="177"/>
        <v>39448.78237666667</v>
      </c>
      <c r="FF54" s="91"/>
      <c r="FG54" s="502">
        <v>0</v>
      </c>
      <c r="FH54" s="502">
        <v>0</v>
      </c>
      <c r="FI54" s="502">
        <f>131635.37*1.021</f>
        <v>134399.71276999998</v>
      </c>
      <c r="FJ54" s="822">
        <v>131635.37</v>
      </c>
      <c r="FK54" s="502">
        <v>0</v>
      </c>
      <c r="FL54" s="664">
        <f t="shared" si="178"/>
        <v>0</v>
      </c>
      <c r="FM54" s="499"/>
      <c r="FN54" s="511"/>
      <c r="FO54" s="756" t="s">
        <v>859</v>
      </c>
      <c r="FP54" s="511" t="s">
        <v>860</v>
      </c>
      <c r="FQ54" s="94"/>
      <c r="FR54" s="94"/>
      <c r="FS54" s="94"/>
      <c r="FT54" s="94"/>
      <c r="FU54" s="94"/>
      <c r="FV54" s="39"/>
      <c r="FW54" s="212">
        <f t="shared" si="179"/>
        <v>44116</v>
      </c>
      <c r="FX54" s="212"/>
      <c r="FY54" s="39"/>
      <c r="FZ54" s="39"/>
      <c r="GA54" s="39"/>
      <c r="GB54" s="39"/>
      <c r="GC54" s="39"/>
      <c r="GD54" s="39"/>
      <c r="GE54" s="39"/>
      <c r="GF54" s="39"/>
      <c r="GG54" s="39"/>
      <c r="GH54" s="39"/>
      <c r="GI54" s="39"/>
      <c r="GJ54" s="39"/>
      <c r="GK54" s="39"/>
      <c r="GL54" s="742"/>
      <c r="GM54" s="979">
        <f t="shared" si="180"/>
        <v>4000552.4</v>
      </c>
      <c r="GN54" s="772">
        <f>GS54+GV54+HA54+HQ54+GZ54+HF54+HD54+HE54+HI54-HO54</f>
        <v>4685202.4003499998</v>
      </c>
      <c r="GO54" s="683">
        <f>GN54</f>
        <v>4685202.4003499998</v>
      </c>
      <c r="GP54" s="909">
        <f>HA54+HB54+HF54+HE54+HJ54+HL54</f>
        <v>1382735.0399999998</v>
      </c>
      <c r="GQ54" s="35">
        <f t="shared" si="182"/>
        <v>2484.3718815984134</v>
      </c>
      <c r="GR54" s="35">
        <f t="shared" si="183"/>
        <v>167328.65715535713</v>
      </c>
      <c r="GS54" s="53">
        <v>1164279</v>
      </c>
      <c r="GT54" s="577">
        <v>1263947</v>
      </c>
      <c r="GU54" s="71">
        <f>GS54/AE54</f>
        <v>41581.392857142855</v>
      </c>
      <c r="GV54" s="888">
        <f>GW54+GX54</f>
        <v>2105582</v>
      </c>
      <c r="GW54" s="826">
        <v>405627</v>
      </c>
      <c r="GX54" s="891">
        <v>1699955</v>
      </c>
      <c r="GY54" s="567">
        <f t="shared" si="189"/>
        <v>75199.357142857145</v>
      </c>
      <c r="GZ54" s="888"/>
      <c r="HA54" s="53">
        <v>656000</v>
      </c>
      <c r="HB54" s="53"/>
      <c r="HC54" s="28">
        <f t="shared" si="184"/>
        <v>0.14001529580685665</v>
      </c>
      <c r="HD54" s="53"/>
      <c r="HE54" s="53"/>
      <c r="HF54" s="53">
        <v>74691.399999999994</v>
      </c>
      <c r="HG54" s="35">
        <f t="shared" si="185"/>
        <v>23428.571428571428</v>
      </c>
      <c r="HH54" s="35">
        <f t="shared" si="186"/>
        <v>65009.964285714283</v>
      </c>
      <c r="HI54" s="70">
        <v>878080.00034999999</v>
      </c>
      <c r="HJ54" s="70">
        <v>560000</v>
      </c>
      <c r="HK54" s="19">
        <f>(GS54+HA54+HJ54)/AE54</f>
        <v>85009.96428571429</v>
      </c>
      <c r="HL54" s="70">
        <v>92043.64</v>
      </c>
      <c r="HM54" s="35">
        <f t="shared" si="187"/>
        <v>88297.23714285715</v>
      </c>
      <c r="HN54" s="36">
        <f>(GS54+HA54+HJ54+HL54)/(HI54+GN54-HO54)</f>
        <v>0.46040793219525261</v>
      </c>
      <c r="HO54" s="70">
        <v>193430</v>
      </c>
      <c r="HP54" s="70"/>
      <c r="HQ54" s="53">
        <v>0</v>
      </c>
      <c r="HR54" s="909">
        <f>1833805.88884+423682</f>
        <v>2257487.8888400001</v>
      </c>
      <c r="HS54" s="907">
        <f>HR54/GN54</f>
        <v>0.4818335892322087</v>
      </c>
      <c r="HT54" s="915">
        <f>GN54-HR54</f>
        <v>2427714.5115099996</v>
      </c>
      <c r="HU54" s="898">
        <f t="shared" ca="1" si="188"/>
        <v>2427714.5115099996</v>
      </c>
      <c r="HV54" s="907">
        <f ca="1">(HU54+HR54)/GN54</f>
        <v>1</v>
      </c>
      <c r="HW54" s="898">
        <f>'[3]GLOBAL OPERATION'!$AG$75</f>
        <v>539805.38</v>
      </c>
      <c r="HX54" s="898">
        <f>GP54-HW54</f>
        <v>842929.6599999998</v>
      </c>
      <c r="HY54" s="907">
        <f t="shared" si="190"/>
        <v>0.39038960059911409</v>
      </c>
      <c r="HZ54" s="907"/>
      <c r="IA54" s="73" t="e">
        <f>#REF!+HI54</f>
        <v>#REF!</v>
      </c>
      <c r="IB54" s="752"/>
      <c r="IC54" s="73"/>
      <c r="ID54" s="73"/>
      <c r="IE54" s="73"/>
      <c r="IF54" s="73"/>
    </row>
    <row r="55" spans="1:240" ht="76.5" customHeight="1">
      <c r="A55" s="787" t="s">
        <v>311</v>
      </c>
      <c r="B55" s="591" t="s">
        <v>635</v>
      </c>
      <c r="C55" s="39" t="s">
        <v>21</v>
      </c>
      <c r="D55" s="39" t="s">
        <v>92</v>
      </c>
      <c r="E55" s="39">
        <v>2015</v>
      </c>
      <c r="F55" s="39" t="s">
        <v>196</v>
      </c>
      <c r="G55" s="39" t="s">
        <v>119</v>
      </c>
      <c r="H55" s="8" t="s">
        <v>145</v>
      </c>
      <c r="I55" s="39" t="s">
        <v>141</v>
      </c>
      <c r="J55" s="39"/>
      <c r="K55" s="39"/>
      <c r="L55" s="199" t="s">
        <v>500</v>
      </c>
      <c r="M55" s="129" t="s">
        <v>212</v>
      </c>
      <c r="N55" s="887"/>
      <c r="O55" s="131"/>
      <c r="P55" s="161">
        <v>8838</v>
      </c>
      <c r="Q55" s="161">
        <v>652080</v>
      </c>
      <c r="R55" s="161">
        <f>Q55</f>
        <v>652080</v>
      </c>
      <c r="S55" s="161">
        <f>Q55/89</f>
        <v>7326.7415730337079</v>
      </c>
      <c r="T55" s="161">
        <f>Q55/P55</f>
        <v>73.78139850644942</v>
      </c>
      <c r="U55" s="167">
        <f>R55/P55</f>
        <v>73.78139850644942</v>
      </c>
      <c r="V55" s="167">
        <f>R55/AL55</f>
        <v>336.01286173633446</v>
      </c>
      <c r="W55" s="167">
        <f>R55/AE55</f>
        <v>32604</v>
      </c>
      <c r="X55" s="161">
        <f>P55/AE55</f>
        <v>441.9</v>
      </c>
      <c r="Y55" s="162"/>
      <c r="Z55" s="733">
        <f t="shared" si="153"/>
        <v>22.629554197782305</v>
      </c>
      <c r="AA55" s="162" t="s">
        <v>152</v>
      </c>
      <c r="AB55" s="162">
        <v>630</v>
      </c>
      <c r="AC55" s="163">
        <v>0</v>
      </c>
      <c r="AD55" s="40" t="s">
        <v>9</v>
      </c>
      <c r="AE55" s="674">
        <f t="shared" si="154"/>
        <v>20</v>
      </c>
      <c r="AF55" s="674">
        <f t="shared" si="155"/>
        <v>20</v>
      </c>
      <c r="AG55" s="39">
        <v>20</v>
      </c>
      <c r="AH55" s="50"/>
      <c r="AI55" s="50"/>
      <c r="AJ55" s="50"/>
      <c r="AK55" s="209">
        <v>1765.6399999999996</v>
      </c>
      <c r="AL55" s="426">
        <v>1940.6399999999996</v>
      </c>
      <c r="AM55" s="875">
        <f t="shared" si="156"/>
        <v>88.281999999999982</v>
      </c>
      <c r="AN55" s="10">
        <f t="shared" si="157"/>
        <v>97.031999999999982</v>
      </c>
      <c r="AO55" s="43">
        <v>6.8645960354319122</v>
      </c>
      <c r="AP55" s="43">
        <v>6.25</v>
      </c>
      <c r="AQ55" s="43">
        <v>606.02026719999992</v>
      </c>
      <c r="AR55" s="61"/>
      <c r="AS55" s="61"/>
      <c r="AT55" s="61"/>
      <c r="AU55" s="61">
        <f>16/AE55</f>
        <v>0.8</v>
      </c>
      <c r="AV55" s="61">
        <f>4/AE55</f>
        <v>0.2</v>
      </c>
      <c r="AW55" s="43"/>
      <c r="AX55" s="59" t="s">
        <v>136</v>
      </c>
      <c r="AY55" s="61">
        <v>0</v>
      </c>
      <c r="AZ55" s="43">
        <v>4</v>
      </c>
      <c r="BA55" s="42" t="s">
        <v>439</v>
      </c>
      <c r="BB55" s="39" t="s">
        <v>100</v>
      </c>
      <c r="BC55" s="39"/>
      <c r="BD55" s="39"/>
      <c r="BE55" s="39"/>
      <c r="BF55" s="39"/>
      <c r="BG55" s="87">
        <v>42031</v>
      </c>
      <c r="BH55" s="39"/>
      <c r="BI55" s="159">
        <v>42354</v>
      </c>
      <c r="BJ55" s="75">
        <v>42380</v>
      </c>
      <c r="BK55" s="867" t="s">
        <v>250</v>
      </c>
      <c r="BL55" s="125">
        <v>42899</v>
      </c>
      <c r="BM55" s="158">
        <v>42929</v>
      </c>
      <c r="BN55" s="1007">
        <f t="shared" si="73"/>
        <v>1</v>
      </c>
      <c r="BO55" s="954">
        <v>66464</v>
      </c>
      <c r="BP55" s="125">
        <v>43013</v>
      </c>
      <c r="BQ55" s="125"/>
      <c r="BR55" s="225">
        <v>43040</v>
      </c>
      <c r="BS55" s="224">
        <f t="shared" si="158"/>
        <v>43770</v>
      </c>
      <c r="BT55" s="605">
        <f>82893+7312.94</f>
        <v>90205.94</v>
      </c>
      <c r="BU55" s="224" t="str">
        <f>IF(FA55&gt;BS55,"oui","non")</f>
        <v>oui</v>
      </c>
      <c r="BV55" s="784">
        <f>(BS55-FA55)/30</f>
        <v>-6.1</v>
      </c>
      <c r="BW55" s="605" t="str">
        <f>IF((BV55*FD55)&lt;0,"0",BV55*FD55)</f>
        <v>0</v>
      </c>
      <c r="BX55" s="605">
        <f>BT55-BW55</f>
        <v>90205.94</v>
      </c>
      <c r="BY55" s="702"/>
      <c r="BZ55" s="696"/>
      <c r="CA55" s="703"/>
      <c r="CB55" s="703"/>
      <c r="CC55" s="703"/>
      <c r="CD55" s="699"/>
      <c r="CE55" s="699"/>
      <c r="CF55" s="699"/>
      <c r="CG55" s="699"/>
      <c r="CH55" s="699"/>
      <c r="CI55" s="699"/>
      <c r="CJ55" s="699"/>
      <c r="CK55" s="699"/>
      <c r="CL55" s="704"/>
      <c r="CM55" s="704"/>
      <c r="CN55" s="704"/>
      <c r="CO55" s="704"/>
      <c r="CP55" s="704"/>
      <c r="CQ55" s="95"/>
      <c r="CR55" s="95"/>
      <c r="CS55" s="95"/>
      <c r="CT55" s="475" t="str">
        <f t="shared" si="159"/>
        <v>0</v>
      </c>
      <c r="CU55" s="95"/>
      <c r="CV55" s="95"/>
      <c r="CW55" s="475" t="str">
        <f t="shared" si="160"/>
        <v>0</v>
      </c>
      <c r="CX55" s="95"/>
      <c r="CY55" s="95"/>
      <c r="CZ55" s="475" t="str">
        <f t="shared" si="161"/>
        <v>0</v>
      </c>
      <c r="DA55" s="95"/>
      <c r="DB55" s="95"/>
      <c r="DC55" s="475" t="str">
        <f t="shared" si="162"/>
        <v>0</v>
      </c>
      <c r="DD55" s="95"/>
      <c r="DE55" s="95"/>
      <c r="DF55" s="475" t="str">
        <f t="shared" si="163"/>
        <v>0</v>
      </c>
      <c r="DG55" s="438"/>
      <c r="DH55" s="95"/>
      <c r="DI55" s="95"/>
      <c r="DJ55" s="95"/>
      <c r="DK55" s="475"/>
      <c r="DL55" s="150"/>
      <c r="DM55" s="430">
        <v>43129</v>
      </c>
      <c r="DN55" s="431">
        <v>2018</v>
      </c>
      <c r="DO55" s="436">
        <f t="shared" si="164"/>
        <v>25.833333333333332</v>
      </c>
      <c r="DP55" s="475" t="str">
        <f t="shared" si="165"/>
        <v>0</v>
      </c>
      <c r="DQ55" s="198">
        <v>21</v>
      </c>
      <c r="DR55" s="90">
        <f t="shared" si="166"/>
        <v>25</v>
      </c>
      <c r="DS55" s="237">
        <v>43250</v>
      </c>
      <c r="DT55" s="237">
        <v>43294</v>
      </c>
      <c r="DU55" s="616">
        <f t="shared" si="167"/>
        <v>44</v>
      </c>
      <c r="DV55" s="237">
        <v>43315</v>
      </c>
      <c r="DW55" s="555">
        <v>43446</v>
      </c>
      <c r="DX55" s="556">
        <f t="shared" si="168"/>
        <v>131</v>
      </c>
      <c r="DY55" s="484">
        <v>43529</v>
      </c>
      <c r="DZ55" s="497">
        <f ca="1">IF(DY55&lt;TODAY(),TODAY(),DY55)</f>
        <v>43647</v>
      </c>
      <c r="EA55" s="481">
        <f t="shared" ca="1" si="169"/>
        <v>118</v>
      </c>
      <c r="EB55" s="479">
        <v>43615</v>
      </c>
      <c r="EC55" s="484">
        <f ca="1">IF(EB55&lt;TODAY(),TODAY(),EB55)</f>
        <v>43647</v>
      </c>
      <c r="ED55" s="481">
        <f t="shared" ca="1" si="170"/>
        <v>32</v>
      </c>
      <c r="EE55" s="484">
        <v>43623</v>
      </c>
      <c r="EF55" s="484">
        <f ca="1">IF(EE55&lt;TODAY(),TODAY(),EE55)</f>
        <v>43647</v>
      </c>
      <c r="EG55" s="481">
        <f t="shared" ca="1" si="171"/>
        <v>24</v>
      </c>
      <c r="EH55" s="484">
        <v>43602</v>
      </c>
      <c r="EI55" s="484">
        <f t="shared" ca="1" si="193"/>
        <v>43647</v>
      </c>
      <c r="EJ55" s="481">
        <f t="shared" ca="1" si="172"/>
        <v>45</v>
      </c>
      <c r="EK55" s="484">
        <v>43647</v>
      </c>
      <c r="EL55" s="484">
        <v>43739</v>
      </c>
      <c r="EM55" s="481">
        <f t="shared" si="173"/>
        <v>92</v>
      </c>
      <c r="EN55" s="589">
        <v>43703</v>
      </c>
      <c r="EO55" s="589">
        <v>43703</v>
      </c>
      <c r="EP55" s="589">
        <v>43657</v>
      </c>
      <c r="EQ55" s="654">
        <f t="shared" si="174"/>
        <v>43767</v>
      </c>
      <c r="ER55" s="653">
        <f>DATE(YEAR(DM55),MONTH(DM55)+DQ55+4,DAY(DM55))</f>
        <v>43890</v>
      </c>
      <c r="ES55" s="650">
        <f t="shared" si="175"/>
        <v>4.0999999999999996</v>
      </c>
      <c r="ET55" s="932">
        <f t="shared" ca="1" si="176"/>
        <v>8.1</v>
      </c>
      <c r="EU55" s="926">
        <f t="shared" si="191"/>
        <v>44177</v>
      </c>
      <c r="EV55" s="737"/>
      <c r="EW55" s="737"/>
      <c r="EX55" s="145"/>
      <c r="EY55" s="443"/>
      <c r="EZ55" s="747">
        <f t="shared" si="192"/>
        <v>43798</v>
      </c>
      <c r="FA55" s="653">
        <v>43953</v>
      </c>
      <c r="FB55" s="518"/>
      <c r="FC55" s="647">
        <f t="shared" si="194"/>
        <v>5.166666666666667</v>
      </c>
      <c r="FD55" s="636">
        <v>12346</v>
      </c>
      <c r="FE55" s="46">
        <f t="shared" si="177"/>
        <v>63787.666666666672</v>
      </c>
      <c r="FF55" s="211"/>
      <c r="FG55" s="502">
        <v>0</v>
      </c>
      <c r="FH55" s="502">
        <v>0</v>
      </c>
      <c r="FI55" s="502">
        <f>475800*1.021</f>
        <v>485791.79999999993</v>
      </c>
      <c r="FJ55" s="502"/>
      <c r="FK55" s="502">
        <v>0</v>
      </c>
      <c r="FL55" s="664">
        <f t="shared" si="178"/>
        <v>0</v>
      </c>
      <c r="FM55" s="499" t="s">
        <v>581</v>
      </c>
      <c r="FN55" s="511" t="s">
        <v>618</v>
      </c>
      <c r="FO55" s="756" t="s">
        <v>817</v>
      </c>
      <c r="FP55" s="511"/>
      <c r="FQ55" s="94"/>
      <c r="FR55" s="94"/>
      <c r="FS55" s="94"/>
      <c r="FT55" s="94"/>
      <c r="FU55" s="94"/>
      <c r="FV55" s="39"/>
      <c r="FW55" s="212">
        <f t="shared" si="179"/>
        <v>44256</v>
      </c>
      <c r="FX55" s="212"/>
      <c r="FY55" s="39"/>
      <c r="FZ55" s="39"/>
      <c r="GA55" s="39"/>
      <c r="GB55" s="39"/>
      <c r="GC55" s="39"/>
      <c r="GD55" s="39"/>
      <c r="GE55" s="39"/>
      <c r="GF55" s="39"/>
      <c r="GG55" s="39"/>
      <c r="GH55" s="39"/>
      <c r="GI55" s="39"/>
      <c r="GJ55" s="39"/>
      <c r="GK55" s="39"/>
      <c r="GL55" s="742"/>
      <c r="GM55" s="979">
        <f t="shared" si="180"/>
        <v>3519805</v>
      </c>
      <c r="GN55" s="772">
        <f>GS55+GV55+HA55+HQ55+GZ55+HF55+HD55+HE55</f>
        <v>3519805</v>
      </c>
      <c r="GO55" s="683">
        <f>GN55</f>
        <v>3519805</v>
      </c>
      <c r="GP55" s="909">
        <f>HA55+HB55+HF55+HE55+HJ55+HL55</f>
        <v>232496</v>
      </c>
      <c r="GQ55" s="35">
        <f t="shared" si="182"/>
        <v>1813.7341289471517</v>
      </c>
      <c r="GR55" s="35">
        <f t="shared" si="183"/>
        <v>175990.25</v>
      </c>
      <c r="GS55" s="573">
        <v>1220628</v>
      </c>
      <c r="GT55" s="577">
        <v>1114069</v>
      </c>
      <c r="GU55" s="19">
        <f>GS55/AE55</f>
        <v>61031.4</v>
      </c>
      <c r="GV55" s="921">
        <f>GW55+GX55</f>
        <v>2066681</v>
      </c>
      <c r="GW55" s="922">
        <v>309940</v>
      </c>
      <c r="GX55" s="922">
        <v>1756741</v>
      </c>
      <c r="GY55" s="567">
        <f t="shared" si="189"/>
        <v>103334.05</v>
      </c>
      <c r="GZ55" s="11"/>
      <c r="HA55" s="11">
        <v>200000</v>
      </c>
      <c r="HB55" s="53"/>
      <c r="HC55" s="28">
        <f t="shared" si="184"/>
        <v>5.6821329590701755E-2</v>
      </c>
      <c r="HD55" s="68"/>
      <c r="HE55" s="68"/>
      <c r="HF55" s="53">
        <v>32496</v>
      </c>
      <c r="HG55" s="35">
        <f t="shared" si="185"/>
        <v>10000</v>
      </c>
      <c r="HH55" s="35">
        <f t="shared" si="186"/>
        <v>71031.399999999994</v>
      </c>
      <c r="HI55" s="27">
        <v>0</v>
      </c>
      <c r="HJ55" s="27">
        <v>0</v>
      </c>
      <c r="HK55" s="19">
        <f>(GS55+HA55+HJ55)/AE55</f>
        <v>71031.399999999994</v>
      </c>
      <c r="HL55" s="27">
        <v>0</v>
      </c>
      <c r="HM55" s="19">
        <f t="shared" si="187"/>
        <v>71031.399999999994</v>
      </c>
      <c r="HN55" s="36">
        <f>(GS55+HA55+HJ55+HL55)/(HI55+GN55-HO55)</f>
        <v>0.40360985906889729</v>
      </c>
      <c r="HO55" s="27">
        <v>0</v>
      </c>
      <c r="HP55" s="27"/>
      <c r="HQ55" s="11">
        <v>0</v>
      </c>
      <c r="HR55" s="909">
        <v>2102468.2793891593</v>
      </c>
      <c r="HS55" s="907">
        <f>HR55/GN55</f>
        <v>0.59732521528583526</v>
      </c>
      <c r="HT55" s="915">
        <f>GN55-HR55</f>
        <v>1417336.7206108407</v>
      </c>
      <c r="HU55" s="898">
        <f t="shared" ca="1" si="188"/>
        <v>874899.21025360539</v>
      </c>
      <c r="HV55" s="907">
        <f ca="1">(HU55+HR55)/GN55</f>
        <v>0.8458898972081591</v>
      </c>
      <c r="HW55" s="898">
        <f>'[3]GLOBAL OPERATION'!$AG$57</f>
        <v>470470</v>
      </c>
      <c r="HX55" s="898">
        <f>GP55+GP56-HW55</f>
        <v>574138</v>
      </c>
      <c r="HY55" s="907">
        <f>HW55/(GP55+GP56)</f>
        <v>0.45037947249111626</v>
      </c>
      <c r="HZ55" s="907"/>
      <c r="IA55" s="29">
        <f>GN55+HI55</f>
        <v>3519805</v>
      </c>
      <c r="IB55" s="752"/>
      <c r="IC55" s="73"/>
      <c r="ID55" s="73"/>
      <c r="IE55" s="73"/>
      <c r="IF55" s="73"/>
    </row>
    <row r="56" spans="1:240" ht="34.5" customHeight="1">
      <c r="A56" s="787" t="s">
        <v>285</v>
      </c>
      <c r="B56" s="591" t="s">
        <v>635</v>
      </c>
      <c r="C56" s="39" t="s">
        <v>21</v>
      </c>
      <c r="D56" s="39" t="s">
        <v>92</v>
      </c>
      <c r="E56" s="39">
        <v>2016</v>
      </c>
      <c r="F56" s="39" t="s">
        <v>196</v>
      </c>
      <c r="G56" s="39" t="s">
        <v>119</v>
      </c>
      <c r="H56" s="235"/>
      <c r="I56" s="39" t="s">
        <v>141</v>
      </c>
      <c r="J56" s="39"/>
      <c r="K56" s="39"/>
      <c r="L56" s="199" t="s">
        <v>500</v>
      </c>
      <c r="M56" s="129" t="s">
        <v>212</v>
      </c>
      <c r="N56" s="130" t="s">
        <v>120</v>
      </c>
      <c r="O56" s="131"/>
      <c r="P56" s="161">
        <v>8838</v>
      </c>
      <c r="Q56" s="161">
        <v>652080</v>
      </c>
      <c r="R56" s="161">
        <f>Q56</f>
        <v>652080</v>
      </c>
      <c r="S56" s="161">
        <f>Q56/89</f>
        <v>7326.7415730337079</v>
      </c>
      <c r="T56" s="161">
        <f>Q56/P56</f>
        <v>73.78139850644942</v>
      </c>
      <c r="U56" s="167">
        <f>R56/P56</f>
        <v>73.78139850644942</v>
      </c>
      <c r="V56" s="167">
        <f>R56/AL56</f>
        <v>130.6752597152751</v>
      </c>
      <c r="W56" s="167">
        <f>R56/AE56</f>
        <v>9450.434782608696</v>
      </c>
      <c r="X56" s="161">
        <f>P56/AE56</f>
        <v>128.08695652173913</v>
      </c>
      <c r="Y56" s="162"/>
      <c r="Z56" s="733">
        <f t="shared" si="153"/>
        <v>78.071961982348952</v>
      </c>
      <c r="AA56" s="162" t="s">
        <v>152</v>
      </c>
      <c r="AB56" s="162">
        <v>630</v>
      </c>
      <c r="AC56" s="163">
        <v>0</v>
      </c>
      <c r="AD56" s="40" t="s">
        <v>10</v>
      </c>
      <c r="AE56" s="674">
        <f t="shared" si="154"/>
        <v>69</v>
      </c>
      <c r="AF56" s="674">
        <f t="shared" si="155"/>
        <v>69</v>
      </c>
      <c r="AG56" s="50"/>
      <c r="AH56" s="39">
        <v>69</v>
      </c>
      <c r="AI56" s="50"/>
      <c r="AJ56" s="50"/>
      <c r="AK56" s="209">
        <v>4096.6099999999997</v>
      </c>
      <c r="AL56" s="426">
        <v>4990.08</v>
      </c>
      <c r="AM56" s="875">
        <f t="shared" si="156"/>
        <v>59.37115942028985</v>
      </c>
      <c r="AN56" s="10">
        <f t="shared" si="157"/>
        <v>72.319999999999993</v>
      </c>
      <c r="AO56" s="43">
        <v>6.59</v>
      </c>
      <c r="AP56" s="43">
        <v>5.41</v>
      </c>
      <c r="AQ56" s="43">
        <v>428.50409507760696</v>
      </c>
      <c r="AR56" s="61">
        <f>12/AE56</f>
        <v>0.17391304347826086</v>
      </c>
      <c r="AS56" s="61">
        <f>29/AE56</f>
        <v>0.42028985507246375</v>
      </c>
      <c r="AT56" s="61">
        <f>28/AE56</f>
        <v>0.40579710144927539</v>
      </c>
      <c r="AU56" s="61">
        <v>0</v>
      </c>
      <c r="AV56" s="61">
        <v>0</v>
      </c>
      <c r="AW56" s="43"/>
      <c r="AX56" s="59" t="s">
        <v>136</v>
      </c>
      <c r="AY56" s="61">
        <v>0</v>
      </c>
      <c r="AZ56" s="43">
        <v>4</v>
      </c>
      <c r="BA56" s="42" t="s">
        <v>439</v>
      </c>
      <c r="BB56" s="39" t="s">
        <v>100</v>
      </c>
      <c r="BC56" s="39"/>
      <c r="BD56" s="39"/>
      <c r="BE56" s="39"/>
      <c r="BF56" s="39"/>
      <c r="BG56" s="183">
        <v>42031</v>
      </c>
      <c r="BH56" s="183">
        <v>42475</v>
      </c>
      <c r="BI56" s="159">
        <v>42462</v>
      </c>
      <c r="BJ56" s="75">
        <v>42510</v>
      </c>
      <c r="BK56" s="867" t="s">
        <v>250</v>
      </c>
      <c r="BL56" s="125">
        <v>42899</v>
      </c>
      <c r="BM56" s="157">
        <v>42929</v>
      </c>
      <c r="BN56" s="1007">
        <f t="shared" si="73"/>
        <v>1</v>
      </c>
      <c r="BO56" s="954">
        <v>66463</v>
      </c>
      <c r="BP56" s="125">
        <v>43013</v>
      </c>
      <c r="BQ56" s="125"/>
      <c r="BR56" s="225">
        <v>42948</v>
      </c>
      <c r="BS56" s="224">
        <f t="shared" si="158"/>
        <v>43678</v>
      </c>
      <c r="BT56" s="605">
        <f>17610.41+217516</f>
        <v>235126.41</v>
      </c>
      <c r="BU56" s="224" t="str">
        <f>IF(FA56&gt;BS56,"oui","non")</f>
        <v>oui</v>
      </c>
      <c r="BV56" s="784">
        <f>(BS56-FA56)/30</f>
        <v>-9.1666666666666661</v>
      </c>
      <c r="BW56" s="605" t="str">
        <f>IF((BV56*FD56)&lt;0,"0",BV56*FD56)</f>
        <v>0</v>
      </c>
      <c r="BX56" s="605">
        <f>BT56-BW56</f>
        <v>235126.41</v>
      </c>
      <c r="BY56" s="705"/>
      <c r="BZ56" s="696"/>
      <c r="CA56" s="703"/>
      <c r="CB56" s="703"/>
      <c r="CC56" s="703"/>
      <c r="CD56" s="699"/>
      <c r="CE56" s="699"/>
      <c r="CF56" s="699"/>
      <c r="CG56" s="699"/>
      <c r="CH56" s="699"/>
      <c r="CI56" s="699"/>
      <c r="CJ56" s="699"/>
      <c r="CK56" s="699"/>
      <c r="CL56" s="699"/>
      <c r="CM56" s="699"/>
      <c r="CN56" s="699"/>
      <c r="CO56" s="699"/>
      <c r="CP56" s="699"/>
      <c r="CQ56" s="95"/>
      <c r="CR56" s="88"/>
      <c r="CS56" s="88"/>
      <c r="CT56" s="475" t="str">
        <f t="shared" si="159"/>
        <v>0</v>
      </c>
      <c r="CU56" s="95"/>
      <c r="CV56" s="95"/>
      <c r="CW56" s="475" t="str">
        <f t="shared" si="160"/>
        <v>0</v>
      </c>
      <c r="CX56" s="97"/>
      <c r="CY56" s="95"/>
      <c r="CZ56" s="475" t="str">
        <f t="shared" si="161"/>
        <v>0</v>
      </c>
      <c r="DA56" s="97"/>
      <c r="DB56" s="95"/>
      <c r="DC56" s="475" t="str">
        <f t="shared" si="162"/>
        <v>0</v>
      </c>
      <c r="DD56" s="97"/>
      <c r="DE56" s="514"/>
      <c r="DF56" s="475" t="str">
        <f t="shared" si="163"/>
        <v>0</v>
      </c>
      <c r="DG56" s="438"/>
      <c r="DH56" s="178"/>
      <c r="DI56" s="95"/>
      <c r="DJ56" s="178"/>
      <c r="DK56" s="475"/>
      <c r="DL56" s="150"/>
      <c r="DM56" s="430">
        <v>43129</v>
      </c>
      <c r="DN56" s="431">
        <v>2018</v>
      </c>
      <c r="DO56" s="436">
        <f t="shared" si="164"/>
        <v>22.233333333333334</v>
      </c>
      <c r="DP56" s="475" t="str">
        <f t="shared" si="165"/>
        <v>0</v>
      </c>
      <c r="DQ56" s="198">
        <v>21</v>
      </c>
      <c r="DR56" s="90">
        <f t="shared" si="166"/>
        <v>25</v>
      </c>
      <c r="DS56" s="237">
        <v>43250</v>
      </c>
      <c r="DT56" s="237">
        <v>43294</v>
      </c>
      <c r="DU56" s="616">
        <f t="shared" si="167"/>
        <v>44</v>
      </c>
      <c r="DV56" s="237">
        <v>43315</v>
      </c>
      <c r="DW56" s="555">
        <v>43446</v>
      </c>
      <c r="DX56" s="556">
        <f t="shared" si="168"/>
        <v>131</v>
      </c>
      <c r="DY56" s="484">
        <v>43529</v>
      </c>
      <c r="DZ56" s="497">
        <f ca="1">IF(DY56&lt;TODAY(),TODAY(),DY56)</f>
        <v>43647</v>
      </c>
      <c r="EA56" s="481">
        <f t="shared" ca="1" si="169"/>
        <v>118</v>
      </c>
      <c r="EB56" s="484">
        <v>43615</v>
      </c>
      <c r="EC56" s="484">
        <f ca="1">IF(EB56&lt;TODAY(),TODAY(),EB56)</f>
        <v>43647</v>
      </c>
      <c r="ED56" s="481">
        <f t="shared" ca="1" si="170"/>
        <v>32</v>
      </c>
      <c r="EE56" s="589">
        <v>43623</v>
      </c>
      <c r="EF56" s="484">
        <f ca="1">IF(EE56&lt;TODAY(),TODAY(),EE56)</f>
        <v>43647</v>
      </c>
      <c r="EG56" s="481">
        <f t="shared" ca="1" si="171"/>
        <v>24</v>
      </c>
      <c r="EH56" s="484">
        <v>43602</v>
      </c>
      <c r="EI56" s="484">
        <f t="shared" ca="1" si="193"/>
        <v>43647</v>
      </c>
      <c r="EJ56" s="481">
        <f t="shared" ca="1" si="172"/>
        <v>45</v>
      </c>
      <c r="EK56" s="484">
        <v>43647</v>
      </c>
      <c r="EL56" s="484">
        <v>43739</v>
      </c>
      <c r="EM56" s="481">
        <f t="shared" si="173"/>
        <v>92</v>
      </c>
      <c r="EN56" s="485"/>
      <c r="EO56" s="485"/>
      <c r="EP56" s="485"/>
      <c r="EQ56" s="654">
        <f t="shared" si="174"/>
        <v>43767</v>
      </c>
      <c r="ER56" s="653">
        <f>DATE(YEAR(DM56),MONTH(DM56)+DQ56+4,DAY(DM56))</f>
        <v>43890</v>
      </c>
      <c r="ES56" s="650">
        <f t="shared" si="175"/>
        <v>4.0999999999999996</v>
      </c>
      <c r="ET56" s="932">
        <f t="shared" ca="1" si="176"/>
        <v>8.1</v>
      </c>
      <c r="EU56" s="926">
        <f t="shared" si="191"/>
        <v>44177</v>
      </c>
      <c r="EV56" s="737"/>
      <c r="EW56" s="737"/>
      <c r="EX56" s="145"/>
      <c r="EY56" s="443"/>
      <c r="EZ56" s="747">
        <f t="shared" si="192"/>
        <v>43798</v>
      </c>
      <c r="FA56" s="653">
        <v>43953</v>
      </c>
      <c r="FB56" s="518"/>
      <c r="FC56" s="647">
        <f t="shared" si="194"/>
        <v>5.166666666666667</v>
      </c>
      <c r="FD56" s="636">
        <v>25392.626856423114</v>
      </c>
      <c r="FE56" s="46">
        <f t="shared" si="177"/>
        <v>131195.23875818611</v>
      </c>
      <c r="FF56" s="211"/>
      <c r="FG56" s="502">
        <v>0</v>
      </c>
      <c r="FH56" s="502">
        <v>0</v>
      </c>
      <c r="FI56" s="502"/>
      <c r="FJ56" s="502"/>
      <c r="FK56" s="502">
        <v>0</v>
      </c>
      <c r="FL56" s="664">
        <f t="shared" si="178"/>
        <v>0</v>
      </c>
      <c r="FM56" s="499"/>
      <c r="FN56" s="511"/>
      <c r="FO56" s="756"/>
      <c r="FP56" s="499"/>
      <c r="FQ56" s="94"/>
      <c r="FR56" s="94"/>
      <c r="FS56" s="94"/>
      <c r="FT56" s="94"/>
      <c r="FU56" s="94"/>
      <c r="FV56" s="39"/>
      <c r="FW56" s="212">
        <f t="shared" si="179"/>
        <v>44256</v>
      </c>
      <c r="FX56" s="212"/>
      <c r="FY56" s="39"/>
      <c r="FZ56" s="39"/>
      <c r="GA56" s="39"/>
      <c r="GB56" s="39"/>
      <c r="GC56" s="39"/>
      <c r="GD56" s="39"/>
      <c r="GE56" s="39"/>
      <c r="GF56" s="39"/>
      <c r="GG56" s="39"/>
      <c r="GH56" s="39"/>
      <c r="GI56" s="39"/>
      <c r="GJ56" s="39"/>
      <c r="GK56" s="39"/>
      <c r="GL56" s="742"/>
      <c r="GM56" s="979">
        <f t="shared" si="180"/>
        <v>9211244</v>
      </c>
      <c r="GN56" s="772">
        <f>GS56+GV56+HA56+HQ56+GZ56+HF56+HD56+HE56</f>
        <v>9211244</v>
      </c>
      <c r="GO56" s="683">
        <f>GN56</f>
        <v>9211244</v>
      </c>
      <c r="GP56" s="909">
        <f>HA56+HB56+HF56+HE56+HJ56+HL56</f>
        <v>812112</v>
      </c>
      <c r="GQ56" s="35">
        <f t="shared" si="182"/>
        <v>1845.911087597794</v>
      </c>
      <c r="GR56" s="35">
        <f t="shared" si="183"/>
        <v>133496.28985507245</v>
      </c>
      <c r="GS56" s="925">
        <v>3062687</v>
      </c>
      <c r="GT56" s="577">
        <v>2943082</v>
      </c>
      <c r="GU56" s="19">
        <f>GS56/AE56</f>
        <v>44386.768115942032</v>
      </c>
      <c r="GV56" s="920">
        <f>GW56+GX56</f>
        <v>5336445</v>
      </c>
      <c r="GW56" s="826">
        <v>746372</v>
      </c>
      <c r="GX56" s="826">
        <v>4590073</v>
      </c>
      <c r="GY56" s="567">
        <f t="shared" si="189"/>
        <v>77339.782608695648</v>
      </c>
      <c r="GZ56" s="53"/>
      <c r="HA56" s="11">
        <v>700000</v>
      </c>
      <c r="HB56" s="53"/>
      <c r="HC56" s="28">
        <f t="shared" si="184"/>
        <v>7.5994078541400056E-2</v>
      </c>
      <c r="HD56" s="68"/>
      <c r="HE56" s="68"/>
      <c r="HF56" s="53">
        <v>112112</v>
      </c>
      <c r="HG56" s="35">
        <f t="shared" si="185"/>
        <v>10144.927536231884</v>
      </c>
      <c r="HH56" s="35">
        <f t="shared" si="186"/>
        <v>54531.695652173912</v>
      </c>
      <c r="HI56" s="27">
        <v>0</v>
      </c>
      <c r="HJ56" s="27">
        <v>0</v>
      </c>
      <c r="HK56" s="19">
        <f>(GS56+HA56+HJ56)/AE56</f>
        <v>54531.695652173912</v>
      </c>
      <c r="HL56" s="27">
        <v>0</v>
      </c>
      <c r="HM56" s="19">
        <f t="shared" si="187"/>
        <v>54531.695652173912</v>
      </c>
      <c r="HN56" s="36">
        <f>(GS56+HA56+HJ56+HL56)/(HI56+GN56-HO56)</f>
        <v>0.40848847343529276</v>
      </c>
      <c r="HO56" s="27">
        <v>0</v>
      </c>
      <c r="HP56" s="27"/>
      <c r="HQ56" s="11">
        <f>FH56</f>
        <v>0</v>
      </c>
      <c r="HR56" s="909">
        <v>5343428.7862384301</v>
      </c>
      <c r="HS56" s="907">
        <f>HR56/GN56</f>
        <v>0.58009849551683035</v>
      </c>
      <c r="HT56" s="915">
        <f>GN56-HR56</f>
        <v>3867815.2137615699</v>
      </c>
      <c r="HU56" s="898">
        <f t="shared" ca="1" si="188"/>
        <v>2387540.2554083765</v>
      </c>
      <c r="HV56" s="907">
        <f ca="1">(HU56+HR56)/GN56</f>
        <v>0.83929695507434243</v>
      </c>
      <c r="HW56" s="609"/>
      <c r="HX56" s="609"/>
      <c r="HY56" s="578">
        <f t="shared" ref="HY56:HY62" si="195">HW56/GP56</f>
        <v>0</v>
      </c>
      <c r="HZ56" s="578"/>
      <c r="IA56" s="29">
        <f>GN56+HI56</f>
        <v>9211244</v>
      </c>
      <c r="IB56" s="752"/>
      <c r="IC56" s="73"/>
      <c r="ID56" s="73"/>
      <c r="IE56" s="73"/>
      <c r="IF56" s="73"/>
    </row>
    <row r="57" spans="1:240" ht="20.100000000000001" customHeight="1">
      <c r="A57" s="710" t="s">
        <v>343</v>
      </c>
      <c r="B57" s="74" t="s">
        <v>635</v>
      </c>
      <c r="C57" s="39" t="s">
        <v>14</v>
      </c>
      <c r="D57" s="39" t="s">
        <v>92</v>
      </c>
      <c r="E57" s="39">
        <v>2017</v>
      </c>
      <c r="F57" s="39"/>
      <c r="G57" s="39" t="s">
        <v>341</v>
      </c>
      <c r="H57" s="39" t="s">
        <v>704</v>
      </c>
      <c r="I57" s="39" t="s">
        <v>141</v>
      </c>
      <c r="J57" s="39"/>
      <c r="K57" s="39" t="s">
        <v>344</v>
      </c>
      <c r="L57" s="199" t="s">
        <v>403</v>
      </c>
      <c r="M57" s="129" t="s">
        <v>46</v>
      </c>
      <c r="N57" s="130" t="s">
        <v>373</v>
      </c>
      <c r="O57" s="131">
        <v>34851</v>
      </c>
      <c r="P57" s="178"/>
      <c r="Q57" s="178"/>
      <c r="R57" s="178"/>
      <c r="S57" s="178"/>
      <c r="T57" s="178"/>
      <c r="U57" s="546"/>
      <c r="V57" s="546"/>
      <c r="W57" s="546"/>
      <c r="X57" s="178"/>
      <c r="Y57" s="162"/>
      <c r="Z57" s="736" t="e">
        <f t="shared" si="153"/>
        <v>#DIV/0!</v>
      </c>
      <c r="AA57" s="162"/>
      <c r="AB57" s="162"/>
      <c r="AC57" s="163"/>
      <c r="AD57" s="39" t="s">
        <v>340</v>
      </c>
      <c r="AE57" s="674">
        <f t="shared" si="154"/>
        <v>10</v>
      </c>
      <c r="AF57" s="674">
        <f t="shared" si="155"/>
        <v>0</v>
      </c>
      <c r="AG57" s="50"/>
      <c r="AH57" s="50"/>
      <c r="AI57" s="50"/>
      <c r="AJ57" s="239">
        <v>10</v>
      </c>
      <c r="AK57" s="209"/>
      <c r="AL57" s="426"/>
      <c r="AM57" s="875">
        <f t="shared" si="156"/>
        <v>0</v>
      </c>
      <c r="AN57" s="10">
        <f t="shared" si="157"/>
        <v>0</v>
      </c>
      <c r="AO57" s="43"/>
      <c r="AP57" s="43"/>
      <c r="AQ57" s="43"/>
      <c r="AR57" s="61"/>
      <c r="AS57" s="61"/>
      <c r="AT57" s="61"/>
      <c r="AU57" s="61"/>
      <c r="AV57" s="61"/>
      <c r="AW57" s="43"/>
      <c r="AX57" s="59"/>
      <c r="AY57" s="61"/>
      <c r="AZ57" s="43"/>
      <c r="BA57" s="39"/>
      <c r="BB57" s="39"/>
      <c r="BC57" s="39"/>
      <c r="BD57" s="39"/>
      <c r="BE57" s="39"/>
      <c r="BF57" s="39"/>
      <c r="BG57" s="39"/>
      <c r="BH57" s="39"/>
      <c r="BI57" s="159">
        <v>43005</v>
      </c>
      <c r="BJ57" s="75"/>
      <c r="BK57" s="867"/>
      <c r="BL57" s="125">
        <v>43081</v>
      </c>
      <c r="BM57" s="158">
        <v>43235</v>
      </c>
      <c r="BN57" s="1007">
        <f t="shared" si="73"/>
        <v>5.1333333333333337</v>
      </c>
      <c r="BO57" s="954">
        <v>78082</v>
      </c>
      <c r="BP57" s="125">
        <f>DATE(YEAR(BM57),MONTH(BM57)+3,DAY(BM57))</f>
        <v>43327</v>
      </c>
      <c r="BQ57" s="125"/>
      <c r="BR57" s="225">
        <v>43344</v>
      </c>
      <c r="BS57" s="224">
        <f t="shared" si="158"/>
        <v>44075</v>
      </c>
      <c r="BT57" s="605"/>
      <c r="BU57" s="782"/>
      <c r="BV57" s="783"/>
      <c r="BW57" s="783"/>
      <c r="BX57" s="783"/>
      <c r="BY57" s="705"/>
      <c r="BZ57" s="708"/>
      <c r="CA57" s="703"/>
      <c r="CB57" s="703"/>
      <c r="CC57" s="703"/>
      <c r="CD57" s="699"/>
      <c r="CE57" s="699"/>
      <c r="CF57" s="699"/>
      <c r="CG57" s="699"/>
      <c r="CH57" s="699"/>
      <c r="CI57" s="699"/>
      <c r="CJ57" s="699"/>
      <c r="CK57" s="699"/>
      <c r="CL57" s="699"/>
      <c r="CM57" s="699"/>
      <c r="CN57" s="699"/>
      <c r="CO57" s="699"/>
      <c r="CP57" s="699"/>
      <c r="CQ57" s="237">
        <v>42773</v>
      </c>
      <c r="CR57" s="95"/>
      <c r="CS57" s="95"/>
      <c r="CT57" s="475" t="str">
        <f t="shared" si="159"/>
        <v>0</v>
      </c>
      <c r="CU57" s="95">
        <v>42874</v>
      </c>
      <c r="CV57" s="95">
        <v>42879</v>
      </c>
      <c r="CW57" s="475">
        <f t="shared" si="160"/>
        <v>5</v>
      </c>
      <c r="CX57" s="237">
        <v>42877</v>
      </c>
      <c r="CY57" s="237">
        <v>42853</v>
      </c>
      <c r="CZ57" s="475">
        <f t="shared" si="161"/>
        <v>-24</v>
      </c>
      <c r="DA57" s="490">
        <v>42879</v>
      </c>
      <c r="DB57" s="488">
        <f ca="1">IF(DA57&lt;TODAY(),TODAY(),DA57)</f>
        <v>43647</v>
      </c>
      <c r="DC57" s="475">
        <f t="shared" ca="1" si="162"/>
        <v>768</v>
      </c>
      <c r="DD57" s="490">
        <v>42962</v>
      </c>
      <c r="DE57" s="490">
        <f ca="1">IF(DD57&lt;TODAY(),TODAY(),DD57)</f>
        <v>43647</v>
      </c>
      <c r="DF57" s="475">
        <f t="shared" ca="1" si="163"/>
        <v>685</v>
      </c>
      <c r="DG57" s="438"/>
      <c r="DH57" s="495">
        <v>43249</v>
      </c>
      <c r="DI57" s="486">
        <v>43045</v>
      </c>
      <c r="DJ57" s="484">
        <f ca="1">IF(DI57&lt;TODAY(),TODAY(),DI57)</f>
        <v>43647</v>
      </c>
      <c r="DK57" s="481">
        <f ca="1">IF(AND(DI57&gt;0,DJ57&gt;0),DJ57-DI57,"0")</f>
        <v>602</v>
      </c>
      <c r="DL57" s="486">
        <v>43049</v>
      </c>
      <c r="DM57" s="430">
        <v>43362</v>
      </c>
      <c r="DN57" s="431">
        <v>2018</v>
      </c>
      <c r="DO57" s="436">
        <f t="shared" si="164"/>
        <v>11.9</v>
      </c>
      <c r="DP57" s="481">
        <f t="shared" si="165"/>
        <v>313</v>
      </c>
      <c r="DQ57" s="198">
        <v>12</v>
      </c>
      <c r="DR57" s="90">
        <f t="shared" si="166"/>
        <v>8</v>
      </c>
      <c r="DS57" s="479"/>
      <c r="DT57" s="484">
        <f ca="1">IF(DS57&lt;TODAY(),TODAY(),DS57)</f>
        <v>43647</v>
      </c>
      <c r="DU57" s="481" t="str">
        <f t="shared" ca="1" si="167"/>
        <v>0</v>
      </c>
      <c r="DV57" s="479"/>
      <c r="DW57" s="497">
        <f ca="1">IF(DV57&lt;TODAY(),TODAY(),DV57)</f>
        <v>43647</v>
      </c>
      <c r="DX57" s="556" t="str">
        <f t="shared" ca="1" si="168"/>
        <v>0</v>
      </c>
      <c r="DY57" s="484"/>
      <c r="DZ57" s="497">
        <f ca="1">IF(DY57&lt;TODAY(),TODAY(),DY57)</f>
        <v>43647</v>
      </c>
      <c r="EA57" s="481" t="str">
        <f t="shared" ca="1" si="169"/>
        <v>0</v>
      </c>
      <c r="EB57" s="484">
        <v>43499</v>
      </c>
      <c r="EC57" s="484">
        <f ca="1">IF(EB57&lt;TODAY(),TODAY(),EB57)</f>
        <v>43647</v>
      </c>
      <c r="ED57" s="481">
        <f t="shared" ca="1" si="170"/>
        <v>148</v>
      </c>
      <c r="EE57" s="485"/>
      <c r="EF57" s="485"/>
      <c r="EG57" s="481" t="str">
        <f t="shared" si="171"/>
        <v>0</v>
      </c>
      <c r="EH57" s="484"/>
      <c r="EI57" s="484">
        <f t="shared" ca="1" si="193"/>
        <v>43647</v>
      </c>
      <c r="EJ57" s="481" t="str">
        <f t="shared" ca="1" si="172"/>
        <v>0</v>
      </c>
      <c r="EK57" s="484">
        <v>43576</v>
      </c>
      <c r="EL57" s="484">
        <f ca="1">IF(EK57&lt;TODAY(),TODAY(),EK57)</f>
        <v>43647</v>
      </c>
      <c r="EM57" s="481">
        <f t="shared" ca="1" si="173"/>
        <v>71</v>
      </c>
      <c r="EN57" s="484"/>
      <c r="EO57" s="484"/>
      <c r="EP57" s="484"/>
      <c r="EQ57" s="654">
        <f t="shared" si="174"/>
        <v>43727</v>
      </c>
      <c r="ER57" s="653">
        <v>43621</v>
      </c>
      <c r="ES57" s="650" t="e">
        <f t="shared" si="175"/>
        <v>#NUM!</v>
      </c>
      <c r="ET57" s="933">
        <f t="shared" ca="1" si="176"/>
        <v>0</v>
      </c>
      <c r="EU57" s="927">
        <f t="shared" ca="1" si="191"/>
        <v>44378</v>
      </c>
      <c r="EV57" s="737"/>
      <c r="EW57" s="737"/>
      <c r="EX57" s="145"/>
      <c r="EY57" s="443"/>
      <c r="EZ57" s="747">
        <f t="shared" si="192"/>
        <v>43757</v>
      </c>
      <c r="FA57" s="653"/>
      <c r="FB57" s="518"/>
      <c r="FC57" s="647" t="e">
        <f t="shared" si="194"/>
        <v>#NUM!</v>
      </c>
      <c r="FD57" s="636"/>
      <c r="FE57" s="46" t="e">
        <f t="shared" si="177"/>
        <v>#NUM!</v>
      </c>
      <c r="FF57" s="91"/>
      <c r="FG57" s="502">
        <v>0</v>
      </c>
      <c r="FH57" s="502">
        <v>35542.79</v>
      </c>
      <c r="FI57" s="502">
        <v>17638</v>
      </c>
      <c r="FJ57" s="502">
        <v>14427</v>
      </c>
      <c r="FK57" s="502"/>
      <c r="FL57" s="664">
        <f t="shared" si="178"/>
        <v>0</v>
      </c>
      <c r="FM57" s="499"/>
      <c r="FN57" s="511"/>
      <c r="FO57" s="758" t="s">
        <v>816</v>
      </c>
      <c r="FP57" s="588" t="s">
        <v>589</v>
      </c>
      <c r="FQ57" s="94"/>
      <c r="FR57" s="94"/>
      <c r="FS57" s="94"/>
      <c r="FT57" s="94"/>
      <c r="FU57" s="94"/>
      <c r="FV57" s="39"/>
      <c r="FW57" s="212">
        <f t="shared" si="179"/>
        <v>43987</v>
      </c>
      <c r="FX57" s="212"/>
      <c r="FY57" s="39"/>
      <c r="FZ57" s="39"/>
      <c r="GA57" s="39"/>
      <c r="GB57" s="39"/>
      <c r="GC57" s="39"/>
      <c r="GD57" s="39"/>
      <c r="GE57" s="39"/>
      <c r="GF57" s="39"/>
      <c r="GG57" s="39"/>
      <c r="GH57" s="39"/>
      <c r="GI57" s="39"/>
      <c r="GJ57" s="39"/>
      <c r="GK57" s="39"/>
      <c r="GL57" s="742"/>
      <c r="GM57" s="979">
        <f t="shared" si="180"/>
        <v>197036.09</v>
      </c>
      <c r="GN57" s="772">
        <f>GS57+GV57+HA57+HQ57+GZ57+HF57+HD57+HE57</f>
        <v>197036.09</v>
      </c>
      <c r="GO57" s="53"/>
      <c r="GP57" s="898">
        <f>HA57+HB57+HF57</f>
        <v>19880</v>
      </c>
      <c r="GQ57" s="35" t="e">
        <f t="shared" si="182"/>
        <v>#DIV/0!</v>
      </c>
      <c r="GR57" s="35">
        <f t="shared" si="183"/>
        <v>19703.609</v>
      </c>
      <c r="GS57" s="573"/>
      <c r="GT57" s="577"/>
      <c r="GU57" s="35" t="e">
        <f>#REF!/AE57</f>
        <v>#REF!</v>
      </c>
      <c r="GV57" s="11">
        <v>177156.09</v>
      </c>
      <c r="GW57" s="67"/>
      <c r="GX57" s="67"/>
      <c r="GY57" s="567">
        <f t="shared" si="189"/>
        <v>17715.609</v>
      </c>
      <c r="GZ57" s="863"/>
      <c r="HA57" s="11">
        <v>18200</v>
      </c>
      <c r="HB57" s="53"/>
      <c r="HC57" s="28">
        <f t="shared" si="184"/>
        <v>9.2368865013510978E-2</v>
      </c>
      <c r="HD57" s="53"/>
      <c r="HE57" s="53"/>
      <c r="HF57" s="53">
        <v>1680</v>
      </c>
      <c r="HG57" s="35">
        <f t="shared" si="185"/>
        <v>1820</v>
      </c>
      <c r="HH57" s="35">
        <f t="shared" si="186"/>
        <v>1820</v>
      </c>
      <c r="HI57" s="70"/>
      <c r="HJ57" s="70"/>
      <c r="HK57" s="19" t="e">
        <f>(#REF!+#REF!+HJ57)/AE57</f>
        <v>#REF!</v>
      </c>
      <c r="HL57" s="70"/>
      <c r="HM57" s="35">
        <f t="shared" si="187"/>
        <v>1820</v>
      </c>
      <c r="HN57" s="36" t="e">
        <f>(#REF!+#REF!+HJ57+HL57)/(HI57+#REF!-HO57)</f>
        <v>#REF!</v>
      </c>
      <c r="HO57" s="70"/>
      <c r="HP57" s="70"/>
      <c r="HQ57" s="53"/>
      <c r="HR57" s="898"/>
      <c r="HS57" s="898"/>
      <c r="HT57" s="898"/>
      <c r="HU57" s="898">
        <f t="shared" ca="1" si="188"/>
        <v>0</v>
      </c>
      <c r="HV57" s="898"/>
      <c r="HW57" s="898"/>
      <c r="HX57" s="898">
        <f t="shared" ref="HX57:HX66" si="196">GP57-HW57</f>
        <v>19880</v>
      </c>
      <c r="HY57" s="898">
        <f t="shared" si="195"/>
        <v>0</v>
      </c>
      <c r="HZ57" s="898"/>
      <c r="IA57" s="29" t="e">
        <f>#REF!+HI57</f>
        <v>#REF!</v>
      </c>
      <c r="IB57" s="752"/>
      <c r="IC57" s="73"/>
      <c r="ID57" s="373"/>
      <c r="IE57" s="373"/>
      <c r="IF57" s="373"/>
    </row>
    <row r="58" spans="1:240" ht="20.100000000000001" customHeight="1">
      <c r="A58" s="981" t="s">
        <v>13</v>
      </c>
      <c r="B58" s="778"/>
      <c r="C58" s="39" t="s">
        <v>14</v>
      </c>
      <c r="D58" s="39" t="s">
        <v>92</v>
      </c>
      <c r="E58" s="39">
        <v>2014</v>
      </c>
      <c r="F58" s="39" t="s">
        <v>15</v>
      </c>
      <c r="G58" s="39" t="s">
        <v>16</v>
      </c>
      <c r="H58" s="39" t="s">
        <v>371</v>
      </c>
      <c r="I58" s="39" t="s">
        <v>140</v>
      </c>
      <c r="J58" s="39" t="s">
        <v>100</v>
      </c>
      <c r="K58" s="39"/>
      <c r="L58" s="199" t="s">
        <v>523</v>
      </c>
      <c r="M58" s="129" t="s">
        <v>49</v>
      </c>
      <c r="N58" s="130" t="s">
        <v>50</v>
      </c>
      <c r="O58" s="131"/>
      <c r="P58" s="167">
        <f>5311+1709</f>
        <v>7020</v>
      </c>
      <c r="Q58" s="167">
        <v>577000</v>
      </c>
      <c r="R58" s="167">
        <v>173455</v>
      </c>
      <c r="S58" s="161">
        <f>Q58/21</f>
        <v>27476.190476190477</v>
      </c>
      <c r="T58" s="167">
        <f t="shared" ref="T58:T64" si="197">Q58/P58</f>
        <v>82.193732193732188</v>
      </c>
      <c r="U58" s="167">
        <f t="shared" ref="U58:U64" si="198">R58/P58</f>
        <v>24.708689458689459</v>
      </c>
      <c r="V58" s="167">
        <f t="shared" ref="V58:V64" si="199">R58/AL58</f>
        <v>113.95918742773048</v>
      </c>
      <c r="W58" s="167">
        <f t="shared" ref="W58:W64" si="200">R58/AE58</f>
        <v>8259.7619047619046</v>
      </c>
      <c r="X58" s="161">
        <f t="shared" ref="X58:X64" si="201">P58/AE58</f>
        <v>334.28571428571428</v>
      </c>
      <c r="Y58" s="170"/>
      <c r="Z58" s="734">
        <f t="shared" si="153"/>
        <v>29.914529914529915</v>
      </c>
      <c r="AA58" s="170" t="s">
        <v>171</v>
      </c>
      <c r="AB58" s="162">
        <v>40</v>
      </c>
      <c r="AC58" s="163"/>
      <c r="AD58" s="39" t="s">
        <v>10</v>
      </c>
      <c r="AE58" s="674">
        <f t="shared" si="154"/>
        <v>21</v>
      </c>
      <c r="AF58" s="674">
        <f t="shared" si="155"/>
        <v>21</v>
      </c>
      <c r="AG58" s="50"/>
      <c r="AH58" s="39">
        <f>21*1</f>
        <v>21</v>
      </c>
      <c r="AI58" s="50"/>
      <c r="AJ58" s="9"/>
      <c r="AK58" s="209">
        <v>1522.08</v>
      </c>
      <c r="AL58" s="426">
        <v>1522.08</v>
      </c>
      <c r="AM58" s="875">
        <f t="shared" si="156"/>
        <v>72.47999999999999</v>
      </c>
      <c r="AN58" s="10">
        <f t="shared" si="157"/>
        <v>72.47999999999999</v>
      </c>
      <c r="AO58" s="43">
        <v>5.41</v>
      </c>
      <c r="AP58" s="43">
        <v>5.41</v>
      </c>
      <c r="AQ58" s="43">
        <v>392.41</v>
      </c>
      <c r="AR58" s="45">
        <v>0</v>
      </c>
      <c r="AS58" s="45">
        <v>7</v>
      </c>
      <c r="AT58" s="45">
        <v>8</v>
      </c>
      <c r="AU58" s="45">
        <v>5</v>
      </c>
      <c r="AV58" s="45">
        <v>1</v>
      </c>
      <c r="AW58" s="43"/>
      <c r="AX58" s="59"/>
      <c r="AY58" s="61">
        <f>AX58/P58</f>
        <v>0</v>
      </c>
      <c r="AZ58" s="43">
        <v>1</v>
      </c>
      <c r="BA58" s="40" t="s">
        <v>438</v>
      </c>
      <c r="BB58" s="39" t="s">
        <v>101</v>
      </c>
      <c r="BC58" s="39"/>
      <c r="BD58" s="39"/>
      <c r="BE58" s="39"/>
      <c r="BF58" s="39"/>
      <c r="BG58" s="87">
        <v>41438</v>
      </c>
      <c r="BH58" s="87">
        <v>40963</v>
      </c>
      <c r="BI58" s="159">
        <v>41848</v>
      </c>
      <c r="BJ58" s="75">
        <v>43010</v>
      </c>
      <c r="BK58" s="867" t="s">
        <v>250</v>
      </c>
      <c r="BL58" s="127">
        <v>42527</v>
      </c>
      <c r="BM58" s="951">
        <v>42594</v>
      </c>
      <c r="BN58" s="1007">
        <f t="shared" si="73"/>
        <v>2.2333333333333334</v>
      </c>
      <c r="BO58" s="953"/>
      <c r="BP58" s="127">
        <v>42686</v>
      </c>
      <c r="BQ58" s="127"/>
      <c r="BR58" s="225">
        <v>42736</v>
      </c>
      <c r="BS58" s="224">
        <f t="shared" si="158"/>
        <v>43466</v>
      </c>
      <c r="BT58" s="605">
        <f>13902+33446+35816</f>
        <v>83164</v>
      </c>
      <c r="BU58" s="224" t="str">
        <f t="shared" ref="BU58:BU64" si="202">IF(FA58&gt;BS58,"oui","non")</f>
        <v>oui</v>
      </c>
      <c r="BV58" s="784">
        <f t="shared" ref="BV58:BV64" si="203">(BS58-FA58)/30</f>
        <v>-5.9666666666666668</v>
      </c>
      <c r="BW58" s="605" t="str">
        <f t="shared" ref="BW58:BW64" si="204">IF((BV58*FD58)&lt;0,"0",BV58*FD58)</f>
        <v>0</v>
      </c>
      <c r="BX58" s="605">
        <f t="shared" ref="BX58:BX64" si="205">BT58-BW58</f>
        <v>83164</v>
      </c>
      <c r="BY58" s="702"/>
      <c r="BZ58" s="696"/>
      <c r="CA58" s="338"/>
      <c r="CB58" s="338"/>
      <c r="CC58" s="338"/>
      <c r="CD58" s="699"/>
      <c r="CE58" s="699"/>
      <c r="CF58" s="699"/>
      <c r="CG58" s="699"/>
      <c r="CH58" s="699"/>
      <c r="CI58" s="699"/>
      <c r="CJ58" s="699"/>
      <c r="CK58" s="360"/>
      <c r="CL58" s="360"/>
      <c r="CM58" s="360"/>
      <c r="CN58" s="360"/>
      <c r="CO58" s="360"/>
      <c r="CP58" s="360"/>
      <c r="CQ58" s="95"/>
      <c r="CR58" s="95"/>
      <c r="CS58" s="95"/>
      <c r="CT58" s="475" t="str">
        <f t="shared" si="159"/>
        <v>0</v>
      </c>
      <c r="CU58" s="95"/>
      <c r="CV58" s="95"/>
      <c r="CW58" s="475" t="str">
        <f t="shared" si="160"/>
        <v>0</v>
      </c>
      <c r="CX58" s="95"/>
      <c r="CY58" s="95"/>
      <c r="CZ58" s="475" t="str">
        <f t="shared" si="161"/>
        <v>0</v>
      </c>
      <c r="DA58" s="95"/>
      <c r="DB58" s="95"/>
      <c r="DC58" s="475" t="str">
        <f t="shared" si="162"/>
        <v>0</v>
      </c>
      <c r="DD58" s="95"/>
      <c r="DE58" s="95"/>
      <c r="DF58" s="475" t="str">
        <f t="shared" si="163"/>
        <v>0</v>
      </c>
      <c r="DG58" s="61"/>
      <c r="DH58" s="95"/>
      <c r="DI58" s="95"/>
      <c r="DJ58" s="95"/>
      <c r="DK58" s="475"/>
      <c r="DL58" s="95"/>
      <c r="DM58" s="331">
        <v>42933</v>
      </c>
      <c r="DN58" s="325">
        <v>2017</v>
      </c>
      <c r="DO58" s="434">
        <f t="shared" si="164"/>
        <v>36.166666666666664</v>
      </c>
      <c r="DP58" s="475" t="str">
        <f t="shared" si="165"/>
        <v>0</v>
      </c>
      <c r="DQ58" s="198">
        <v>15</v>
      </c>
      <c r="DR58" s="90">
        <f t="shared" si="166"/>
        <v>16</v>
      </c>
      <c r="DS58" s="95">
        <v>42965</v>
      </c>
      <c r="DT58" s="95">
        <v>43038</v>
      </c>
      <c r="DU58" s="475">
        <f t="shared" si="167"/>
        <v>73</v>
      </c>
      <c r="DV58" s="825">
        <v>43266</v>
      </c>
      <c r="DW58" s="512">
        <v>43284</v>
      </c>
      <c r="DX58" s="478">
        <f t="shared" si="168"/>
        <v>18</v>
      </c>
      <c r="DY58" s="666">
        <v>43294</v>
      </c>
      <c r="DZ58" s="983">
        <v>43300</v>
      </c>
      <c r="EA58" s="616">
        <f t="shared" si="169"/>
        <v>6</v>
      </c>
      <c r="EB58" s="95">
        <v>43336</v>
      </c>
      <c r="EC58" s="95">
        <v>43358</v>
      </c>
      <c r="ED58" s="475">
        <f t="shared" si="170"/>
        <v>22</v>
      </c>
      <c r="EE58" s="95">
        <v>43341</v>
      </c>
      <c r="EF58" s="95">
        <v>43389</v>
      </c>
      <c r="EG58" s="475">
        <f t="shared" si="171"/>
        <v>48</v>
      </c>
      <c r="EH58" s="95">
        <v>43355</v>
      </c>
      <c r="EI58" s="95">
        <v>43389</v>
      </c>
      <c r="EJ58" s="475">
        <f t="shared" si="172"/>
        <v>34</v>
      </c>
      <c r="EK58" s="150">
        <v>43376</v>
      </c>
      <c r="EL58" s="150">
        <v>43616</v>
      </c>
      <c r="EM58" s="892">
        <f t="shared" si="173"/>
        <v>240</v>
      </c>
      <c r="EN58" s="150">
        <v>43315</v>
      </c>
      <c r="EO58" s="150">
        <v>43315</v>
      </c>
      <c r="EP58" s="150">
        <v>43315</v>
      </c>
      <c r="EQ58" s="441">
        <f t="shared" si="174"/>
        <v>43390</v>
      </c>
      <c r="ER58" s="331">
        <v>43439</v>
      </c>
      <c r="ES58" s="684">
        <f t="shared" si="175"/>
        <v>1.6333333333333333</v>
      </c>
      <c r="ET58" s="930">
        <f t="shared" ca="1" si="176"/>
        <v>0</v>
      </c>
      <c r="EU58" s="984">
        <f t="shared" si="191"/>
        <v>44015</v>
      </c>
      <c r="EV58" s="986"/>
      <c r="EW58" s="89">
        <v>43367</v>
      </c>
      <c r="EX58" s="89">
        <v>43622</v>
      </c>
      <c r="EY58" s="441">
        <v>43627</v>
      </c>
      <c r="EZ58" s="746">
        <f t="shared" si="192"/>
        <v>43421</v>
      </c>
      <c r="FA58" s="331">
        <v>43645</v>
      </c>
      <c r="FB58" s="530">
        <v>2019</v>
      </c>
      <c r="FC58" s="679">
        <f t="shared" si="194"/>
        <v>7.4666666666666668</v>
      </c>
      <c r="FD58" s="629">
        <f>100499.898263388/12</f>
        <v>8374.9915219489994</v>
      </c>
      <c r="FE58" s="694">
        <f t="shared" si="177"/>
        <v>62533.270030552529</v>
      </c>
      <c r="FF58" s="427"/>
      <c r="FG58" s="502">
        <v>368628</v>
      </c>
      <c r="FH58" s="502">
        <v>331830</v>
      </c>
      <c r="FI58" s="528" t="s">
        <v>691</v>
      </c>
      <c r="FJ58" s="528">
        <v>0</v>
      </c>
      <c r="FK58" s="528">
        <v>0</v>
      </c>
      <c r="FL58" s="664">
        <f t="shared" si="178"/>
        <v>0</v>
      </c>
      <c r="FM58" s="500" t="s">
        <v>16</v>
      </c>
      <c r="FN58" s="827" t="s">
        <v>686</v>
      </c>
      <c r="FO58" s="828" t="s">
        <v>814</v>
      </c>
      <c r="FP58" s="829" t="s">
        <v>637</v>
      </c>
      <c r="FQ58" s="94"/>
      <c r="FR58" s="94"/>
      <c r="FS58" s="94"/>
      <c r="FT58" s="94"/>
      <c r="FU58" s="95">
        <v>43580</v>
      </c>
      <c r="FV58" s="39"/>
      <c r="FW58" s="212">
        <f t="shared" si="179"/>
        <v>43804</v>
      </c>
      <c r="FX58" s="212"/>
      <c r="FY58" s="39"/>
      <c r="FZ58" s="39"/>
      <c r="GA58" s="39"/>
      <c r="GB58" s="39"/>
      <c r="GC58" s="39"/>
      <c r="GD58" s="39"/>
      <c r="GE58" s="39"/>
      <c r="GF58" s="39"/>
      <c r="GG58" s="39"/>
      <c r="GH58" s="39"/>
      <c r="GI58" s="39"/>
      <c r="GJ58" s="39"/>
      <c r="GK58" s="39"/>
      <c r="GL58" s="742"/>
      <c r="GM58" s="979">
        <f t="shared" si="180"/>
        <v>3900791.5379665531</v>
      </c>
      <c r="GN58" s="772">
        <f>GS58+GV58+HA58+HQ58+GZ58+HF58+HD58+HE58+HI58-HO58</f>
        <v>4758550.1266665533</v>
      </c>
      <c r="GO58" s="683">
        <f t="shared" ref="GO58:GO64" si="206">GN58</f>
        <v>4758550.1266665533</v>
      </c>
      <c r="GP58" s="909">
        <f t="shared" ref="GP58:GP64" si="207">HA58+HB58+HF58+HE58+HJ58+HL58</f>
        <v>1162832.2</v>
      </c>
      <c r="GQ58" s="35">
        <f t="shared" si="182"/>
        <v>3126.3469243841018</v>
      </c>
      <c r="GR58" s="35">
        <f t="shared" si="183"/>
        <v>226597.62507935968</v>
      </c>
      <c r="GS58" s="53">
        <v>1273851.33</v>
      </c>
      <c r="GT58" s="577">
        <v>1268847</v>
      </c>
      <c r="GU58" s="35">
        <f>GS58/AE58</f>
        <v>60659.587142857148</v>
      </c>
      <c r="GV58" s="53">
        <f>GX58+GW58</f>
        <v>1784577</v>
      </c>
      <c r="GW58" s="67">
        <v>599672</v>
      </c>
      <c r="GX58" s="67">
        <v>1184905</v>
      </c>
      <c r="GY58" s="567">
        <f t="shared" si="189"/>
        <v>84979.857142857145</v>
      </c>
      <c r="GZ58" s="53"/>
      <c r="HA58" s="57">
        <v>442750</v>
      </c>
      <c r="HB58" s="57">
        <v>0</v>
      </c>
      <c r="HC58" s="28">
        <f t="shared" si="184"/>
        <v>9.3043046351211606E-2</v>
      </c>
      <c r="HD58" s="68"/>
      <c r="HE58" s="68"/>
      <c r="HF58" s="53">
        <v>112860</v>
      </c>
      <c r="HG58" s="35">
        <f t="shared" si="185"/>
        <v>21083.333333333332</v>
      </c>
      <c r="HH58" s="35">
        <f t="shared" si="186"/>
        <v>81742.920476190484</v>
      </c>
      <c r="HI58" s="70">
        <v>1034856.80735</v>
      </c>
      <c r="HJ58" s="70">
        <f>15000*AE58</f>
        <v>315000</v>
      </c>
      <c r="HK58" s="19">
        <f>(GS58+HA58+HJ58)/AE58</f>
        <v>96742.920476190484</v>
      </c>
      <c r="HL58" s="70">
        <v>292222.2</v>
      </c>
      <c r="HM58" s="19">
        <f t="shared" si="187"/>
        <v>110658.26333333335</v>
      </c>
      <c r="HN58" s="36">
        <f>(GS58+HA58+HJ58+HL58)/(HI58+GN58-HO58)</f>
        <v>0.4137634962340801</v>
      </c>
      <c r="HO58" s="70">
        <v>177098.21865</v>
      </c>
      <c r="HP58" s="70"/>
      <c r="HQ58" s="53">
        <v>286753.20796655299</v>
      </c>
      <c r="HR58" s="909">
        <f>2534551.60755+1262197</f>
        <v>3796748.6075499998</v>
      </c>
      <c r="HS58" s="907">
        <f t="shared" ref="HS58:HS64" si="208">HR58/GN58</f>
        <v>0.79787929232337162</v>
      </c>
      <c r="HT58" s="915">
        <f t="shared" ref="HT58:HT64" si="209">GN58-HR58</f>
        <v>961801.51911655348</v>
      </c>
      <c r="HU58" s="898">
        <f t="shared" ca="1" si="188"/>
        <v>961801.51911655348</v>
      </c>
      <c r="HV58" s="907">
        <f t="shared" ref="HV58:HV64" ca="1" si="210">(HU58+HR58)/GN58</f>
        <v>1</v>
      </c>
      <c r="HW58" s="898">
        <f>'[3]GLOBAL OPERATION'!$AG$76</f>
        <v>836746.44</v>
      </c>
      <c r="HX58" s="898">
        <f t="shared" si="196"/>
        <v>326085.76000000001</v>
      </c>
      <c r="HY58" s="907">
        <f t="shared" si="195"/>
        <v>0.71957625528429636</v>
      </c>
      <c r="HZ58" s="907"/>
      <c r="IA58" s="29">
        <f>GN58+HI58</f>
        <v>5793406.9340165537</v>
      </c>
      <c r="IB58" s="752"/>
      <c r="IC58" s="73"/>
      <c r="ID58" s="73"/>
      <c r="IE58" s="73"/>
      <c r="IF58" s="73"/>
    </row>
    <row r="59" spans="1:240" ht="29.25" customHeight="1">
      <c r="A59" s="787" t="s">
        <v>791</v>
      </c>
      <c r="B59" s="213" t="s">
        <v>890</v>
      </c>
      <c r="C59" s="39" t="s">
        <v>82</v>
      </c>
      <c r="D59" s="39" t="s">
        <v>94</v>
      </c>
      <c r="E59" s="39">
        <v>2017</v>
      </c>
      <c r="F59" s="39" t="s">
        <v>434</v>
      </c>
      <c r="G59" s="39" t="s">
        <v>299</v>
      </c>
      <c r="H59" s="8" t="s">
        <v>371</v>
      </c>
      <c r="I59" s="39" t="s">
        <v>141</v>
      </c>
      <c r="J59" s="39"/>
      <c r="K59" s="39" t="s">
        <v>334</v>
      </c>
      <c r="L59" s="199"/>
      <c r="M59" s="129"/>
      <c r="N59" s="130"/>
      <c r="O59" s="131"/>
      <c r="P59" s="161">
        <v>3474</v>
      </c>
      <c r="Q59" s="161">
        <v>1</v>
      </c>
      <c r="R59" s="161"/>
      <c r="S59" s="161">
        <f t="shared" ref="S59:S64" si="211">Q59/AE59</f>
        <v>5.0000000000000001E-3</v>
      </c>
      <c r="T59" s="161">
        <f t="shared" si="197"/>
        <v>2.878526194588371E-4</v>
      </c>
      <c r="U59" s="167">
        <f t="shared" si="198"/>
        <v>0</v>
      </c>
      <c r="V59" s="167">
        <f t="shared" si="199"/>
        <v>0</v>
      </c>
      <c r="W59" s="167">
        <f t="shared" si="200"/>
        <v>0</v>
      </c>
      <c r="X59" s="161">
        <f t="shared" si="201"/>
        <v>17.37</v>
      </c>
      <c r="Y59" s="162"/>
      <c r="Z59" s="733">
        <f t="shared" si="153"/>
        <v>575.70523891767414</v>
      </c>
      <c r="AA59" s="162"/>
      <c r="AB59" s="162">
        <v>70</v>
      </c>
      <c r="AC59" s="163"/>
      <c r="AD59" s="39" t="s">
        <v>333</v>
      </c>
      <c r="AE59" s="674">
        <f t="shared" si="154"/>
        <v>200</v>
      </c>
      <c r="AF59" s="674">
        <f t="shared" si="155"/>
        <v>200</v>
      </c>
      <c r="AG59" s="50"/>
      <c r="AH59" s="200"/>
      <c r="AI59" s="39">
        <v>200</v>
      </c>
      <c r="AJ59" s="9"/>
      <c r="AK59" s="209">
        <v>3391.22</v>
      </c>
      <c r="AL59" s="426">
        <v>4050.95</v>
      </c>
      <c r="AM59" s="875">
        <f t="shared" si="156"/>
        <v>16.956099999999999</v>
      </c>
      <c r="AN59" s="10">
        <f t="shared" si="157"/>
        <v>20.254749999999998</v>
      </c>
      <c r="AO59" s="43"/>
      <c r="AP59" s="43"/>
      <c r="AQ59" s="43"/>
      <c r="AR59" s="61"/>
      <c r="AS59" s="61"/>
      <c r="AT59" s="61"/>
      <c r="AU59" s="61"/>
      <c r="AV59" s="61"/>
      <c r="AW59" s="43"/>
      <c r="AX59" s="141"/>
      <c r="AY59" s="83"/>
      <c r="AZ59" s="43"/>
      <c r="BA59" s="42" t="s">
        <v>439</v>
      </c>
      <c r="BB59" s="39" t="s">
        <v>100</v>
      </c>
      <c r="BC59" s="45"/>
      <c r="BD59" s="45"/>
      <c r="BE59" s="689">
        <f>BC59/AL59</f>
        <v>0</v>
      </c>
      <c r="BF59" s="689"/>
      <c r="BG59" s="39"/>
      <c r="BH59" s="39"/>
      <c r="BI59" s="159">
        <v>43024</v>
      </c>
      <c r="BJ59" s="75"/>
      <c r="BK59" s="867" t="s">
        <v>250</v>
      </c>
      <c r="BL59" s="125">
        <v>43055</v>
      </c>
      <c r="BM59" s="158">
        <v>43074</v>
      </c>
      <c r="BN59" s="1007">
        <f t="shared" si="73"/>
        <v>0.6333333333333333</v>
      </c>
      <c r="BO59" s="954">
        <v>72311</v>
      </c>
      <c r="BP59" s="125">
        <f>DATE(YEAR(BM59),MONTH(BM59)+3,DAY(BM59))</f>
        <v>43164</v>
      </c>
      <c r="BQ59" s="125"/>
      <c r="BR59" s="225">
        <v>43191</v>
      </c>
      <c r="BS59" s="224">
        <f t="shared" si="158"/>
        <v>43922</v>
      </c>
      <c r="BT59" s="605">
        <f>122362+216619</f>
        <v>338981</v>
      </c>
      <c r="BU59" s="224" t="str">
        <f t="shared" si="202"/>
        <v>non</v>
      </c>
      <c r="BV59" s="784">
        <f t="shared" si="203"/>
        <v>7.6333333333333337</v>
      </c>
      <c r="BW59" s="605">
        <f t="shared" si="204"/>
        <v>0</v>
      </c>
      <c r="BX59" s="605">
        <f t="shared" si="205"/>
        <v>338981</v>
      </c>
      <c r="BY59" s="702"/>
      <c r="BZ59" s="708"/>
      <c r="CA59" s="703"/>
      <c r="CB59" s="703"/>
      <c r="CC59" s="703"/>
      <c r="CD59" s="699"/>
      <c r="CE59" s="699"/>
      <c r="CF59" s="699"/>
      <c r="CG59" s="699"/>
      <c r="CH59" s="699"/>
      <c r="CI59" s="699"/>
      <c r="CJ59" s="699"/>
      <c r="CK59" s="699"/>
      <c r="CL59" s="699"/>
      <c r="CM59" s="699"/>
      <c r="CN59" s="699"/>
      <c r="CO59" s="699"/>
      <c r="CP59" s="699"/>
      <c r="CQ59" s="427"/>
      <c r="CR59" s="95"/>
      <c r="CS59" s="95"/>
      <c r="CT59" s="475" t="str">
        <f t="shared" si="159"/>
        <v>0</v>
      </c>
      <c r="CU59" s="95"/>
      <c r="CV59" s="95"/>
      <c r="CW59" s="475" t="str">
        <f t="shared" si="160"/>
        <v>0</v>
      </c>
      <c r="CX59" s="237"/>
      <c r="CY59" s="237"/>
      <c r="CZ59" s="475" t="str">
        <f t="shared" si="161"/>
        <v>0</v>
      </c>
      <c r="DA59" s="95"/>
      <c r="DB59" s="95"/>
      <c r="DC59" s="475" t="str">
        <f t="shared" si="162"/>
        <v>0</v>
      </c>
      <c r="DD59" s="95"/>
      <c r="DE59" s="95"/>
      <c r="DF59" s="475" t="str">
        <f t="shared" si="163"/>
        <v>0</v>
      </c>
      <c r="DG59" s="438"/>
      <c r="DH59" s="428"/>
      <c r="DI59" s="237"/>
      <c r="DJ59" s="95"/>
      <c r="DK59" s="475"/>
      <c r="DL59" s="237"/>
      <c r="DM59" s="430">
        <v>43091</v>
      </c>
      <c r="DN59" s="431">
        <v>2017</v>
      </c>
      <c r="DO59" s="436">
        <f t="shared" si="164"/>
        <v>2.2333333333333334</v>
      </c>
      <c r="DP59" s="475" t="str">
        <f t="shared" si="165"/>
        <v>0</v>
      </c>
      <c r="DQ59" s="198">
        <v>18</v>
      </c>
      <c r="DR59" s="90">
        <f t="shared" si="166"/>
        <v>18</v>
      </c>
      <c r="DS59" s="427"/>
      <c r="DT59" s="95">
        <v>43167</v>
      </c>
      <c r="DU59" s="475" t="str">
        <f t="shared" si="167"/>
        <v>0</v>
      </c>
      <c r="DV59" s="427"/>
      <c r="DW59" s="555">
        <v>43251</v>
      </c>
      <c r="DX59" s="478" t="str">
        <f t="shared" si="168"/>
        <v>0</v>
      </c>
      <c r="DY59" s="95"/>
      <c r="DZ59" s="555">
        <v>43403</v>
      </c>
      <c r="EA59" s="475" t="str">
        <f t="shared" si="169"/>
        <v>0</v>
      </c>
      <c r="EB59" s="95">
        <v>43495</v>
      </c>
      <c r="EC59" s="95">
        <v>43521</v>
      </c>
      <c r="ED59" s="475">
        <f t="shared" si="170"/>
        <v>26</v>
      </c>
      <c r="EE59" s="87">
        <v>43534</v>
      </c>
      <c r="EF59" s="95">
        <v>43578</v>
      </c>
      <c r="EG59" s="475">
        <f t="shared" si="171"/>
        <v>44</v>
      </c>
      <c r="EH59" s="150">
        <v>43678</v>
      </c>
      <c r="EI59" s="150">
        <v>43558</v>
      </c>
      <c r="EJ59" s="890">
        <f t="shared" si="172"/>
        <v>-120</v>
      </c>
      <c r="EK59" s="484">
        <v>43678</v>
      </c>
      <c r="EL59" s="484">
        <f ca="1">IF(EK59&lt;TODAY(),TODAY(),EK59)</f>
        <v>43678</v>
      </c>
      <c r="EM59" s="481">
        <f t="shared" ca="1" si="173"/>
        <v>0</v>
      </c>
      <c r="EN59" s="484"/>
      <c r="EO59" s="484"/>
      <c r="EP59" s="484"/>
      <c r="EQ59" s="654">
        <f t="shared" si="174"/>
        <v>43638</v>
      </c>
      <c r="ER59" s="653">
        <v>43648</v>
      </c>
      <c r="ES59" s="650">
        <f t="shared" si="175"/>
        <v>0.33333333333333331</v>
      </c>
      <c r="ET59" s="932">
        <f t="shared" ca="1" si="176"/>
        <v>3.3333333333333333E-2</v>
      </c>
      <c r="EU59" s="926">
        <f t="shared" si="191"/>
        <v>43982</v>
      </c>
      <c r="EV59" s="748"/>
      <c r="EW59" s="737"/>
      <c r="EX59" s="145"/>
      <c r="EY59" s="443"/>
      <c r="EZ59" s="747">
        <f t="shared" si="192"/>
        <v>43668</v>
      </c>
      <c r="FA59" s="653">
        <v>43693</v>
      </c>
      <c r="FB59" s="518"/>
      <c r="FC59" s="647">
        <f t="shared" si="194"/>
        <v>0.83333333333333337</v>
      </c>
      <c r="FD59" s="636"/>
      <c r="FE59" s="46">
        <f t="shared" si="177"/>
        <v>0</v>
      </c>
      <c r="FF59" s="91"/>
      <c r="FG59" s="502">
        <v>0</v>
      </c>
      <c r="FH59" s="502">
        <v>0</v>
      </c>
      <c r="FI59" s="502"/>
      <c r="FJ59" s="502"/>
      <c r="FK59" s="502"/>
      <c r="FL59" s="664">
        <f t="shared" si="178"/>
        <v>0</v>
      </c>
      <c r="FM59" s="499"/>
      <c r="FN59" s="511"/>
      <c r="FO59" s="757"/>
      <c r="FP59" s="499"/>
      <c r="FQ59" s="94"/>
      <c r="FR59" s="94"/>
      <c r="FS59" s="94"/>
      <c r="FT59" s="94"/>
      <c r="FU59" s="94"/>
      <c r="FV59" s="39"/>
      <c r="FW59" s="212">
        <f t="shared" si="179"/>
        <v>44014</v>
      </c>
      <c r="FX59" s="212"/>
      <c r="FY59" s="39"/>
      <c r="FZ59" s="39"/>
      <c r="GA59" s="39"/>
      <c r="GB59" s="39"/>
      <c r="GC59" s="39"/>
      <c r="GD59" s="39"/>
      <c r="GE59" s="39"/>
      <c r="GF59" s="39"/>
      <c r="GG59" s="39"/>
      <c r="GH59" s="39"/>
      <c r="GI59" s="39"/>
      <c r="GJ59" s="39"/>
      <c r="GK59" s="39"/>
      <c r="GL59" s="742"/>
      <c r="GM59" s="979">
        <f t="shared" si="180"/>
        <v>11717406.772567019</v>
      </c>
      <c r="GN59" s="772">
        <f>GS59+GV59+HA59+HQ59+GZ59+HF59+HD59+HE59</f>
        <v>11717406.772567019</v>
      </c>
      <c r="GO59" s="683">
        <f t="shared" si="206"/>
        <v>11717406.772567019</v>
      </c>
      <c r="GP59" s="909">
        <f t="shared" si="207"/>
        <v>2455688</v>
      </c>
      <c r="GQ59" s="35">
        <f t="shared" si="182"/>
        <v>2892.5083678068154</v>
      </c>
      <c r="GR59" s="35">
        <f t="shared" si="183"/>
        <v>58587.033862835095</v>
      </c>
      <c r="GS59" s="53">
        <v>3407659.7725670198</v>
      </c>
      <c r="GT59" s="577">
        <v>3306813</v>
      </c>
      <c r="GU59" s="35">
        <f>GS59/AE59</f>
        <v>17038.298862835098</v>
      </c>
      <c r="GV59" s="53">
        <v>5854059</v>
      </c>
      <c r="GW59" s="367"/>
      <c r="GX59" s="367"/>
      <c r="GY59" s="567">
        <f t="shared" si="189"/>
        <v>29270.294999999998</v>
      </c>
      <c r="GZ59" s="53"/>
      <c r="HA59" s="53"/>
      <c r="HB59" s="53"/>
      <c r="HC59" s="28">
        <f t="shared" si="184"/>
        <v>0</v>
      </c>
      <c r="HD59" s="53"/>
      <c r="HE59" s="53">
        <v>1227844</v>
      </c>
      <c r="HF59" s="53">
        <f>1227844</f>
        <v>1227844</v>
      </c>
      <c r="HG59" s="35">
        <f t="shared" si="185"/>
        <v>0</v>
      </c>
      <c r="HH59" s="35">
        <f t="shared" si="186"/>
        <v>17038.298862835098</v>
      </c>
      <c r="HI59" s="70"/>
      <c r="HJ59" s="70"/>
      <c r="HK59" s="19">
        <f>(GS59+HA59+HJ59)/AE59</f>
        <v>17038.298862835098</v>
      </c>
      <c r="HL59" s="70"/>
      <c r="HM59" s="19">
        <f t="shared" si="187"/>
        <v>17038.298862835098</v>
      </c>
      <c r="HN59" s="36">
        <f>(GS59+HA59+HJ59+HL59)/(HI59+GN59-HO59)</f>
        <v>0.29082030168527456</v>
      </c>
      <c r="HO59" s="70"/>
      <c r="HP59" s="70"/>
      <c r="HQ59" s="53">
        <f t="shared" ref="HQ59:HQ64" si="212">FH59</f>
        <v>0</v>
      </c>
      <c r="HR59" s="910">
        <v>9572866.6500000004</v>
      </c>
      <c r="HS59" s="907">
        <f t="shared" si="208"/>
        <v>0.81697826454332456</v>
      </c>
      <c r="HT59" s="915">
        <f t="shared" si="209"/>
        <v>2144540.1225670185</v>
      </c>
      <c r="HU59" s="898">
        <f t="shared" ca="1" si="188"/>
        <v>2144540.1225670185</v>
      </c>
      <c r="HV59" s="907">
        <f t="shared" ca="1" si="210"/>
        <v>1</v>
      </c>
      <c r="HW59" s="899">
        <f>'[3]GLOBAL OPERATION'!$AG$62</f>
        <v>1227844</v>
      </c>
      <c r="HX59" s="899">
        <f t="shared" si="196"/>
        <v>1227844</v>
      </c>
      <c r="HY59" s="908">
        <f t="shared" si="195"/>
        <v>0.5</v>
      </c>
      <c r="HZ59" s="908"/>
      <c r="IA59" s="29" t="e">
        <f>#REF!+HI59</f>
        <v>#REF!</v>
      </c>
      <c r="IB59" s="752"/>
      <c r="IC59" s="73"/>
      <c r="ID59" s="73"/>
      <c r="IE59" s="73"/>
      <c r="IF59" s="73"/>
    </row>
    <row r="60" spans="1:240" ht="20.100000000000001" customHeight="1">
      <c r="A60" s="787" t="s">
        <v>792</v>
      </c>
      <c r="B60" s="213" t="s">
        <v>805</v>
      </c>
      <c r="C60" s="39" t="s">
        <v>21</v>
      </c>
      <c r="D60" s="39" t="s">
        <v>92</v>
      </c>
      <c r="E60" s="39">
        <v>2018</v>
      </c>
      <c r="F60" s="39" t="s">
        <v>435</v>
      </c>
      <c r="G60" s="39" t="s">
        <v>299</v>
      </c>
      <c r="H60" s="8" t="s">
        <v>371</v>
      </c>
      <c r="I60" s="39" t="s">
        <v>141</v>
      </c>
      <c r="J60" s="39"/>
      <c r="K60" s="39" t="s">
        <v>335</v>
      </c>
      <c r="L60" s="199"/>
      <c r="M60" s="129"/>
      <c r="N60" s="130"/>
      <c r="O60" s="131"/>
      <c r="P60" s="161">
        <v>1952</v>
      </c>
      <c r="Q60" s="161">
        <v>1</v>
      </c>
      <c r="R60" s="161"/>
      <c r="S60" s="161">
        <f t="shared" si="211"/>
        <v>0.01</v>
      </c>
      <c r="T60" s="161">
        <f t="shared" si="197"/>
        <v>5.1229508196721314E-4</v>
      </c>
      <c r="U60" s="167">
        <f t="shared" si="198"/>
        <v>0</v>
      </c>
      <c r="V60" s="167">
        <f t="shared" si="199"/>
        <v>0</v>
      </c>
      <c r="W60" s="167">
        <f t="shared" si="200"/>
        <v>0</v>
      </c>
      <c r="X60" s="161">
        <f t="shared" si="201"/>
        <v>19.52</v>
      </c>
      <c r="Y60" s="162"/>
      <c r="Z60" s="733">
        <f t="shared" si="153"/>
        <v>512.29508196721315</v>
      </c>
      <c r="AA60" s="162"/>
      <c r="AB60" s="162">
        <v>500</v>
      </c>
      <c r="AC60" s="163"/>
      <c r="AD60" s="39" t="s">
        <v>333</v>
      </c>
      <c r="AE60" s="674">
        <f t="shared" si="154"/>
        <v>100</v>
      </c>
      <c r="AF60" s="674">
        <f t="shared" si="155"/>
        <v>100</v>
      </c>
      <c r="AG60" s="50"/>
      <c r="AH60" s="50"/>
      <c r="AI60" s="39">
        <v>100</v>
      </c>
      <c r="AJ60" s="9"/>
      <c r="AK60" s="209">
        <v>1701.83</v>
      </c>
      <c r="AL60" s="426">
        <v>1923.47</v>
      </c>
      <c r="AM60" s="875">
        <f t="shared" si="156"/>
        <v>17.0183</v>
      </c>
      <c r="AN60" s="10">
        <f t="shared" si="157"/>
        <v>19.2347</v>
      </c>
      <c r="AO60" s="43"/>
      <c r="AP60" s="43"/>
      <c r="AQ60" s="43"/>
      <c r="AR60" s="61"/>
      <c r="AS60" s="61"/>
      <c r="AT60" s="61"/>
      <c r="AU60" s="61"/>
      <c r="AV60" s="61"/>
      <c r="AW60" s="43"/>
      <c r="AX60" s="141"/>
      <c r="AY60" s="83"/>
      <c r="AZ60" s="43"/>
      <c r="BA60" s="42" t="s">
        <v>439</v>
      </c>
      <c r="BB60" s="39" t="s">
        <v>100</v>
      </c>
      <c r="BC60" s="45"/>
      <c r="BD60" s="45"/>
      <c r="BE60" s="689">
        <f>BC60/AL60</f>
        <v>0</v>
      </c>
      <c r="BF60" s="689"/>
      <c r="BG60" s="39"/>
      <c r="BH60" s="39"/>
      <c r="BI60" s="159">
        <v>43102</v>
      </c>
      <c r="BJ60" s="75">
        <v>43116</v>
      </c>
      <c r="BK60" s="867" t="s">
        <v>250</v>
      </c>
      <c r="BL60" s="125">
        <v>43112</v>
      </c>
      <c r="BM60" s="157">
        <v>43144</v>
      </c>
      <c r="BN60" s="1007">
        <f t="shared" si="73"/>
        <v>1.0666666666666667</v>
      </c>
      <c r="BO60" s="954">
        <v>74911</v>
      </c>
      <c r="BP60" s="125">
        <f>DATE(YEAR(BM60),MONTH(BM60)+3,DAY(BM60))</f>
        <v>43233</v>
      </c>
      <c r="BQ60" s="125">
        <v>43160</v>
      </c>
      <c r="BR60" s="225">
        <v>43252</v>
      </c>
      <c r="BS60" s="224">
        <f t="shared" si="158"/>
        <v>43983</v>
      </c>
      <c r="BT60" s="605">
        <f>63685+116945</f>
        <v>180630</v>
      </c>
      <c r="BU60" s="224" t="str">
        <f t="shared" si="202"/>
        <v>non</v>
      </c>
      <c r="BV60" s="605">
        <f t="shared" si="203"/>
        <v>9.6666666666666661</v>
      </c>
      <c r="BW60" s="605">
        <f t="shared" si="204"/>
        <v>0</v>
      </c>
      <c r="BX60" s="605">
        <f t="shared" si="205"/>
        <v>180630</v>
      </c>
      <c r="BY60" s="702" t="s">
        <v>635</v>
      </c>
      <c r="BZ60" s="702">
        <v>43163</v>
      </c>
      <c r="CA60" s="703"/>
      <c r="CB60" s="703"/>
      <c r="CC60" s="703"/>
      <c r="CD60" s="699">
        <v>43178</v>
      </c>
      <c r="CE60" s="699"/>
      <c r="CF60" s="699"/>
      <c r="CG60" s="699"/>
      <c r="CH60" s="699"/>
      <c r="CI60" s="699"/>
      <c r="CJ60" s="699"/>
      <c r="CK60" s="699"/>
      <c r="CL60" s="699"/>
      <c r="CM60" s="699"/>
      <c r="CN60" s="699"/>
      <c r="CO60" s="699"/>
      <c r="CP60" s="699"/>
      <c r="CQ60" s="488"/>
      <c r="CR60" s="490"/>
      <c r="CS60" s="490"/>
      <c r="CT60" s="475" t="str">
        <f t="shared" si="159"/>
        <v>0</v>
      </c>
      <c r="CU60" s="490">
        <v>42775</v>
      </c>
      <c r="CV60" s="490">
        <v>42871</v>
      </c>
      <c r="CW60" s="475">
        <f t="shared" si="160"/>
        <v>96</v>
      </c>
      <c r="CX60" s="490"/>
      <c r="CY60" s="490"/>
      <c r="CZ60" s="475" t="str">
        <f t="shared" si="161"/>
        <v>0</v>
      </c>
      <c r="DA60" s="490"/>
      <c r="DB60" s="488">
        <f ca="1">IF(DA60&lt;TODAY(),TODAY(),DA60)</f>
        <v>43647</v>
      </c>
      <c r="DC60" s="475" t="str">
        <f t="shared" ca="1" si="162"/>
        <v>0</v>
      </c>
      <c r="DD60" s="490"/>
      <c r="DE60" s="490">
        <f ca="1">IF(DD60&lt;TODAY(),TODAY(),DD60)</f>
        <v>43647</v>
      </c>
      <c r="DF60" s="475" t="str">
        <f t="shared" ca="1" si="163"/>
        <v>0</v>
      </c>
      <c r="DG60" s="438"/>
      <c r="DH60" s="302"/>
      <c r="DI60" s="301"/>
      <c r="DJ60" s="150"/>
      <c r="DK60" s="890" t="str">
        <f>IF(AND(DI60&gt;0,DJ60&gt;0),DJ60-DI60,"0")</f>
        <v>0</v>
      </c>
      <c r="DL60" s="301"/>
      <c r="DM60" s="430">
        <v>43168</v>
      </c>
      <c r="DN60" s="323">
        <v>2018</v>
      </c>
      <c r="DO60" s="433">
        <f t="shared" si="164"/>
        <v>2.2000000000000002</v>
      </c>
      <c r="DP60" s="475" t="str">
        <f t="shared" si="165"/>
        <v>0</v>
      </c>
      <c r="DQ60" s="198">
        <v>17</v>
      </c>
      <c r="DR60" s="198">
        <f t="shared" si="166"/>
        <v>16</v>
      </c>
      <c r="DS60" s="237"/>
      <c r="DT60" s="237">
        <v>43307</v>
      </c>
      <c r="DU60" s="616" t="str">
        <f t="shared" si="167"/>
        <v>0</v>
      </c>
      <c r="DV60" s="237"/>
      <c r="DW60" s="237">
        <v>43348</v>
      </c>
      <c r="DX60" s="556" t="str">
        <f t="shared" si="168"/>
        <v>0</v>
      </c>
      <c r="DY60" s="486">
        <v>43511</v>
      </c>
      <c r="DZ60" s="754">
        <f ca="1">IF(DY60&lt;TODAY(),TODAY(),DY60)</f>
        <v>43647</v>
      </c>
      <c r="EA60" s="481">
        <f t="shared" ca="1" si="169"/>
        <v>136</v>
      </c>
      <c r="EB60" s="150">
        <v>43565</v>
      </c>
      <c r="EC60" s="150">
        <v>43544</v>
      </c>
      <c r="ED60" s="890">
        <f t="shared" si="170"/>
        <v>-21</v>
      </c>
      <c r="EE60" s="87">
        <v>43565</v>
      </c>
      <c r="EF60" s="95">
        <v>43578</v>
      </c>
      <c r="EG60" s="475">
        <f t="shared" si="171"/>
        <v>13</v>
      </c>
      <c r="EH60" s="484">
        <v>43595</v>
      </c>
      <c r="EI60" s="484">
        <f ca="1">IF(EH60&lt;TODAY(),TODAY(),EH60)</f>
        <v>43647</v>
      </c>
      <c r="EJ60" s="481">
        <f t="shared" ca="1" si="172"/>
        <v>52</v>
      </c>
      <c r="EK60" s="484">
        <v>43678</v>
      </c>
      <c r="EL60" s="484">
        <f ca="1">IF(EK60&lt;TODAY(),TODAY(),EK60)</f>
        <v>43678</v>
      </c>
      <c r="EM60" s="481">
        <f t="shared" ca="1" si="173"/>
        <v>0</v>
      </c>
      <c r="EN60" s="484"/>
      <c r="EO60" s="484"/>
      <c r="EP60" s="484"/>
      <c r="EQ60" s="654">
        <f t="shared" si="174"/>
        <v>43686</v>
      </c>
      <c r="ER60" s="653">
        <v>43669</v>
      </c>
      <c r="ES60" s="650" t="e">
        <f t="shared" si="175"/>
        <v>#NUM!</v>
      </c>
      <c r="ET60" s="932">
        <f t="shared" ca="1" si="176"/>
        <v>0.73333333333333328</v>
      </c>
      <c r="EU60" s="926">
        <f t="shared" si="191"/>
        <v>44079</v>
      </c>
      <c r="EV60" s="748"/>
      <c r="EW60" s="737"/>
      <c r="EX60" s="145"/>
      <c r="EY60" s="443"/>
      <c r="EZ60" s="747">
        <v>43693</v>
      </c>
      <c r="FA60" s="653">
        <v>43693</v>
      </c>
      <c r="FB60" s="518"/>
      <c r="FC60" s="647">
        <f t="shared" si="194"/>
        <v>0</v>
      </c>
      <c r="FD60" s="636"/>
      <c r="FE60" s="46">
        <f t="shared" si="177"/>
        <v>0</v>
      </c>
      <c r="FF60" s="91"/>
      <c r="FG60" s="502">
        <v>0</v>
      </c>
      <c r="FH60" s="502">
        <v>0</v>
      </c>
      <c r="FI60" s="502"/>
      <c r="FJ60" s="502"/>
      <c r="FK60" s="502"/>
      <c r="FL60" s="664">
        <f t="shared" si="178"/>
        <v>0</v>
      </c>
      <c r="FM60" s="499"/>
      <c r="FN60" s="511"/>
      <c r="FO60" s="756"/>
      <c r="FP60" s="511" t="s">
        <v>621</v>
      </c>
      <c r="FQ60" s="94"/>
      <c r="FR60" s="94"/>
      <c r="FS60" s="94"/>
      <c r="FT60" s="94"/>
      <c r="FU60" s="94"/>
      <c r="FV60" s="39"/>
      <c r="FW60" s="212">
        <f t="shared" si="179"/>
        <v>44035</v>
      </c>
      <c r="FX60" s="212"/>
      <c r="FY60" s="39"/>
      <c r="FZ60" s="39"/>
      <c r="GA60" s="39"/>
      <c r="GB60" s="39"/>
      <c r="GC60" s="39"/>
      <c r="GD60" s="39"/>
      <c r="GE60" s="39"/>
      <c r="GF60" s="39"/>
      <c r="GG60" s="39"/>
      <c r="GH60" s="39"/>
      <c r="GI60" s="39"/>
      <c r="GJ60" s="39"/>
      <c r="GK60" s="39"/>
      <c r="GL60" s="742"/>
      <c r="GM60" s="979">
        <f t="shared" si="180"/>
        <v>6236912</v>
      </c>
      <c r="GN60" s="772">
        <f>GS60+GV60+HA60+HQ60+GZ60+HF60+HD60+HE60</f>
        <v>6236912</v>
      </c>
      <c r="GO60" s="53">
        <f t="shared" si="206"/>
        <v>6236912</v>
      </c>
      <c r="GP60" s="909">
        <f t="shared" si="207"/>
        <v>1310250</v>
      </c>
      <c r="GQ60" s="35">
        <f t="shared" si="182"/>
        <v>3242.5314665682336</v>
      </c>
      <c r="GR60" s="35">
        <f t="shared" si="183"/>
        <v>62369.120000000003</v>
      </c>
      <c r="GS60" s="53">
        <v>1736993</v>
      </c>
      <c r="GT60" s="577">
        <v>1736993</v>
      </c>
      <c r="GU60" s="35">
        <f>GS60/AE60</f>
        <v>17369.93</v>
      </c>
      <c r="GV60" s="53">
        <v>3189669</v>
      </c>
      <c r="GW60" s="367"/>
      <c r="GX60" s="367"/>
      <c r="GY60" s="567">
        <f t="shared" si="189"/>
        <v>31896.69</v>
      </c>
      <c r="GZ60" s="53"/>
      <c r="HA60" s="53"/>
      <c r="HB60" s="53"/>
      <c r="HC60" s="28">
        <f t="shared" si="184"/>
        <v>0</v>
      </c>
      <c r="HD60" s="53"/>
      <c r="HE60" s="53">
        <v>655125</v>
      </c>
      <c r="HF60" s="53">
        <f>655125</f>
        <v>655125</v>
      </c>
      <c r="HG60" s="35">
        <f t="shared" si="185"/>
        <v>0</v>
      </c>
      <c r="HH60" s="35">
        <f t="shared" si="186"/>
        <v>17369.93</v>
      </c>
      <c r="HI60" s="70"/>
      <c r="HJ60" s="70"/>
      <c r="HK60" s="19">
        <f>(GS60+HA60+HJ60)/AE60</f>
        <v>17369.93</v>
      </c>
      <c r="HL60" s="70"/>
      <c r="HM60" s="19">
        <f t="shared" si="187"/>
        <v>17369.93</v>
      </c>
      <c r="HN60" s="36">
        <f>(GS60+HA60+HJ60+HL60)/(HI60+GN60-HO60)</f>
        <v>0.27850208564751272</v>
      </c>
      <c r="HO60" s="70"/>
      <c r="HP60" s="70"/>
      <c r="HQ60" s="53">
        <f t="shared" si="212"/>
        <v>0</v>
      </c>
      <c r="HR60" s="909">
        <v>4846748.1499999994</v>
      </c>
      <c r="HS60" s="907">
        <f t="shared" si="208"/>
        <v>0.77710702828579259</v>
      </c>
      <c r="HT60" s="915">
        <f t="shared" si="209"/>
        <v>1390163.8500000006</v>
      </c>
      <c r="HU60" s="898">
        <f t="shared" ca="1" si="188"/>
        <v>1390163.8500000006</v>
      </c>
      <c r="HV60" s="907">
        <f t="shared" ca="1" si="210"/>
        <v>1</v>
      </c>
      <c r="HW60" s="898">
        <f>'[3]GLOBAL OPERATION'!$AG$63</f>
        <v>655125</v>
      </c>
      <c r="HX60" s="898">
        <f t="shared" si="196"/>
        <v>655125</v>
      </c>
      <c r="HY60" s="907">
        <f t="shared" si="195"/>
        <v>0.5</v>
      </c>
      <c r="HZ60" s="907"/>
      <c r="IA60" s="29" t="e">
        <f>#REF!+HI60</f>
        <v>#REF!</v>
      </c>
      <c r="IB60" s="752"/>
      <c r="IC60" s="73"/>
      <c r="ID60" s="73"/>
      <c r="IE60" s="73"/>
      <c r="IF60" s="73"/>
    </row>
    <row r="61" spans="1:240" ht="20.100000000000001" customHeight="1">
      <c r="A61" s="981" t="s">
        <v>793</v>
      </c>
      <c r="B61" s="778"/>
      <c r="C61" s="39" t="s">
        <v>14</v>
      </c>
      <c r="D61" s="39" t="s">
        <v>92</v>
      </c>
      <c r="E61" s="39">
        <v>2015</v>
      </c>
      <c r="F61" s="39" t="s">
        <v>409</v>
      </c>
      <c r="G61" s="39" t="s">
        <v>16</v>
      </c>
      <c r="H61" s="39" t="s">
        <v>371</v>
      </c>
      <c r="I61" s="39" t="s">
        <v>140</v>
      </c>
      <c r="J61" s="39"/>
      <c r="K61" s="39"/>
      <c r="L61" s="199"/>
      <c r="M61" s="129"/>
      <c r="N61" s="130" t="s">
        <v>118</v>
      </c>
      <c r="O61" s="131"/>
      <c r="P61" s="167">
        <v>3038</v>
      </c>
      <c r="Q61" s="167">
        <f>R61</f>
        <v>690000</v>
      </c>
      <c r="R61" s="167">
        <v>690000</v>
      </c>
      <c r="S61" s="161">
        <f t="shared" si="211"/>
        <v>12545.454545454546</v>
      </c>
      <c r="T61" s="167">
        <f t="shared" si="197"/>
        <v>227.12310730743911</v>
      </c>
      <c r="U61" s="167">
        <f t="shared" si="198"/>
        <v>227.12310730743911</v>
      </c>
      <c r="V61" s="167">
        <f t="shared" si="199"/>
        <v>213.33828030794919</v>
      </c>
      <c r="W61" s="167">
        <f t="shared" si="200"/>
        <v>12545.454545454546</v>
      </c>
      <c r="X61" s="161">
        <f t="shared" si="201"/>
        <v>55.236363636363635</v>
      </c>
      <c r="Y61" s="170"/>
      <c r="Z61" s="734">
        <f t="shared" si="153"/>
        <v>181.04015799868336</v>
      </c>
      <c r="AA61" s="170" t="s">
        <v>152</v>
      </c>
      <c r="AB61" s="162"/>
      <c r="AC61" s="163"/>
      <c r="AD61" s="40" t="s">
        <v>10</v>
      </c>
      <c r="AE61" s="674">
        <f t="shared" si="154"/>
        <v>55</v>
      </c>
      <c r="AF61" s="674">
        <f t="shared" si="155"/>
        <v>55</v>
      </c>
      <c r="AG61" s="50"/>
      <c r="AH61" s="39">
        <f>55*1</f>
        <v>55</v>
      </c>
      <c r="AI61" s="50"/>
      <c r="AJ61" s="9"/>
      <c r="AK61" s="209">
        <v>3155.3</v>
      </c>
      <c r="AL61" s="422">
        <v>3234.2999999999997</v>
      </c>
      <c r="AM61" s="875">
        <f t="shared" si="156"/>
        <v>57.369090909090914</v>
      </c>
      <c r="AN61" s="10">
        <f t="shared" si="157"/>
        <v>58.805454545454538</v>
      </c>
      <c r="AO61" s="43">
        <v>5.93</v>
      </c>
      <c r="AP61" s="43">
        <v>5.78</v>
      </c>
      <c r="AQ61" s="43">
        <v>340.06</v>
      </c>
      <c r="AR61" s="45"/>
      <c r="AS61" s="61">
        <v>1</v>
      </c>
      <c r="AT61" s="45"/>
      <c r="AU61" s="45"/>
      <c r="AV61" s="45"/>
      <c r="AW61" s="43"/>
      <c r="AX61" s="59">
        <v>0</v>
      </c>
      <c r="AY61" s="61">
        <f>AX61/P61</f>
        <v>0</v>
      </c>
      <c r="AZ61" s="43">
        <v>3</v>
      </c>
      <c r="BA61" s="42" t="s">
        <v>439</v>
      </c>
      <c r="BB61" s="39" t="s">
        <v>101</v>
      </c>
      <c r="BC61" s="45">
        <v>6373285</v>
      </c>
      <c r="BD61" s="687">
        <f>BC61/AK61</f>
        <v>2019.8665737013912</v>
      </c>
      <c r="BE61" s="689">
        <f>BC61/AL61</f>
        <v>1970.5299446557217</v>
      </c>
      <c r="BF61" s="552">
        <f>BC61/AE61</f>
        <v>115877.90909090909</v>
      </c>
      <c r="BG61" s="420" t="s">
        <v>242</v>
      </c>
      <c r="BH61" s="39"/>
      <c r="BI61" s="159">
        <v>42320</v>
      </c>
      <c r="BJ61" s="75"/>
      <c r="BK61" s="867"/>
      <c r="BL61" s="125">
        <v>42697</v>
      </c>
      <c r="BM61" s="157">
        <v>42719</v>
      </c>
      <c r="BN61" s="1007">
        <f t="shared" si="73"/>
        <v>0.73333333333333328</v>
      </c>
      <c r="BO61" s="954">
        <v>58354</v>
      </c>
      <c r="BP61" s="125">
        <v>42805</v>
      </c>
      <c r="BQ61" s="125">
        <v>42727</v>
      </c>
      <c r="BR61" s="225">
        <v>42826</v>
      </c>
      <c r="BS61" s="224">
        <f t="shared" si="158"/>
        <v>43556</v>
      </c>
      <c r="BT61" s="605">
        <f>88358+17044</f>
        <v>105402</v>
      </c>
      <c r="BU61" s="224" t="str">
        <f t="shared" si="202"/>
        <v>oui</v>
      </c>
      <c r="BV61" s="784">
        <f t="shared" si="203"/>
        <v>-2.7333333333333334</v>
      </c>
      <c r="BW61" s="605" t="str">
        <f t="shared" si="204"/>
        <v>0</v>
      </c>
      <c r="BX61" s="605">
        <f t="shared" si="205"/>
        <v>105402</v>
      </c>
      <c r="BY61" s="702"/>
      <c r="BZ61" s="706" t="s">
        <v>458</v>
      </c>
      <c r="CA61" s="359"/>
      <c r="CB61" s="359"/>
      <c r="CC61" s="359"/>
      <c r="CD61" s="359">
        <v>42850</v>
      </c>
      <c r="CE61" s="359"/>
      <c r="CF61" s="359"/>
      <c r="CG61" s="359"/>
      <c r="CH61" s="359"/>
      <c r="CI61" s="359"/>
      <c r="CJ61" s="359"/>
      <c r="CK61" s="360">
        <v>42915</v>
      </c>
      <c r="CL61" s="359">
        <v>42915</v>
      </c>
      <c r="CM61" s="359"/>
      <c r="CN61" s="359"/>
      <c r="CO61" s="359"/>
      <c r="CP61" s="359"/>
      <c r="CQ61" s="95"/>
      <c r="CR61" s="95"/>
      <c r="CS61" s="95"/>
      <c r="CT61" s="475" t="str">
        <f t="shared" si="159"/>
        <v>0</v>
      </c>
      <c r="CU61" s="95">
        <v>42041</v>
      </c>
      <c r="CV61" s="95">
        <v>41982</v>
      </c>
      <c r="CW61" s="475">
        <f t="shared" si="160"/>
        <v>-59</v>
      </c>
      <c r="CX61" s="95"/>
      <c r="CY61" s="95"/>
      <c r="CZ61" s="475" t="str">
        <f t="shared" si="161"/>
        <v>0</v>
      </c>
      <c r="DA61" s="95"/>
      <c r="DB61" s="95"/>
      <c r="DC61" s="475" t="str">
        <f t="shared" si="162"/>
        <v>0</v>
      </c>
      <c r="DD61" s="95"/>
      <c r="DE61" s="95"/>
      <c r="DF61" s="475" t="str">
        <f t="shared" si="163"/>
        <v>0</v>
      </c>
      <c r="DG61" s="438"/>
      <c r="DH61" s="95"/>
      <c r="DI61" s="95"/>
      <c r="DJ61" s="95"/>
      <c r="DK61" s="475" t="str">
        <f>IF(AND(DI61&gt;0,DJ61&gt;0),DJ61-DI61,"0")</f>
        <v>0</v>
      </c>
      <c r="DL61" s="95">
        <v>42741</v>
      </c>
      <c r="DM61" s="430">
        <v>42767</v>
      </c>
      <c r="DN61" s="325">
        <v>2017</v>
      </c>
      <c r="DO61" s="434">
        <f t="shared" si="164"/>
        <v>14.9</v>
      </c>
      <c r="DP61" s="475">
        <f t="shared" si="165"/>
        <v>26</v>
      </c>
      <c r="DQ61" s="198">
        <v>22</v>
      </c>
      <c r="DR61" s="90">
        <f t="shared" si="166"/>
        <v>24</v>
      </c>
      <c r="DS61" s="95">
        <v>42824</v>
      </c>
      <c r="DT61" s="95">
        <v>42807</v>
      </c>
      <c r="DU61" s="475">
        <f t="shared" si="167"/>
        <v>-17</v>
      </c>
      <c r="DV61" s="95">
        <v>42946</v>
      </c>
      <c r="DW61" s="512">
        <v>42895</v>
      </c>
      <c r="DX61" s="478">
        <f t="shared" si="168"/>
        <v>-51</v>
      </c>
      <c r="DY61" s="95"/>
      <c r="DZ61" s="512">
        <v>42996</v>
      </c>
      <c r="EA61" s="475" t="str">
        <f t="shared" si="169"/>
        <v>0</v>
      </c>
      <c r="EB61" s="95">
        <v>43038</v>
      </c>
      <c r="EC61" s="95">
        <v>43340</v>
      </c>
      <c r="ED61" s="475">
        <f t="shared" si="170"/>
        <v>302</v>
      </c>
      <c r="EE61" s="95">
        <v>43038</v>
      </c>
      <c r="EF61" s="95">
        <v>43327</v>
      </c>
      <c r="EG61" s="475">
        <f t="shared" si="171"/>
        <v>289</v>
      </c>
      <c r="EH61" s="95">
        <v>43159</v>
      </c>
      <c r="EI61" s="95">
        <v>43350</v>
      </c>
      <c r="EJ61" s="475">
        <f t="shared" si="172"/>
        <v>191</v>
      </c>
      <c r="EK61" s="150">
        <v>43465</v>
      </c>
      <c r="EL61" s="150">
        <v>43621</v>
      </c>
      <c r="EM61" s="890">
        <f t="shared" si="173"/>
        <v>156</v>
      </c>
      <c r="EN61" s="150"/>
      <c r="EO61" s="150"/>
      <c r="EP61" s="150"/>
      <c r="EQ61" s="654">
        <f t="shared" si="174"/>
        <v>43435</v>
      </c>
      <c r="ER61" s="653">
        <v>43524</v>
      </c>
      <c r="ES61" s="684">
        <f t="shared" si="175"/>
        <v>2.9666666666666668</v>
      </c>
      <c r="ET61" s="931">
        <f t="shared" ca="1" si="176"/>
        <v>0</v>
      </c>
      <c r="EU61" s="985">
        <f t="shared" si="191"/>
        <v>43625</v>
      </c>
      <c r="EV61" s="987">
        <v>43578</v>
      </c>
      <c r="EW61" s="238">
        <v>43392</v>
      </c>
      <c r="EX61" s="939">
        <v>43621</v>
      </c>
      <c r="EY61" s="940">
        <v>43626</v>
      </c>
      <c r="EZ61" s="941">
        <f>DATE(YEAR(EQ61),MONTH(EQ61)+1,DAY(EQ61))</f>
        <v>43466</v>
      </c>
      <c r="FA61" s="942">
        <v>43638</v>
      </c>
      <c r="FB61" s="948">
        <v>2019</v>
      </c>
      <c r="FC61" s="944">
        <f t="shared" si="194"/>
        <v>5.7333333333333334</v>
      </c>
      <c r="FD61" s="945">
        <f>233056/12</f>
        <v>19421.333333333332</v>
      </c>
      <c r="FE61" s="949">
        <f t="shared" si="177"/>
        <v>111348.97777777778</v>
      </c>
      <c r="FF61" s="947"/>
      <c r="FG61" s="502">
        <v>0</v>
      </c>
      <c r="FH61" s="502">
        <v>0</v>
      </c>
      <c r="FI61" s="502">
        <v>0</v>
      </c>
      <c r="FJ61" s="502"/>
      <c r="FK61" s="663">
        <v>0</v>
      </c>
      <c r="FL61" s="664">
        <f t="shared" si="178"/>
        <v>0</v>
      </c>
      <c r="FM61" s="504" t="s">
        <v>16</v>
      </c>
      <c r="FN61" s="520"/>
      <c r="FO61" s="988" t="s">
        <v>845</v>
      </c>
      <c r="FP61" s="989"/>
      <c r="FQ61" s="94"/>
      <c r="FR61" s="94"/>
      <c r="FS61" s="94"/>
      <c r="FT61" s="94"/>
      <c r="FU61" s="94"/>
      <c r="FV61" s="39"/>
      <c r="FW61" s="212">
        <f t="shared" si="179"/>
        <v>43889</v>
      </c>
      <c r="FX61" s="212"/>
      <c r="FY61" s="39"/>
      <c r="FZ61" s="39"/>
      <c r="GA61" s="39"/>
      <c r="GB61" s="39"/>
      <c r="GC61" s="39"/>
      <c r="GD61" s="39"/>
      <c r="GE61" s="39"/>
      <c r="GF61" s="39"/>
      <c r="GG61" s="143"/>
      <c r="GH61" s="39"/>
      <c r="GI61" s="39"/>
      <c r="GJ61" s="39"/>
      <c r="GK61" s="39"/>
      <c r="GL61" s="742"/>
      <c r="GM61" s="979">
        <f t="shared" si="180"/>
        <v>6893824</v>
      </c>
      <c r="GN61" s="772">
        <f>GS61+GV61+HA61+HQ61+GZ61+HF61+HD61+HE61</f>
        <v>6893824</v>
      </c>
      <c r="GO61" s="683">
        <f t="shared" si="206"/>
        <v>6893824</v>
      </c>
      <c r="GP61" s="909">
        <f t="shared" si="207"/>
        <v>1100000</v>
      </c>
      <c r="GQ61" s="35">
        <f t="shared" si="182"/>
        <v>2131.4732708777792</v>
      </c>
      <c r="GR61" s="35">
        <f t="shared" si="183"/>
        <v>125342.25454545455</v>
      </c>
      <c r="GS61" s="53">
        <v>1928374</v>
      </c>
      <c r="GT61" s="577"/>
      <c r="GU61" s="35">
        <f>GS61/AE61</f>
        <v>35061.345454545452</v>
      </c>
      <c r="GV61" s="53">
        <f>GX61+GW61</f>
        <v>3865450</v>
      </c>
      <c r="GW61" s="67">
        <v>735184</v>
      </c>
      <c r="GX61" s="67">
        <v>3130266</v>
      </c>
      <c r="GY61" s="567">
        <f t="shared" si="189"/>
        <v>70280.909090909088</v>
      </c>
      <c r="GZ61" s="53"/>
      <c r="HA61" s="53">
        <v>1100000</v>
      </c>
      <c r="HB61" s="53">
        <v>0</v>
      </c>
      <c r="HC61" s="28">
        <f t="shared" si="184"/>
        <v>0.15956311040142598</v>
      </c>
      <c r="HD61" s="68"/>
      <c r="HE61" s="68"/>
      <c r="HF61" s="53">
        <v>0</v>
      </c>
      <c r="HG61" s="35">
        <f t="shared" si="185"/>
        <v>20000</v>
      </c>
      <c r="HH61" s="64">
        <f t="shared" si="186"/>
        <v>55061.345454545452</v>
      </c>
      <c r="HI61" s="70">
        <v>0</v>
      </c>
      <c r="HJ61" s="70">
        <v>0</v>
      </c>
      <c r="HK61" s="19">
        <f>(GS61+HA61+HJ61)/AE61</f>
        <v>55061.345454545452</v>
      </c>
      <c r="HL61" s="70">
        <v>0</v>
      </c>
      <c r="HM61" s="19">
        <f t="shared" si="187"/>
        <v>55061.345454545452</v>
      </c>
      <c r="HN61" s="36">
        <f>(GS61+HA61+HJ61+HL61)/(HI61+GN61-HO61)</f>
        <v>0.43928797718073453</v>
      </c>
      <c r="HO61" s="70">
        <v>0</v>
      </c>
      <c r="HP61" s="70"/>
      <c r="HQ61" s="53">
        <f t="shared" si="212"/>
        <v>0</v>
      </c>
      <c r="HR61" s="909">
        <v>5868941.3073500004</v>
      </c>
      <c r="HS61" s="907">
        <f t="shared" si="208"/>
        <v>0.85133320887652486</v>
      </c>
      <c r="HT61" s="915">
        <f t="shared" si="209"/>
        <v>1024882.6926499996</v>
      </c>
      <c r="HU61" s="898">
        <f ca="1">IF(ET61&lt;DATEDIF(TODAY(),$HU$1,"M"),HT61,(HT61/ET61*DATEDIF(TODAY(),$HU$1,"M")))-100824</f>
        <v>924058.69264999963</v>
      </c>
      <c r="HV61" s="907">
        <f t="shared" ca="1" si="210"/>
        <v>0.98537473541535148</v>
      </c>
      <c r="HW61" s="898">
        <f>'[3]GLOBAL OPERATION'!$AG$77</f>
        <v>808060</v>
      </c>
      <c r="HX61" s="898">
        <f t="shared" si="196"/>
        <v>291940</v>
      </c>
      <c r="HY61" s="907">
        <f t="shared" si="195"/>
        <v>0.73460000000000003</v>
      </c>
      <c r="HZ61" s="964" t="s">
        <v>961</v>
      </c>
      <c r="IA61" s="29">
        <f>GN61+HI61</f>
        <v>6893824</v>
      </c>
      <c r="IB61" s="752"/>
      <c r="IC61" s="73"/>
      <c r="ID61" s="73"/>
      <c r="IE61" s="73"/>
      <c r="IF61" s="73"/>
    </row>
    <row r="62" spans="1:240" ht="20.100000000000001" customHeight="1">
      <c r="A62" s="973" t="s">
        <v>794</v>
      </c>
      <c r="B62" s="732" t="s">
        <v>805</v>
      </c>
      <c r="C62" s="39" t="s">
        <v>82</v>
      </c>
      <c r="D62" s="39" t="s">
        <v>94</v>
      </c>
      <c r="E62" s="39">
        <v>2017</v>
      </c>
      <c r="F62" s="39" t="s">
        <v>436</v>
      </c>
      <c r="G62" s="39" t="s">
        <v>40</v>
      </c>
      <c r="H62" s="39" t="s">
        <v>371</v>
      </c>
      <c r="I62" s="39" t="s">
        <v>141</v>
      </c>
      <c r="J62" s="39"/>
      <c r="K62" s="39" t="s">
        <v>324</v>
      </c>
      <c r="L62" s="230"/>
      <c r="M62" s="129"/>
      <c r="N62" s="130"/>
      <c r="O62" s="131"/>
      <c r="P62" s="161">
        <v>4801</v>
      </c>
      <c r="Q62" s="161">
        <v>473822</v>
      </c>
      <c r="R62" s="161">
        <v>473822</v>
      </c>
      <c r="S62" s="161">
        <f t="shared" si="211"/>
        <v>15794.066666666668</v>
      </c>
      <c r="T62" s="161">
        <f t="shared" si="197"/>
        <v>98.692355759216824</v>
      </c>
      <c r="U62" s="167">
        <f t="shared" si="198"/>
        <v>98.692355759216824</v>
      </c>
      <c r="V62" s="167">
        <f t="shared" si="199"/>
        <v>277.36300788498573</v>
      </c>
      <c r="W62" s="167">
        <f t="shared" si="200"/>
        <v>15794.066666666668</v>
      </c>
      <c r="X62" s="161">
        <f t="shared" si="201"/>
        <v>160.03333333333333</v>
      </c>
      <c r="Y62" s="162"/>
      <c r="Z62" s="733">
        <f t="shared" si="153"/>
        <v>62.486981878775254</v>
      </c>
      <c r="AA62" s="162"/>
      <c r="AB62" s="162"/>
      <c r="AC62" s="163"/>
      <c r="AD62" s="39" t="s">
        <v>10</v>
      </c>
      <c r="AE62" s="674">
        <f t="shared" si="154"/>
        <v>30</v>
      </c>
      <c r="AF62" s="674">
        <f t="shared" si="155"/>
        <v>30</v>
      </c>
      <c r="AG62" s="50"/>
      <c r="AH62" s="39">
        <v>30</v>
      </c>
      <c r="AI62" s="50"/>
      <c r="AJ62" s="50"/>
      <c r="AK62" s="209">
        <v>1699.31</v>
      </c>
      <c r="AL62" s="422">
        <v>1708.31</v>
      </c>
      <c r="AM62" s="875">
        <f t="shared" si="156"/>
        <v>56.643666666666668</v>
      </c>
      <c r="AN62" s="10">
        <f t="shared" si="157"/>
        <v>56.943666666666665</v>
      </c>
      <c r="AO62" s="43">
        <v>5.89</v>
      </c>
      <c r="AP62" s="43">
        <v>5.86</v>
      </c>
      <c r="AQ62" s="43">
        <v>333.5</v>
      </c>
      <c r="AR62" s="61"/>
      <c r="AS62" s="61"/>
      <c r="AT62" s="61"/>
      <c r="AU62" s="61"/>
      <c r="AV62" s="61"/>
      <c r="AW62" s="43"/>
      <c r="AX62" s="59"/>
      <c r="AY62" s="61"/>
      <c r="AZ62" s="43">
        <v>3</v>
      </c>
      <c r="BA62" s="42" t="s">
        <v>439</v>
      </c>
      <c r="BB62" s="39" t="s">
        <v>101</v>
      </c>
      <c r="BC62" s="45">
        <v>3564776</v>
      </c>
      <c r="BD62" s="687">
        <f>BC62/AK62</f>
        <v>2097.7785101011586</v>
      </c>
      <c r="BE62" s="689">
        <f>BC62/AL62</f>
        <v>2086.7266479737286</v>
      </c>
      <c r="BF62" s="552">
        <f>BC62/AE62</f>
        <v>118825.86666666667</v>
      </c>
      <c r="BG62" s="39"/>
      <c r="BH62" s="39"/>
      <c r="BI62" s="159">
        <v>42909</v>
      </c>
      <c r="BJ62" s="75"/>
      <c r="BK62" s="867" t="s">
        <v>250</v>
      </c>
      <c r="BL62" s="125">
        <v>42967</v>
      </c>
      <c r="BM62" s="157">
        <v>43017</v>
      </c>
      <c r="BN62" s="1007">
        <f t="shared" si="73"/>
        <v>1.6666666666666667</v>
      </c>
      <c r="BO62" s="954">
        <v>69522</v>
      </c>
      <c r="BP62" s="125">
        <v>43014</v>
      </c>
      <c r="BQ62" s="125"/>
      <c r="BR62" s="225">
        <v>43045</v>
      </c>
      <c r="BS62" s="224">
        <f t="shared" si="158"/>
        <v>43775</v>
      </c>
      <c r="BT62" s="605">
        <f>10647+79675</f>
        <v>90322</v>
      </c>
      <c r="BU62" s="224" t="str">
        <f t="shared" si="202"/>
        <v>non</v>
      </c>
      <c r="BV62" s="784">
        <f t="shared" si="203"/>
        <v>1.7333333333333334</v>
      </c>
      <c r="BW62" s="605">
        <f t="shared" si="204"/>
        <v>12028.088233200002</v>
      </c>
      <c r="BX62" s="605">
        <f t="shared" si="205"/>
        <v>78293.911766799996</v>
      </c>
      <c r="BY62" s="702"/>
      <c r="BZ62" s="708"/>
      <c r="CA62" s="703"/>
      <c r="CB62" s="703"/>
      <c r="CC62" s="703"/>
      <c r="CD62" s="699"/>
      <c r="CE62" s="699"/>
      <c r="CF62" s="699"/>
      <c r="CG62" s="699"/>
      <c r="CH62" s="699"/>
      <c r="CI62" s="699"/>
      <c r="CJ62" s="699"/>
      <c r="CK62" s="699"/>
      <c r="CL62" s="699"/>
      <c r="CM62" s="699"/>
      <c r="CN62" s="699"/>
      <c r="CO62" s="699"/>
      <c r="CP62" s="699"/>
      <c r="CQ62" s="427"/>
      <c r="CR62" s="95"/>
      <c r="CS62" s="95"/>
      <c r="CT62" s="475" t="str">
        <f t="shared" si="159"/>
        <v>0</v>
      </c>
      <c r="CU62" s="95">
        <v>42772</v>
      </c>
      <c r="CV62" s="95">
        <v>42731</v>
      </c>
      <c r="CW62" s="475">
        <f t="shared" si="160"/>
        <v>-41</v>
      </c>
      <c r="CX62" s="237"/>
      <c r="CY62" s="237"/>
      <c r="CZ62" s="475" t="str">
        <f t="shared" si="161"/>
        <v>0</v>
      </c>
      <c r="DA62" s="95"/>
      <c r="DB62" s="95"/>
      <c r="DC62" s="475" t="str">
        <f t="shared" si="162"/>
        <v>0</v>
      </c>
      <c r="DD62" s="95"/>
      <c r="DE62" s="95"/>
      <c r="DF62" s="475" t="str">
        <f t="shared" si="163"/>
        <v>0</v>
      </c>
      <c r="DG62" s="438"/>
      <c r="DH62" s="428"/>
      <c r="DI62" s="237">
        <v>43069</v>
      </c>
      <c r="DJ62" s="95">
        <v>43073</v>
      </c>
      <c r="DK62" s="475">
        <f>IF(AND(DI62&gt;0,DJ62&gt;0),DJ62-DI62,"0")</f>
        <v>4</v>
      </c>
      <c r="DL62" s="182">
        <v>43080</v>
      </c>
      <c r="DM62" s="430">
        <v>43070</v>
      </c>
      <c r="DN62" s="431">
        <v>2017</v>
      </c>
      <c r="DO62" s="436">
        <f t="shared" si="164"/>
        <v>5.3666666666666663</v>
      </c>
      <c r="DP62" s="475">
        <f t="shared" si="165"/>
        <v>-10</v>
      </c>
      <c r="DQ62" s="198">
        <v>15</v>
      </c>
      <c r="DR62" s="90">
        <f t="shared" si="166"/>
        <v>20</v>
      </c>
      <c r="DS62" s="427"/>
      <c r="DT62" s="95">
        <v>43145</v>
      </c>
      <c r="DU62" s="475" t="str">
        <f t="shared" si="167"/>
        <v>0</v>
      </c>
      <c r="DV62" s="427"/>
      <c r="DW62" s="555">
        <v>43145</v>
      </c>
      <c r="DX62" s="478" t="str">
        <f t="shared" si="168"/>
        <v>0</v>
      </c>
      <c r="DY62" s="484">
        <v>43554</v>
      </c>
      <c r="DZ62" s="754">
        <f ca="1">IF(DY62&lt;TODAY(),TODAY(),DY62)</f>
        <v>43647</v>
      </c>
      <c r="EA62" s="481">
        <f t="shared" ca="1" si="169"/>
        <v>93</v>
      </c>
      <c r="EB62" s="486">
        <v>43585</v>
      </c>
      <c r="EC62" s="484">
        <f ca="1">IF(EB62&lt;TODAY(),TODAY(),EB62)</f>
        <v>43647</v>
      </c>
      <c r="ED62" s="481">
        <f t="shared" ca="1" si="170"/>
        <v>62</v>
      </c>
      <c r="EE62" s="589">
        <v>43585</v>
      </c>
      <c r="EF62" s="484">
        <f ca="1">IF(EE62&lt;TODAY(),TODAY(),EE62)</f>
        <v>43647</v>
      </c>
      <c r="EG62" s="481">
        <f t="shared" ca="1" si="171"/>
        <v>62</v>
      </c>
      <c r="EH62" s="484">
        <v>43615</v>
      </c>
      <c r="EI62" s="484">
        <f ca="1">IF(EH62&lt;TODAY(),TODAY(),EH62)</f>
        <v>43647</v>
      </c>
      <c r="EJ62" s="481">
        <f t="shared" ca="1" si="172"/>
        <v>32</v>
      </c>
      <c r="EK62" s="484">
        <v>43676</v>
      </c>
      <c r="EL62" s="484">
        <f ca="1">IF(EK62&lt;TODAY(),TODAY(),EK62)</f>
        <v>43676</v>
      </c>
      <c r="EM62" s="481">
        <f t="shared" ca="1" si="173"/>
        <v>0</v>
      </c>
      <c r="EN62" s="484"/>
      <c r="EO62" s="484"/>
      <c r="EP62" s="484"/>
      <c r="EQ62" s="654">
        <f t="shared" si="174"/>
        <v>43525</v>
      </c>
      <c r="ER62" s="653">
        <v>43692</v>
      </c>
      <c r="ES62" s="650">
        <f t="shared" si="175"/>
        <v>5.5666666666666664</v>
      </c>
      <c r="ET62" s="932">
        <f t="shared" ca="1" si="176"/>
        <v>1.5</v>
      </c>
      <c r="EU62" s="926">
        <f t="shared" si="191"/>
        <v>43875</v>
      </c>
      <c r="EV62" s="748"/>
      <c r="EW62" s="238">
        <v>43392</v>
      </c>
      <c r="EX62" s="145"/>
      <c r="EY62" s="443"/>
      <c r="EZ62" s="747">
        <f>DATE(YEAR(EQ62),MONTH(EQ62)+1,DAY(EQ62))</f>
        <v>43556</v>
      </c>
      <c r="FA62" s="653">
        <v>43723</v>
      </c>
      <c r="FB62" s="518"/>
      <c r="FC62" s="647">
        <f t="shared" si="194"/>
        <v>5.5666666666666664</v>
      </c>
      <c r="FD62" s="636">
        <v>6939.2816730000004</v>
      </c>
      <c r="FE62" s="46">
        <f t="shared" si="177"/>
        <v>38628.667979700003</v>
      </c>
      <c r="FF62" s="91"/>
      <c r="FG62" s="502">
        <v>0</v>
      </c>
      <c r="FH62" s="502">
        <v>0</v>
      </c>
      <c r="FI62" s="502">
        <v>0</v>
      </c>
      <c r="FJ62" s="502"/>
      <c r="FK62" s="502">
        <v>0</v>
      </c>
      <c r="FL62" s="664">
        <f t="shared" si="178"/>
        <v>0</v>
      </c>
      <c r="FM62" s="499"/>
      <c r="FN62" s="511"/>
      <c r="FO62" s="756" t="s">
        <v>818</v>
      </c>
      <c r="FP62" s="588"/>
      <c r="FQ62" s="94"/>
      <c r="FR62" s="94"/>
      <c r="FS62" s="94"/>
      <c r="FT62" s="94"/>
      <c r="FU62" s="94"/>
      <c r="FV62" s="39"/>
      <c r="FW62" s="212">
        <f t="shared" si="179"/>
        <v>44058</v>
      </c>
      <c r="FX62" s="212"/>
      <c r="FY62" s="39"/>
      <c r="FZ62" s="39"/>
      <c r="GA62" s="39"/>
      <c r="GB62" s="39"/>
      <c r="GC62" s="39"/>
      <c r="GD62" s="39"/>
      <c r="GE62" s="39"/>
      <c r="GF62" s="39"/>
      <c r="GG62" s="39"/>
      <c r="GH62" s="39"/>
      <c r="GI62" s="39"/>
      <c r="GJ62" s="39"/>
      <c r="GK62" s="39"/>
      <c r="GL62" s="742"/>
      <c r="GM62" s="979">
        <f t="shared" si="180"/>
        <v>3933421.67</v>
      </c>
      <c r="GN62" s="772">
        <f>GS62+GV62+HA62+HQ62+GZ62+HF62+HD62+HE62</f>
        <v>3933421.67</v>
      </c>
      <c r="GO62" s="683">
        <f t="shared" si="206"/>
        <v>3933421.67</v>
      </c>
      <c r="GP62" s="909">
        <f t="shared" si="207"/>
        <v>700000</v>
      </c>
      <c r="GQ62" s="35">
        <f t="shared" si="182"/>
        <v>2302.5221827420082</v>
      </c>
      <c r="GR62" s="35">
        <f t="shared" si="183"/>
        <v>131114.05566666665</v>
      </c>
      <c r="GS62" s="53">
        <v>1133134.67</v>
      </c>
      <c r="GT62" s="577">
        <v>1181624</v>
      </c>
      <c r="GU62" s="71">
        <f>GS62/AE62</f>
        <v>37771.155666666666</v>
      </c>
      <c r="GV62" s="53">
        <f>GW62+GX62</f>
        <v>2100287</v>
      </c>
      <c r="GW62" s="67">
        <v>459254</v>
      </c>
      <c r="GX62" s="67">
        <v>1641033</v>
      </c>
      <c r="GY62" s="568">
        <f t="shared" si="189"/>
        <v>70009.566666666666</v>
      </c>
      <c r="GZ62" s="53"/>
      <c r="HA62" s="53">
        <v>700000</v>
      </c>
      <c r="HB62" s="53"/>
      <c r="HC62" s="28">
        <f t="shared" si="184"/>
        <v>0.17796210493750597</v>
      </c>
      <c r="HD62" s="68"/>
      <c r="HE62" s="68"/>
      <c r="HF62" s="53"/>
      <c r="HG62" s="35">
        <f t="shared" si="185"/>
        <v>23333.333333333332</v>
      </c>
      <c r="HH62" s="35">
        <f t="shared" si="186"/>
        <v>61104.488999999994</v>
      </c>
      <c r="HI62" s="70"/>
      <c r="HJ62" s="70"/>
      <c r="HK62" s="19">
        <f>(GS62+HA62+HJ62)/AE62</f>
        <v>61104.488999999994</v>
      </c>
      <c r="HL62" s="70"/>
      <c r="HM62" s="19">
        <f t="shared" si="187"/>
        <v>61104.488999999994</v>
      </c>
      <c r="HN62" s="36">
        <f>(GS62+HA62+HJ62+HL62)/(HI62+GN62-HO62)</f>
        <v>0.46604072072445768</v>
      </c>
      <c r="HO62" s="70"/>
      <c r="HP62" s="70"/>
      <c r="HQ62" s="53">
        <f t="shared" si="212"/>
        <v>0</v>
      </c>
      <c r="HR62" s="909">
        <v>2469528.8628699998</v>
      </c>
      <c r="HS62" s="907">
        <f t="shared" si="208"/>
        <v>0.6278322209146725</v>
      </c>
      <c r="HT62" s="915">
        <f t="shared" si="209"/>
        <v>1463892.8071300001</v>
      </c>
      <c r="HU62" s="898">
        <f ca="1">IF(ET62&lt;DATEDIF(TODAY(),$HU$1,"M"),HT62,(HT62/ET62*DATEDIF(TODAY(),$HU$1,"M")))</f>
        <v>1463892.8071300001</v>
      </c>
      <c r="HV62" s="907">
        <f t="shared" ca="1" si="210"/>
        <v>1</v>
      </c>
      <c r="HW62" s="898">
        <f>'[3]GLOBAL OPERATION'!$AG$87</f>
        <v>454440</v>
      </c>
      <c r="HX62" s="898">
        <f t="shared" si="196"/>
        <v>245560</v>
      </c>
      <c r="HY62" s="907">
        <f t="shared" si="195"/>
        <v>0.6492</v>
      </c>
      <c r="HZ62" s="907"/>
      <c r="IA62" s="29" t="e">
        <f>#REF!+HI62</f>
        <v>#REF!</v>
      </c>
      <c r="IB62" s="752"/>
      <c r="IC62" s="73"/>
      <c r="ID62" s="73"/>
      <c r="IE62" s="73"/>
      <c r="IF62" s="73"/>
    </row>
    <row r="63" spans="1:240" ht="20.100000000000001" customHeight="1">
      <c r="A63" s="787" t="s">
        <v>588</v>
      </c>
      <c r="B63" s="66" t="s">
        <v>830</v>
      </c>
      <c r="C63" s="39" t="s">
        <v>203</v>
      </c>
      <c r="D63" s="39" t="s">
        <v>94</v>
      </c>
      <c r="E63" s="39">
        <v>2017</v>
      </c>
      <c r="F63" s="39" t="s">
        <v>319</v>
      </c>
      <c r="G63" s="39" t="s">
        <v>299</v>
      </c>
      <c r="H63" s="39" t="s">
        <v>537</v>
      </c>
      <c r="I63" s="39" t="s">
        <v>141</v>
      </c>
      <c r="J63" s="39"/>
      <c r="K63" s="39" t="s">
        <v>714</v>
      </c>
      <c r="L63" s="199" t="s">
        <v>520</v>
      </c>
      <c r="M63" s="129"/>
      <c r="N63" s="130"/>
      <c r="O63" s="131"/>
      <c r="P63" s="161">
        <v>5443</v>
      </c>
      <c r="Q63" s="161">
        <v>381010</v>
      </c>
      <c r="R63" s="171">
        <v>381010</v>
      </c>
      <c r="S63" s="161">
        <f t="shared" si="211"/>
        <v>18143.333333333332</v>
      </c>
      <c r="T63" s="167">
        <f t="shared" si="197"/>
        <v>70</v>
      </c>
      <c r="U63" s="171">
        <f t="shared" si="198"/>
        <v>70</v>
      </c>
      <c r="V63" s="171">
        <f t="shared" si="199"/>
        <v>238.72208716573519</v>
      </c>
      <c r="W63" s="171">
        <f t="shared" si="200"/>
        <v>18143.333333333332</v>
      </c>
      <c r="X63" s="161">
        <f t="shared" si="201"/>
        <v>259.1904761904762</v>
      </c>
      <c r="Y63" s="162"/>
      <c r="Z63" s="733">
        <f t="shared" ref="Z63:Z97" si="213">10000*AE63/P63</f>
        <v>38.58166452324086</v>
      </c>
      <c r="AA63" s="162" t="s">
        <v>157</v>
      </c>
      <c r="AB63" s="162">
        <v>900</v>
      </c>
      <c r="AC63" s="163"/>
      <c r="AD63" s="39" t="s">
        <v>10</v>
      </c>
      <c r="AE63" s="674">
        <f t="shared" ref="AE63:AE94" si="214">SUM(AG63:AJ63)</f>
        <v>21</v>
      </c>
      <c r="AF63" s="674">
        <f t="shared" ref="AF63:AF94" si="215">AE63-AJ63</f>
        <v>21</v>
      </c>
      <c r="AG63" s="50"/>
      <c r="AH63" s="39">
        <v>21</v>
      </c>
      <c r="AI63" s="50"/>
      <c r="AJ63" s="50"/>
      <c r="AK63" s="209">
        <v>1596.04</v>
      </c>
      <c r="AL63" s="426">
        <v>1596.04</v>
      </c>
      <c r="AM63" s="875">
        <f t="shared" ref="AM63:AM94" si="216">AK63/AE63</f>
        <v>76.001904761904754</v>
      </c>
      <c r="AN63" s="10">
        <f t="shared" ref="AN63:AN94" si="217">AL63/AE63</f>
        <v>76.001904761904754</v>
      </c>
      <c r="AO63" s="43">
        <v>5.34</v>
      </c>
      <c r="AP63" s="43">
        <v>5.34</v>
      </c>
      <c r="AQ63" s="43">
        <v>406.06</v>
      </c>
      <c r="AR63" s="61"/>
      <c r="AS63" s="61"/>
      <c r="AT63" s="61"/>
      <c r="AU63" s="61"/>
      <c r="AV63" s="61"/>
      <c r="AW63" s="43"/>
      <c r="AX63" s="59"/>
      <c r="AY63" s="61"/>
      <c r="AZ63" s="43"/>
      <c r="BA63" s="39" t="s">
        <v>438</v>
      </c>
      <c r="BB63" s="39" t="s">
        <v>101</v>
      </c>
      <c r="BC63" s="39"/>
      <c r="BD63" s="39"/>
      <c r="BE63" s="39"/>
      <c r="BF63" s="39"/>
      <c r="BG63" s="183">
        <v>42761</v>
      </c>
      <c r="BH63" s="39"/>
      <c r="BI63" s="159">
        <v>43017</v>
      </c>
      <c r="BJ63" s="75">
        <v>43045</v>
      </c>
      <c r="BK63" s="867" t="s">
        <v>250</v>
      </c>
      <c r="BL63" s="125">
        <v>43168</v>
      </c>
      <c r="BM63" s="157">
        <v>43249</v>
      </c>
      <c r="BN63" s="1007">
        <f t="shared" si="73"/>
        <v>2.7</v>
      </c>
      <c r="BO63" s="954">
        <v>78391</v>
      </c>
      <c r="BP63" s="125">
        <f>DATE(YEAR(BM63),MONTH(BM63)+3,DAY(BM63))</f>
        <v>43341</v>
      </c>
      <c r="BQ63" s="125"/>
      <c r="BR63" s="225">
        <v>43344</v>
      </c>
      <c r="BS63" s="224">
        <f t="shared" ref="BS63:BS96" si="218">DATE(YEAR(BR63),MONTH(BR63)+24,DAY(BR63))</f>
        <v>44075</v>
      </c>
      <c r="BT63" s="605">
        <f>13884+73092</f>
        <v>86976</v>
      </c>
      <c r="BU63" s="224" t="str">
        <f t="shared" si="202"/>
        <v>oui</v>
      </c>
      <c r="BV63" s="784">
        <f t="shared" si="203"/>
        <v>-4.0666666666666664</v>
      </c>
      <c r="BW63" s="605" t="str">
        <f t="shared" si="204"/>
        <v>0</v>
      </c>
      <c r="BX63" s="605">
        <f t="shared" si="205"/>
        <v>86976</v>
      </c>
      <c r="BY63" s="702"/>
      <c r="BZ63" s="705"/>
      <c r="CA63" s="738"/>
      <c r="CB63" s="738"/>
      <c r="CC63" s="738"/>
      <c r="CD63" s="739"/>
      <c r="CE63" s="739"/>
      <c r="CF63" s="739">
        <v>43507</v>
      </c>
      <c r="CG63" s="739">
        <v>43524</v>
      </c>
      <c r="CH63" s="739">
        <v>43530</v>
      </c>
      <c r="CI63" s="739"/>
      <c r="CJ63" s="739"/>
      <c r="CK63" s="739"/>
      <c r="CL63" s="739"/>
      <c r="CM63" s="739"/>
      <c r="CN63" s="739"/>
      <c r="CO63" s="739"/>
      <c r="CP63" s="739"/>
      <c r="CQ63" s="237"/>
      <c r="CR63" s="95"/>
      <c r="CS63" s="95"/>
      <c r="CT63" s="475" t="str">
        <f t="shared" ref="CT63:CT94" si="219">IF(AND(CR63&gt;0,CS63&gt;0),CS63-CR63,"0")</f>
        <v>0</v>
      </c>
      <c r="CU63" s="95"/>
      <c r="CV63" s="95"/>
      <c r="CW63" s="475" t="str">
        <f t="shared" ref="CW63:CW94" si="220">IF(AND(CU63&gt;0,CV63&gt;0),CV63-CU63,"0")</f>
        <v>0</v>
      </c>
      <c r="CX63" s="237"/>
      <c r="CY63" s="237"/>
      <c r="CZ63" s="475" t="str">
        <f t="shared" ref="CZ63:CZ94" si="221">IF(AND(CX63&gt;0,CY63&gt;0),CY63-CX63,"0")</f>
        <v>0</v>
      </c>
      <c r="DA63" s="95"/>
      <c r="DB63" s="95"/>
      <c r="DC63" s="475" t="str">
        <f t="shared" ref="DC63:DC94" si="222">IF(AND(DA63&gt;0,DB63&gt;0),DB63-DA63,"0")</f>
        <v>0</v>
      </c>
      <c r="DD63" s="95"/>
      <c r="DE63" s="95"/>
      <c r="DF63" s="475" t="str">
        <f t="shared" ref="DF63:DF94" si="223">IF(AND(DD63&gt;0,DE63&gt;0),DE63-DD63,"0")</f>
        <v>0</v>
      </c>
      <c r="DG63" s="438"/>
      <c r="DH63" s="237"/>
      <c r="DI63" s="182"/>
      <c r="DJ63" s="150">
        <v>43545</v>
      </c>
      <c r="DK63" s="890"/>
      <c r="DL63" s="182"/>
      <c r="DM63" s="430">
        <v>43556</v>
      </c>
      <c r="DN63" s="431">
        <v>2019</v>
      </c>
      <c r="DO63" s="740">
        <f t="shared" ref="DO63:DO85" si="224">(DATEDIF(BI63,DM63,"d"))/30</f>
        <v>17.966666666666665</v>
      </c>
      <c r="DP63" s="893" t="str">
        <f t="shared" ref="DP63:DP104" si="225">IF(AND(DL63&gt;0,DM63&gt;0),DM63-DL63,"0")</f>
        <v>0</v>
      </c>
      <c r="DQ63" s="198">
        <v>17</v>
      </c>
      <c r="DR63" s="90">
        <f t="shared" ref="DR63:DR104" si="226">DATEDIF(DM63,ER63,"M")</f>
        <v>20</v>
      </c>
      <c r="DS63" s="479">
        <v>43617</v>
      </c>
      <c r="DT63" s="484">
        <f t="shared" ref="DT63:DT96" ca="1" si="227">IF(DS63&lt;TODAY(),TODAY(),DS63)</f>
        <v>43647</v>
      </c>
      <c r="DU63" s="481">
        <f t="shared" ref="DU63:DU104" ca="1" si="228">IF(AND(DS63&gt;0,DT63&gt;0),DT63-DS63,"0")</f>
        <v>30</v>
      </c>
      <c r="DV63" s="479">
        <f>DATE(YEAR(DS63),MONTH(DS63)+2,DAY(DS63))</f>
        <v>43678</v>
      </c>
      <c r="DW63" s="497">
        <f t="shared" ref="DW63:DW96" ca="1" si="229">IF(DV63&lt;TODAY(),TODAY(),DV63)</f>
        <v>43678</v>
      </c>
      <c r="DX63" s="556">
        <f t="shared" ref="DX63:DX104" ca="1" si="230">IF(AND(DV63&gt;0,DW63&gt;0),DW63-DV63,"0")</f>
        <v>0</v>
      </c>
      <c r="DY63" s="484"/>
      <c r="DZ63" s="497">
        <f t="shared" ref="DZ63:DZ104" ca="1" si="231">IF(DY63&lt;TODAY(),TODAY(),DY63)</f>
        <v>43647</v>
      </c>
      <c r="EA63" s="481" t="str">
        <f t="shared" ref="EA63:EA82" ca="1" si="232">IF(AND(DY63&gt;0,DZ63&gt;0),DZ63-DY63,"0")</f>
        <v>0</v>
      </c>
      <c r="EB63" s="484"/>
      <c r="EC63" s="484">
        <f t="shared" ref="EC63:EC104" ca="1" si="233">IF(EB63&lt;TODAY(),TODAY(),EB63)</f>
        <v>43647</v>
      </c>
      <c r="ED63" s="481" t="str">
        <f t="shared" ref="ED63:ED104" ca="1" si="234">IF(AND(EB63&gt;0,EC63&gt;0),EC63-EB63,"0")</f>
        <v>0</v>
      </c>
      <c r="EE63" s="485"/>
      <c r="EF63" s="485"/>
      <c r="EG63" s="481" t="str">
        <f t="shared" ref="EG63:EG104" si="235">IF(AND(EE63&gt;0,EF63&gt;0),EF63-EE63,"0")</f>
        <v>0</v>
      </c>
      <c r="EH63" s="484"/>
      <c r="EI63" s="484">
        <f t="shared" ref="EI63:EI104" ca="1" si="236">IF(EH63&lt;TODAY(),TODAY(),EH63)</f>
        <v>43647</v>
      </c>
      <c r="EJ63" s="481" t="str">
        <f t="shared" ref="EJ63:EJ104" ca="1" si="237">IF(AND(EH63&gt;0,EI63&gt;0),EI63-EH63,"0")</f>
        <v>0</v>
      </c>
      <c r="EK63" s="484">
        <v>43579</v>
      </c>
      <c r="EL63" s="484">
        <f t="shared" ref="EL63:EL104" ca="1" si="238">IF(EK63&lt;TODAY(),TODAY(),EK63)</f>
        <v>43647</v>
      </c>
      <c r="EM63" s="481">
        <f t="shared" ref="EM63:EM104" ca="1" si="239">IF(AND(EK63&gt;0,EL63&gt;0),EL63-EK63,"0")</f>
        <v>68</v>
      </c>
      <c r="EN63" s="484"/>
      <c r="EO63" s="484"/>
      <c r="EP63" s="484"/>
      <c r="EQ63" s="654">
        <f t="shared" ref="EQ63:EQ85" si="240">DATE(YEAR(DM63),MONTH(DM63)+DQ63,DAY(DM63))</f>
        <v>44075</v>
      </c>
      <c r="ER63" s="653">
        <f>DATE(YEAR(EQ63),MONTH(EQ63)+3,DAY(EQ63))</f>
        <v>44166</v>
      </c>
      <c r="ES63" s="650">
        <f t="shared" ref="ES63:ES85" si="241">(DATEDIF(EQ63,ER63,"d"))/30</f>
        <v>3.0333333333333332</v>
      </c>
      <c r="ET63" s="932">
        <f t="shared" ref="ET63:ET85" ca="1" si="242">IF(((ER63-TODAY())/30)&lt;0,0,(ER63-TODAY())/30)</f>
        <v>17.3</v>
      </c>
      <c r="EU63" s="926">
        <f t="shared" ref="EU63:EU94" ca="1" si="243">DATE(YEAR(DW63)+2,MONTH(DW63),DAY(DW63))</f>
        <v>44409</v>
      </c>
      <c r="EV63" s="748"/>
      <c r="EW63" s="737"/>
      <c r="EX63" s="737"/>
      <c r="EY63" s="443"/>
      <c r="EZ63" s="747">
        <f>DATE(YEAR(EQ63),MONTH(EQ63)+1,DAY(EQ63))</f>
        <v>44105</v>
      </c>
      <c r="FA63" s="653">
        <f>DATE(YEAR(ER63),MONTH(ER63)+1,DAY(ER63))</f>
        <v>44197</v>
      </c>
      <c r="FB63" s="518"/>
      <c r="FC63" s="647">
        <f t="shared" ref="FC63:FC96" si="244">(DATEDIF(EZ63,FA63,"d"))/30</f>
        <v>3.0666666666666669</v>
      </c>
      <c r="FD63" s="635">
        <v>8523</v>
      </c>
      <c r="FE63" s="192">
        <f t="shared" ref="FE63:FE96" si="245">FD63*FC63</f>
        <v>26137.200000000001</v>
      </c>
      <c r="FF63" s="91"/>
      <c r="FG63" s="502">
        <v>200000</v>
      </c>
      <c r="FH63" s="502">
        <v>0</v>
      </c>
      <c r="FI63" s="502"/>
      <c r="FJ63" s="502"/>
      <c r="FK63" s="502"/>
      <c r="FL63" s="664">
        <f t="shared" si="112"/>
        <v>0</v>
      </c>
      <c r="FM63" s="499"/>
      <c r="FN63" s="511"/>
      <c r="FO63" s="511"/>
      <c r="FP63" s="511"/>
      <c r="FQ63" s="94"/>
      <c r="FR63" s="94"/>
      <c r="FS63" s="94"/>
      <c r="FT63" s="94"/>
      <c r="FU63" s="94"/>
      <c r="FV63" s="39"/>
      <c r="FW63" s="212">
        <f t="shared" ref="FW63:FW96" si="246">DATE(YEAR(ER63)+1,MONTH(ER63),DAY(ER63))</f>
        <v>44531</v>
      </c>
      <c r="FX63" s="212"/>
      <c r="FY63" s="39"/>
      <c r="FZ63" s="39"/>
      <c r="GA63" s="39"/>
      <c r="GB63" s="39"/>
      <c r="GC63" s="39"/>
      <c r="GD63" s="39"/>
      <c r="GE63" s="39"/>
      <c r="GF63" s="39"/>
      <c r="GG63" s="39"/>
      <c r="GH63" s="39"/>
      <c r="GI63" s="39"/>
      <c r="GJ63" s="39"/>
      <c r="GK63" s="39"/>
      <c r="GL63" s="742"/>
      <c r="GM63" s="979">
        <f t="shared" si="144"/>
        <v>3941744.5073164538</v>
      </c>
      <c r="GN63" s="772">
        <f t="shared" ref="GN63:GN69" si="247">GS63+GV63+HA63+HQ63+GZ63+HF63+HD63+HE63</f>
        <v>3941744.5073164538</v>
      </c>
      <c r="GO63" s="53">
        <f t="shared" si="206"/>
        <v>3941744.5073164538</v>
      </c>
      <c r="GP63" s="909">
        <f t="shared" si="207"/>
        <v>721294.94</v>
      </c>
      <c r="GQ63" s="35">
        <f t="shared" si="97"/>
        <v>2469.7028315809466</v>
      </c>
      <c r="GR63" s="35">
        <f t="shared" si="98"/>
        <v>187702.11939602162</v>
      </c>
      <c r="GS63" s="53">
        <v>1190550.5673164539</v>
      </c>
      <c r="GT63" s="577">
        <v>1158434</v>
      </c>
      <c r="GU63" s="35">
        <f t="shared" ref="GU63:GU86" si="248">GS63/AE63</f>
        <v>56692.884157926375</v>
      </c>
      <c r="GV63" s="53">
        <f>GW63+GX63</f>
        <v>2029899</v>
      </c>
      <c r="GW63" s="67">
        <v>598878</v>
      </c>
      <c r="GX63" s="67">
        <v>1431021</v>
      </c>
      <c r="GY63" s="567">
        <f t="shared" ref="GY63:GY103" si="249">GV63/AE63</f>
        <v>96661.857142857145</v>
      </c>
      <c r="GZ63" s="53"/>
      <c r="HA63" s="53">
        <v>504000</v>
      </c>
      <c r="HB63" s="53"/>
      <c r="HC63" s="28">
        <f t="shared" si="101"/>
        <v>0.12786216840399026</v>
      </c>
      <c r="HD63" s="53"/>
      <c r="HE63" s="53"/>
      <c r="HF63" s="53">
        <f>114303+102991.94</f>
        <v>217294.94</v>
      </c>
      <c r="HG63" s="35">
        <f t="shared" si="102"/>
        <v>24000</v>
      </c>
      <c r="HH63" s="35">
        <f t="shared" si="103"/>
        <v>80692.884157926383</v>
      </c>
      <c r="HI63" s="70"/>
      <c r="HJ63" s="70"/>
      <c r="HK63" s="19">
        <f t="shared" ref="HK63:HK64" si="250">(GS63+HA63+HJ63)/AE63</f>
        <v>80692.884157926383</v>
      </c>
      <c r="HL63" s="70"/>
      <c r="HM63" s="19">
        <f t="shared" si="104"/>
        <v>80692.884157926383</v>
      </c>
      <c r="HN63" s="36">
        <f t="shared" ref="HN63:HN64" si="251">(GS63+HA63+HJ63+HL63)/(HI63+GN63-HO63)</f>
        <v>0.42989863096685249</v>
      </c>
      <c r="HO63" s="70"/>
      <c r="HP63" s="70"/>
      <c r="HQ63" s="53">
        <f t="shared" si="212"/>
        <v>0</v>
      </c>
      <c r="HR63" s="909">
        <v>850065.93600999995</v>
      </c>
      <c r="HS63" s="907">
        <f t="shared" si="208"/>
        <v>0.21565728941390122</v>
      </c>
      <c r="HT63" s="915">
        <f t="shared" si="209"/>
        <v>3091678.571306454</v>
      </c>
      <c r="HU63" s="898">
        <f t="shared" ref="HU63:HU69" ca="1" si="252">IF(ET63&lt;DATEDIF(TODAY(),$HU$1,"M"),HT63,(HT63/ET63*DATEDIF(TODAY(),$HU$1,"M")))</f>
        <v>893548.72003076703</v>
      </c>
      <c r="HV63" s="907">
        <f t="shared" ca="1" si="210"/>
        <v>0.44234593409196443</v>
      </c>
      <c r="HW63" s="898">
        <f>'[3]GLOBAL OPERATION'!$AG$73</f>
        <v>151200</v>
      </c>
      <c r="HX63" s="898">
        <f t="shared" si="196"/>
        <v>570094.93999999994</v>
      </c>
      <c r="HY63" s="907">
        <f t="shared" ref="HY63:HY64" si="253">HW63/GP63</f>
        <v>0.20962298723459782</v>
      </c>
      <c r="HZ63" s="907"/>
      <c r="IA63" s="29" t="e">
        <f>#REF!+HI63</f>
        <v>#REF!</v>
      </c>
      <c r="IB63" s="752"/>
      <c r="IC63" s="73"/>
      <c r="ID63" s="73"/>
      <c r="IE63" s="73"/>
      <c r="IF63" s="73"/>
    </row>
    <row r="64" spans="1:240" ht="20.100000000000001" customHeight="1">
      <c r="A64" s="787" t="s">
        <v>316</v>
      </c>
      <c r="B64" s="591" t="s">
        <v>635</v>
      </c>
      <c r="C64" s="39" t="s">
        <v>21</v>
      </c>
      <c r="D64" s="39" t="s">
        <v>92</v>
      </c>
      <c r="E64" s="39">
        <v>2017</v>
      </c>
      <c r="F64" s="39" t="s">
        <v>322</v>
      </c>
      <c r="G64" s="39" t="s">
        <v>40</v>
      </c>
      <c r="H64" s="39" t="s">
        <v>704</v>
      </c>
      <c r="I64" s="39" t="s">
        <v>141</v>
      </c>
      <c r="J64" s="39"/>
      <c r="K64" s="39" t="s">
        <v>317</v>
      </c>
      <c r="L64" s="199" t="s">
        <v>519</v>
      </c>
      <c r="M64" s="129"/>
      <c r="N64" s="130"/>
      <c r="O64" s="131"/>
      <c r="P64" s="161">
        <v>1976</v>
      </c>
      <c r="Q64" s="161">
        <v>300000</v>
      </c>
      <c r="R64" s="161"/>
      <c r="S64" s="161">
        <f t="shared" si="211"/>
        <v>12500</v>
      </c>
      <c r="T64" s="161">
        <f t="shared" si="197"/>
        <v>151.82186234817814</v>
      </c>
      <c r="U64" s="167">
        <f t="shared" si="198"/>
        <v>0</v>
      </c>
      <c r="V64" s="167">
        <f t="shared" si="199"/>
        <v>0</v>
      </c>
      <c r="W64" s="167">
        <f t="shared" si="200"/>
        <v>0</v>
      </c>
      <c r="X64" s="161">
        <f t="shared" si="201"/>
        <v>82.333333333333329</v>
      </c>
      <c r="Y64" s="162"/>
      <c r="Z64" s="733">
        <f t="shared" si="213"/>
        <v>121.4574898785425</v>
      </c>
      <c r="AA64" s="162" t="s">
        <v>152</v>
      </c>
      <c r="AB64" s="162">
        <v>590</v>
      </c>
      <c r="AC64" s="163"/>
      <c r="AD64" s="39" t="s">
        <v>10</v>
      </c>
      <c r="AE64" s="674">
        <f t="shared" si="214"/>
        <v>24</v>
      </c>
      <c r="AF64" s="674">
        <f t="shared" si="215"/>
        <v>24</v>
      </c>
      <c r="AG64" s="50"/>
      <c r="AH64" s="39">
        <v>24</v>
      </c>
      <c r="AI64" s="50"/>
      <c r="AJ64" s="50"/>
      <c r="AK64" s="209">
        <v>1539.6699999999996</v>
      </c>
      <c r="AL64" s="422">
        <v>1796.56</v>
      </c>
      <c r="AM64" s="875">
        <f t="shared" si="216"/>
        <v>64.152916666666655</v>
      </c>
      <c r="AN64" s="10">
        <f t="shared" si="217"/>
        <v>74.856666666666669</v>
      </c>
      <c r="AO64" s="43">
        <v>6.31</v>
      </c>
      <c r="AP64" s="43">
        <v>5.41</v>
      </c>
      <c r="AQ64" s="43">
        <v>404.62</v>
      </c>
      <c r="AR64" s="61">
        <f>3/AH64</f>
        <v>0.125</v>
      </c>
      <c r="AS64" s="61">
        <f>9/AH64</f>
        <v>0.375</v>
      </c>
      <c r="AT64" s="61">
        <f>6/AH64</f>
        <v>0.25</v>
      </c>
      <c r="AU64" s="61">
        <f>3/AH64</f>
        <v>0.125</v>
      </c>
      <c r="AV64" s="61">
        <f>3/AH64</f>
        <v>0.125</v>
      </c>
      <c r="AW64" s="43"/>
      <c r="AX64" s="43" t="s">
        <v>136</v>
      </c>
      <c r="AY64" s="43"/>
      <c r="AZ64" s="43">
        <v>4</v>
      </c>
      <c r="BA64" s="42" t="s">
        <v>439</v>
      </c>
      <c r="BB64" s="39" t="s">
        <v>100</v>
      </c>
      <c r="BC64" s="39"/>
      <c r="BD64" s="39"/>
      <c r="BE64" s="39"/>
      <c r="BF64" s="39"/>
      <c r="BG64" s="183">
        <v>42761</v>
      </c>
      <c r="BH64" s="39"/>
      <c r="BI64" s="159">
        <v>42916</v>
      </c>
      <c r="BJ64" s="75">
        <v>43010</v>
      </c>
      <c r="BK64" s="867" t="s">
        <v>250</v>
      </c>
      <c r="BL64" s="125">
        <v>43279</v>
      </c>
      <c r="BM64" s="157">
        <v>43356</v>
      </c>
      <c r="BN64" s="1007">
        <f t="shared" si="73"/>
        <v>2.5666666666666669</v>
      </c>
      <c r="BO64" s="954">
        <v>86771</v>
      </c>
      <c r="BP64" s="125">
        <v>43440</v>
      </c>
      <c r="BQ64" s="125">
        <v>43385</v>
      </c>
      <c r="BR64" s="225">
        <v>43466</v>
      </c>
      <c r="BS64" s="224">
        <f t="shared" si="218"/>
        <v>44197</v>
      </c>
      <c r="BT64" s="605">
        <f>10589+49826</f>
        <v>60415</v>
      </c>
      <c r="BU64" s="224" t="str">
        <f t="shared" si="202"/>
        <v>non</v>
      </c>
      <c r="BV64" s="605">
        <f t="shared" si="203"/>
        <v>6.6666666666666666E-2</v>
      </c>
      <c r="BW64" s="605">
        <f t="shared" si="204"/>
        <v>647.20000000000005</v>
      </c>
      <c r="BX64" s="605">
        <f t="shared" si="205"/>
        <v>59767.8</v>
      </c>
      <c r="BY64" s="702"/>
      <c r="BZ64" s="708" t="s">
        <v>824</v>
      </c>
      <c r="CA64" s="738"/>
      <c r="CB64" s="738"/>
      <c r="CC64" s="738"/>
      <c r="CD64" s="739"/>
      <c r="CE64" s="739">
        <v>43374</v>
      </c>
      <c r="CF64" s="739">
        <v>43448</v>
      </c>
      <c r="CG64" s="739">
        <v>43462</v>
      </c>
      <c r="CH64" s="699"/>
      <c r="CI64" s="739"/>
      <c r="CJ64" s="739"/>
      <c r="CK64" s="739"/>
      <c r="CL64" s="739"/>
      <c r="CM64" s="739"/>
      <c r="CN64" s="739"/>
      <c r="CO64" s="739"/>
      <c r="CP64" s="739"/>
      <c r="CQ64" s="237">
        <v>42583</v>
      </c>
      <c r="CR64" s="95">
        <v>42598</v>
      </c>
      <c r="CS64" s="95">
        <v>42583</v>
      </c>
      <c r="CT64" s="475">
        <f t="shared" si="219"/>
        <v>-15</v>
      </c>
      <c r="CU64" s="95">
        <v>42692</v>
      </c>
      <c r="CV64" s="237">
        <v>42695</v>
      </c>
      <c r="CW64" s="475">
        <f t="shared" si="220"/>
        <v>3</v>
      </c>
      <c r="CX64" s="237">
        <v>42753</v>
      </c>
      <c r="CY64" s="237">
        <v>42751</v>
      </c>
      <c r="CZ64" s="475">
        <f t="shared" si="221"/>
        <v>-2</v>
      </c>
      <c r="DA64" s="95">
        <v>42829</v>
      </c>
      <c r="DB64" s="237">
        <v>43083</v>
      </c>
      <c r="DC64" s="475">
        <f t="shared" si="222"/>
        <v>254</v>
      </c>
      <c r="DD64" s="95">
        <v>42905</v>
      </c>
      <c r="DE64" s="95">
        <v>43189</v>
      </c>
      <c r="DF64" s="475">
        <f t="shared" si="223"/>
        <v>284</v>
      </c>
      <c r="DG64" s="438"/>
      <c r="DH64" s="237">
        <v>43403</v>
      </c>
      <c r="DI64" s="237">
        <v>43154</v>
      </c>
      <c r="DJ64" s="237">
        <v>43546</v>
      </c>
      <c r="DK64" s="616">
        <f t="shared" ref="DK64:DK71" si="254">IF(AND(DI64&gt;0,DJ64&gt;0),DJ64-DI64,"0")</f>
        <v>392</v>
      </c>
      <c r="DL64" s="182">
        <v>43167</v>
      </c>
      <c r="DM64" s="430">
        <v>43585</v>
      </c>
      <c r="DN64" s="431">
        <v>2019</v>
      </c>
      <c r="DO64" s="436">
        <f t="shared" si="224"/>
        <v>22.3</v>
      </c>
      <c r="DP64" s="616">
        <f t="shared" si="225"/>
        <v>418</v>
      </c>
      <c r="DQ64" s="198">
        <v>16</v>
      </c>
      <c r="DR64" s="90">
        <f t="shared" si="226"/>
        <v>19</v>
      </c>
      <c r="DS64" s="479">
        <v>43631</v>
      </c>
      <c r="DT64" s="484">
        <f t="shared" ca="1" si="227"/>
        <v>43647</v>
      </c>
      <c r="DU64" s="481">
        <f t="shared" ca="1" si="228"/>
        <v>16</v>
      </c>
      <c r="DV64" s="479">
        <f>DATE(YEAR(DS64),MONTH(DS64)+2,DAY(DS64))</f>
        <v>43692</v>
      </c>
      <c r="DW64" s="497">
        <f t="shared" ca="1" si="229"/>
        <v>43692</v>
      </c>
      <c r="DX64" s="482">
        <f t="shared" ca="1" si="230"/>
        <v>0</v>
      </c>
      <c r="DY64" s="484"/>
      <c r="DZ64" s="497">
        <f t="shared" ca="1" si="231"/>
        <v>43647</v>
      </c>
      <c r="EA64" s="481" t="str">
        <f t="shared" ca="1" si="232"/>
        <v>0</v>
      </c>
      <c r="EB64" s="484"/>
      <c r="EC64" s="484">
        <f t="shared" ca="1" si="233"/>
        <v>43647</v>
      </c>
      <c r="ED64" s="481" t="str">
        <f t="shared" ca="1" si="234"/>
        <v>0</v>
      </c>
      <c r="EE64" s="485"/>
      <c r="EF64" s="485"/>
      <c r="EG64" s="481" t="str">
        <f t="shared" si="235"/>
        <v>0</v>
      </c>
      <c r="EH64" s="484"/>
      <c r="EI64" s="484">
        <f t="shared" ca="1" si="236"/>
        <v>43647</v>
      </c>
      <c r="EJ64" s="481" t="str">
        <f t="shared" ca="1" si="237"/>
        <v>0</v>
      </c>
      <c r="EK64" s="484">
        <v>43580</v>
      </c>
      <c r="EL64" s="484">
        <f t="shared" ca="1" si="238"/>
        <v>43647</v>
      </c>
      <c r="EM64" s="481">
        <f t="shared" ca="1" si="239"/>
        <v>67</v>
      </c>
      <c r="EN64" s="484"/>
      <c r="EO64" s="484"/>
      <c r="EP64" s="484"/>
      <c r="EQ64" s="654">
        <f t="shared" si="240"/>
        <v>44073</v>
      </c>
      <c r="ER64" s="653">
        <f>DATE(YEAR(EQ64),MONTH(EQ64)+3,DAY(EQ64))</f>
        <v>44165</v>
      </c>
      <c r="ES64" s="650">
        <f t="shared" si="241"/>
        <v>3.0666666666666669</v>
      </c>
      <c r="ET64" s="932">
        <f t="shared" ca="1" si="242"/>
        <v>17.266666666666666</v>
      </c>
      <c r="EU64" s="926">
        <f t="shared" ca="1" si="243"/>
        <v>44423</v>
      </c>
      <c r="EV64" s="748"/>
      <c r="EW64" s="737"/>
      <c r="EX64" s="737"/>
      <c r="EY64" s="443"/>
      <c r="EZ64" s="747">
        <f t="shared" ref="EZ64:EZ85" si="255">DATE(YEAR(EQ64),MONTH(EQ64)+1,DAY(EQ64))</f>
        <v>44104</v>
      </c>
      <c r="FA64" s="653">
        <f>DATE(YEAR(EZ64),MONTH(EZ64)+3,DAY(EZ64))</f>
        <v>44195</v>
      </c>
      <c r="FB64" s="518"/>
      <c r="FC64" s="647">
        <f t="shared" si="244"/>
        <v>3.0333333333333332</v>
      </c>
      <c r="FD64" s="635">
        <v>9708</v>
      </c>
      <c r="FE64" s="192">
        <f t="shared" si="245"/>
        <v>29447.599999999999</v>
      </c>
      <c r="FF64" s="91"/>
      <c r="FG64" s="502">
        <v>0</v>
      </c>
      <c r="FH64" s="502">
        <v>0</v>
      </c>
      <c r="FI64" s="502">
        <v>197331.09</v>
      </c>
      <c r="FJ64" s="502"/>
      <c r="FK64" s="502"/>
      <c r="FL64" s="664">
        <f t="shared" si="112"/>
        <v>0</v>
      </c>
      <c r="FM64" s="499"/>
      <c r="FN64" s="511"/>
      <c r="FO64" s="511" t="s">
        <v>624</v>
      </c>
      <c r="FP64" s="499"/>
      <c r="FQ64" s="94"/>
      <c r="FR64" s="94"/>
      <c r="FS64" s="94"/>
      <c r="FT64" s="94"/>
      <c r="FU64" s="94"/>
      <c r="FV64" s="39"/>
      <c r="FW64" s="212">
        <f t="shared" si="246"/>
        <v>44530</v>
      </c>
      <c r="FX64" s="212"/>
      <c r="FY64" s="39"/>
      <c r="FZ64" s="39"/>
      <c r="GA64" s="39"/>
      <c r="GB64" s="39"/>
      <c r="GC64" s="39"/>
      <c r="GD64" s="39"/>
      <c r="GE64" s="39"/>
      <c r="GF64" s="39"/>
      <c r="GG64" s="39"/>
      <c r="GH64" s="39"/>
      <c r="GI64" s="39"/>
      <c r="GJ64" s="39"/>
      <c r="GK64" s="39"/>
      <c r="GL64" s="742"/>
      <c r="GM64" s="979">
        <f t="shared" si="144"/>
        <v>3972768.8238277063</v>
      </c>
      <c r="GN64" s="772">
        <f t="shared" si="247"/>
        <v>3972768.8238277063</v>
      </c>
      <c r="GO64" s="53">
        <f t="shared" si="206"/>
        <v>3972768.8238277063</v>
      </c>
      <c r="GP64" s="909">
        <f t="shared" si="207"/>
        <v>557338.55000000005</v>
      </c>
      <c r="GQ64" s="35">
        <f t="shared" si="97"/>
        <v>2211.3198689872347</v>
      </c>
      <c r="GR64" s="35">
        <f t="shared" si="98"/>
        <v>165532.03432615442</v>
      </c>
      <c r="GS64" s="53">
        <v>1208326.2738277067</v>
      </c>
      <c r="GT64" s="577">
        <v>1306948</v>
      </c>
      <c r="GU64" s="35">
        <f t="shared" si="248"/>
        <v>50346.928076154443</v>
      </c>
      <c r="GV64" s="53">
        <f>GW64+GX64</f>
        <v>2207104</v>
      </c>
      <c r="GW64" s="67">
        <v>444360</v>
      </c>
      <c r="GX64" s="67">
        <v>1762744</v>
      </c>
      <c r="GY64" s="567">
        <f t="shared" si="249"/>
        <v>91962.666666666672</v>
      </c>
      <c r="GZ64" s="53"/>
      <c r="HA64" s="53">
        <v>480000</v>
      </c>
      <c r="HB64" s="53"/>
      <c r="HC64" s="28">
        <f t="shared" si="101"/>
        <v>0.12082253493358992</v>
      </c>
      <c r="HD64" s="53"/>
      <c r="HE64" s="53"/>
      <c r="HF64" s="53">
        <v>77338.55</v>
      </c>
      <c r="HG64" s="35">
        <f t="shared" si="102"/>
        <v>20000</v>
      </c>
      <c r="HH64" s="35">
        <f t="shared" si="103"/>
        <v>70346.928076154451</v>
      </c>
      <c r="HI64" s="70"/>
      <c r="HJ64" s="70"/>
      <c r="HK64" s="19">
        <f t="shared" si="250"/>
        <v>70346.928076154451</v>
      </c>
      <c r="HL64" s="70"/>
      <c r="HM64" s="19">
        <f t="shared" si="104"/>
        <v>70346.928076154451</v>
      </c>
      <c r="HN64" s="36">
        <f t="shared" si="251"/>
        <v>0.42497470874759541</v>
      </c>
      <c r="HO64" s="70"/>
      <c r="HP64" s="70"/>
      <c r="HQ64" s="53">
        <f t="shared" si="212"/>
        <v>0</v>
      </c>
      <c r="HR64" s="909">
        <v>625425</v>
      </c>
      <c r="HS64" s="907">
        <f t="shared" si="208"/>
        <v>0.15742798731425101</v>
      </c>
      <c r="HT64" s="915">
        <f t="shared" si="209"/>
        <v>3347343.8238277063</v>
      </c>
      <c r="HU64" s="898">
        <f t="shared" ca="1" si="252"/>
        <v>969308.05709296511</v>
      </c>
      <c r="HV64" s="907">
        <f t="shared" ca="1" si="210"/>
        <v>0.40141602187576131</v>
      </c>
      <c r="HW64" s="898">
        <f>'[3]GLOBAL OPERATION'!$AG$53</f>
        <v>0</v>
      </c>
      <c r="HX64" s="898">
        <f t="shared" si="196"/>
        <v>557338.55000000005</v>
      </c>
      <c r="HY64" s="907">
        <f t="shared" si="253"/>
        <v>0</v>
      </c>
      <c r="HZ64" s="907"/>
      <c r="IA64" s="29" t="e">
        <f>#REF!+HI64</f>
        <v>#REF!</v>
      </c>
      <c r="IB64" s="752"/>
      <c r="IC64" s="73"/>
      <c r="ID64" s="73"/>
      <c r="IE64" s="73"/>
      <c r="IF64" s="73"/>
    </row>
    <row r="65" spans="1:240" ht="30" customHeight="1">
      <c r="A65" s="710" t="s">
        <v>358</v>
      </c>
      <c r="B65" s="710"/>
      <c r="C65" s="39" t="s">
        <v>21</v>
      </c>
      <c r="D65" s="39" t="s">
        <v>92</v>
      </c>
      <c r="E65" s="39">
        <v>2018</v>
      </c>
      <c r="F65" s="39"/>
      <c r="G65" s="39" t="s">
        <v>926</v>
      </c>
      <c r="H65" s="39" t="s">
        <v>146</v>
      </c>
      <c r="I65" s="39" t="s">
        <v>142</v>
      </c>
      <c r="J65" s="39"/>
      <c r="K65" s="39" t="s">
        <v>363</v>
      </c>
      <c r="L65" s="199" t="s">
        <v>375</v>
      </c>
      <c r="M65" s="129" t="s">
        <v>46</v>
      </c>
      <c r="N65" s="130" t="s">
        <v>374</v>
      </c>
      <c r="O65" s="131">
        <v>34912</v>
      </c>
      <c r="P65" s="178"/>
      <c r="Q65" s="178"/>
      <c r="R65" s="178"/>
      <c r="S65" s="178"/>
      <c r="T65" s="178"/>
      <c r="U65" s="546"/>
      <c r="V65" s="546"/>
      <c r="W65" s="546"/>
      <c r="X65" s="178"/>
      <c r="Y65" s="162"/>
      <c r="Z65" s="736" t="e">
        <f t="shared" si="213"/>
        <v>#DIV/0!</v>
      </c>
      <c r="AA65" s="162"/>
      <c r="AB65" s="162"/>
      <c r="AC65" s="163"/>
      <c r="AD65" s="39" t="s">
        <v>340</v>
      </c>
      <c r="AE65" s="674">
        <f t="shared" si="214"/>
        <v>128</v>
      </c>
      <c r="AF65" s="674">
        <f t="shared" si="215"/>
        <v>0</v>
      </c>
      <c r="AG65" s="50"/>
      <c r="AH65" s="50"/>
      <c r="AI65" s="50"/>
      <c r="AJ65" s="149">
        <v>128</v>
      </c>
      <c r="AK65" s="209"/>
      <c r="AL65" s="422"/>
      <c r="AM65" s="875">
        <f t="shared" si="216"/>
        <v>0</v>
      </c>
      <c r="AN65" s="10">
        <f t="shared" si="217"/>
        <v>0</v>
      </c>
      <c r="AO65" s="43"/>
      <c r="AP65" s="43"/>
      <c r="AQ65" s="43"/>
      <c r="AR65" s="61"/>
      <c r="AS65" s="61"/>
      <c r="AT65" s="61"/>
      <c r="AU65" s="61"/>
      <c r="AV65" s="61"/>
      <c r="AW65" s="43"/>
      <c r="AX65" s="59"/>
      <c r="AY65" s="61"/>
      <c r="AZ65" s="43"/>
      <c r="BA65" s="39"/>
      <c r="BB65" s="39"/>
      <c r="BC65" s="39"/>
      <c r="BD65" s="39"/>
      <c r="BE65" s="39"/>
      <c r="BF65" s="39"/>
      <c r="BG65" s="39"/>
      <c r="BH65" s="87">
        <v>43308</v>
      </c>
      <c r="BI65" s="159">
        <v>43434</v>
      </c>
      <c r="BJ65" s="75">
        <v>43502</v>
      </c>
      <c r="BK65" s="867"/>
      <c r="BL65" s="125">
        <v>43311</v>
      </c>
      <c r="BM65" s="157">
        <v>43608</v>
      </c>
      <c r="BN65" s="1007">
        <f t="shared" si="73"/>
        <v>9.9</v>
      </c>
      <c r="BO65" s="954">
        <v>96964</v>
      </c>
      <c r="BP65" s="125">
        <f>DATE(YEAR(BM65),MONTH(BM65)+3,DAY(BM65))</f>
        <v>43700</v>
      </c>
      <c r="BQ65" s="125">
        <v>43608</v>
      </c>
      <c r="BR65" s="225">
        <v>43608</v>
      </c>
      <c r="BS65" s="224">
        <f t="shared" si="218"/>
        <v>44339</v>
      </c>
      <c r="BT65" s="605"/>
      <c r="BU65" s="782"/>
      <c r="BV65" s="783"/>
      <c r="BW65" s="783"/>
      <c r="BX65" s="783"/>
      <c r="BY65" s="702"/>
      <c r="BZ65" s="708"/>
      <c r="CA65" s="703"/>
      <c r="CB65" s="703"/>
      <c r="CC65" s="703"/>
      <c r="CD65" s="699"/>
      <c r="CE65" s="699"/>
      <c r="CF65" s="699"/>
      <c r="CG65" s="699"/>
      <c r="CH65" s="699"/>
      <c r="CI65" s="699"/>
      <c r="CJ65" s="699"/>
      <c r="CK65" s="699"/>
      <c r="CL65" s="699"/>
      <c r="CM65" s="699"/>
      <c r="CN65" s="699"/>
      <c r="CO65" s="699"/>
      <c r="CP65" s="699"/>
      <c r="CQ65" s="488">
        <v>42935</v>
      </c>
      <c r="CR65" s="489"/>
      <c r="CS65" s="489"/>
      <c r="CT65" s="492" t="str">
        <f t="shared" si="219"/>
        <v>0</v>
      </c>
      <c r="CU65" s="490">
        <v>43038</v>
      </c>
      <c r="CV65" s="490">
        <f ca="1">IF(CU65&lt;TODAY(),TODAY(),CU65)</f>
        <v>43647</v>
      </c>
      <c r="CW65" s="475">
        <f t="shared" ca="1" si="220"/>
        <v>609</v>
      </c>
      <c r="CX65" s="490">
        <v>43017</v>
      </c>
      <c r="CY65" s="488">
        <f ca="1">IF(CX65&lt;TODAY(),TODAY(),CX65)</f>
        <v>43647</v>
      </c>
      <c r="CZ65" s="475">
        <f t="shared" ca="1" si="221"/>
        <v>630</v>
      </c>
      <c r="DA65" s="490">
        <v>43098</v>
      </c>
      <c r="DB65" s="488">
        <f ca="1">IF(DA65&lt;TODAY(),TODAY(),DA65)</f>
        <v>43647</v>
      </c>
      <c r="DC65" s="475">
        <f t="shared" ca="1" si="222"/>
        <v>549</v>
      </c>
      <c r="DD65" s="490">
        <v>43158</v>
      </c>
      <c r="DE65" s="490">
        <f ca="1">IF(DD65&lt;TODAY(),TODAY(),DD65)</f>
        <v>43647</v>
      </c>
      <c r="DF65" s="475">
        <f t="shared" ca="1" si="223"/>
        <v>489</v>
      </c>
      <c r="DG65" s="438"/>
      <c r="DH65" s="488">
        <v>43403</v>
      </c>
      <c r="DI65" s="479">
        <v>43602</v>
      </c>
      <c r="DJ65" s="484">
        <f ca="1">IF(DI65&lt;TODAY(),TODAY(),DI65)</f>
        <v>43647</v>
      </c>
      <c r="DK65" s="481">
        <f t="shared" ca="1" si="254"/>
        <v>45</v>
      </c>
      <c r="DL65" s="479">
        <v>43616</v>
      </c>
      <c r="DM65" s="617">
        <v>43646</v>
      </c>
      <c r="DN65" s="326"/>
      <c r="DO65" s="432">
        <f t="shared" si="224"/>
        <v>7.0666666666666664</v>
      </c>
      <c r="DP65" s="481">
        <f t="shared" si="225"/>
        <v>30</v>
      </c>
      <c r="DQ65" s="618">
        <v>12</v>
      </c>
      <c r="DR65" s="188">
        <f t="shared" si="226"/>
        <v>13</v>
      </c>
      <c r="DS65" s="479"/>
      <c r="DT65" s="484">
        <f t="shared" ca="1" si="227"/>
        <v>43647</v>
      </c>
      <c r="DU65" s="481" t="str">
        <f t="shared" ca="1" si="228"/>
        <v>0</v>
      </c>
      <c r="DV65" s="479"/>
      <c r="DW65" s="497">
        <f t="shared" ca="1" si="229"/>
        <v>43647</v>
      </c>
      <c r="DX65" s="482" t="str">
        <f t="shared" ca="1" si="230"/>
        <v>0</v>
      </c>
      <c r="DY65" s="483"/>
      <c r="DZ65" s="497">
        <f t="shared" ca="1" si="231"/>
        <v>43647</v>
      </c>
      <c r="EA65" s="481" t="str">
        <f t="shared" ca="1" si="232"/>
        <v>0</v>
      </c>
      <c r="EB65" s="484">
        <v>43507</v>
      </c>
      <c r="EC65" s="484">
        <f t="shared" ca="1" si="233"/>
        <v>43647</v>
      </c>
      <c r="ED65" s="481">
        <f t="shared" ca="1" si="234"/>
        <v>140</v>
      </c>
      <c r="EE65" s="485"/>
      <c r="EF65" s="485"/>
      <c r="EG65" s="481" t="str">
        <f t="shared" si="235"/>
        <v>0</v>
      </c>
      <c r="EH65" s="484"/>
      <c r="EI65" s="484">
        <f t="shared" ca="1" si="236"/>
        <v>43647</v>
      </c>
      <c r="EJ65" s="481" t="str">
        <f t="shared" ca="1" si="237"/>
        <v>0</v>
      </c>
      <c r="EK65" s="484">
        <v>43584</v>
      </c>
      <c r="EL65" s="484">
        <f t="shared" ca="1" si="238"/>
        <v>43647</v>
      </c>
      <c r="EM65" s="481">
        <f t="shared" ca="1" si="239"/>
        <v>63</v>
      </c>
      <c r="EN65" s="485"/>
      <c r="EO65" s="485"/>
      <c r="EP65" s="485"/>
      <c r="EQ65" s="654">
        <f t="shared" si="240"/>
        <v>44012</v>
      </c>
      <c r="ER65" s="653">
        <f>DATE(YEAR(EQ65),MONTH(EQ65)+1,DAY(EQ65))</f>
        <v>44042</v>
      </c>
      <c r="ES65" s="650">
        <f t="shared" si="241"/>
        <v>1</v>
      </c>
      <c r="ET65" s="933">
        <f t="shared" ca="1" si="242"/>
        <v>13.166666666666666</v>
      </c>
      <c r="EU65" s="927">
        <f t="shared" ca="1" si="243"/>
        <v>44378</v>
      </c>
      <c r="EV65" s="748"/>
      <c r="EW65" s="737"/>
      <c r="EX65" s="737"/>
      <c r="EY65" s="443"/>
      <c r="EZ65" s="747">
        <f t="shared" si="255"/>
        <v>44042</v>
      </c>
      <c r="FA65" s="653">
        <f>DATE(YEAR(EZ65),MONTH(EZ65)+3,DAY(EZ65))</f>
        <v>44134</v>
      </c>
      <c r="FB65" s="518"/>
      <c r="FC65" s="647">
        <f t="shared" si="244"/>
        <v>3.0666666666666669</v>
      </c>
      <c r="FD65" s="635"/>
      <c r="FE65" s="192">
        <f t="shared" si="245"/>
        <v>0</v>
      </c>
      <c r="FF65" s="91"/>
      <c r="FG65" s="502">
        <v>0</v>
      </c>
      <c r="FH65" s="502">
        <v>0</v>
      </c>
      <c r="FI65" s="502"/>
      <c r="FJ65" s="502"/>
      <c r="FK65" s="502"/>
      <c r="FL65" s="664" t="e">
        <f t="shared" si="112"/>
        <v>#DIV/0!</v>
      </c>
      <c r="FM65" s="499"/>
      <c r="FN65" s="511"/>
      <c r="FO65" s="499" t="s">
        <v>591</v>
      </c>
      <c r="FP65" s="511" t="s">
        <v>898</v>
      </c>
      <c r="FQ65" s="94"/>
      <c r="FR65" s="94"/>
      <c r="FS65" s="94"/>
      <c r="FT65" s="94"/>
      <c r="FU65" s="94"/>
      <c r="FV65" s="39"/>
      <c r="FW65" s="212">
        <f t="shared" si="246"/>
        <v>44407</v>
      </c>
      <c r="FX65" s="212"/>
      <c r="FY65" s="39"/>
      <c r="FZ65" s="39"/>
      <c r="GA65" s="39"/>
      <c r="GB65" s="39"/>
      <c r="GC65" s="39"/>
      <c r="GD65" s="39"/>
      <c r="GE65" s="39"/>
      <c r="GF65" s="39"/>
      <c r="GG65" s="39"/>
      <c r="GH65" s="39"/>
      <c r="GI65" s="39"/>
      <c r="GJ65" s="39"/>
      <c r="GK65" s="39"/>
      <c r="GL65" s="742"/>
      <c r="GM65" s="979">
        <f t="shared" si="144"/>
        <v>0</v>
      </c>
      <c r="GN65" s="772">
        <f t="shared" si="247"/>
        <v>0</v>
      </c>
      <c r="GO65" s="53"/>
      <c r="GP65" s="898">
        <f>HA65+HB65+HF65</f>
        <v>0</v>
      </c>
      <c r="GQ65" s="35" t="e">
        <f t="shared" si="97"/>
        <v>#DIV/0!</v>
      </c>
      <c r="GR65" s="35">
        <f t="shared" si="98"/>
        <v>0</v>
      </c>
      <c r="GS65" s="53"/>
      <c r="GT65" s="577"/>
      <c r="GU65" s="35">
        <f t="shared" si="248"/>
        <v>0</v>
      </c>
      <c r="GV65" s="53"/>
      <c r="GW65" s="67"/>
      <c r="GX65" s="67"/>
      <c r="GY65" s="567">
        <f t="shared" si="249"/>
        <v>0</v>
      </c>
      <c r="GZ65" s="934"/>
      <c r="HA65" s="53"/>
      <c r="HB65" s="53"/>
      <c r="HC65" s="28" t="e">
        <f t="shared" si="101"/>
        <v>#DIV/0!</v>
      </c>
      <c r="HD65" s="53"/>
      <c r="HE65" s="53"/>
      <c r="HF65" s="53"/>
      <c r="HG65" s="35">
        <f t="shared" si="102"/>
        <v>0</v>
      </c>
      <c r="HH65" s="35">
        <f t="shared" si="103"/>
        <v>0</v>
      </c>
      <c r="HI65" s="70"/>
      <c r="HJ65" s="70"/>
      <c r="HK65" s="19" t="e">
        <f>(#REF!+#REF!+HJ65)/AE65</f>
        <v>#REF!</v>
      </c>
      <c r="HL65" s="70"/>
      <c r="HM65" s="19">
        <f t="shared" si="104"/>
        <v>0</v>
      </c>
      <c r="HN65" s="36" t="e">
        <f>(#REF!+#REF!+HJ65+HL65)/(HI65+#REF!-HO65)</f>
        <v>#REF!</v>
      </c>
      <c r="HO65" s="70"/>
      <c r="HP65" s="70"/>
      <c r="HQ65" s="53"/>
      <c r="HR65" s="898"/>
      <c r="HS65" s="898"/>
      <c r="HT65" s="898"/>
      <c r="HU65" s="898">
        <f t="shared" ca="1" si="252"/>
        <v>0</v>
      </c>
      <c r="HV65" s="898"/>
      <c r="HW65" s="898"/>
      <c r="HX65" s="898">
        <f t="shared" si="196"/>
        <v>0</v>
      </c>
      <c r="HY65" s="898"/>
      <c r="HZ65" s="898"/>
      <c r="IA65" s="29" t="e">
        <f>#REF!+HI65</f>
        <v>#REF!</v>
      </c>
      <c r="IB65" s="752"/>
      <c r="IC65" s="73"/>
      <c r="ID65" s="373"/>
      <c r="IE65" s="373"/>
      <c r="IF65" s="373"/>
    </row>
    <row r="66" spans="1:240" ht="29.25" customHeight="1">
      <c r="A66" s="710" t="s">
        <v>356</v>
      </c>
      <c r="B66" s="710"/>
      <c r="C66" s="39" t="s">
        <v>14</v>
      </c>
      <c r="D66" s="39" t="s">
        <v>92</v>
      </c>
      <c r="E66" s="39">
        <v>2018</v>
      </c>
      <c r="F66" s="39"/>
      <c r="G66" s="39" t="s">
        <v>341</v>
      </c>
      <c r="H66" s="39" t="s">
        <v>147</v>
      </c>
      <c r="I66" s="39" t="s">
        <v>142</v>
      </c>
      <c r="J66" s="39"/>
      <c r="K66" s="39" t="s">
        <v>361</v>
      </c>
      <c r="L66" s="199" t="s">
        <v>379</v>
      </c>
      <c r="M66" s="129" t="s">
        <v>46</v>
      </c>
      <c r="N66" s="130" t="s">
        <v>373</v>
      </c>
      <c r="O66" s="229" t="s">
        <v>378</v>
      </c>
      <c r="P66" s="178"/>
      <c r="Q66" s="178"/>
      <c r="R66" s="178"/>
      <c r="S66" s="178"/>
      <c r="T66" s="178"/>
      <c r="U66" s="546"/>
      <c r="V66" s="546"/>
      <c r="W66" s="546"/>
      <c r="X66" s="178"/>
      <c r="Y66" s="162"/>
      <c r="Z66" s="736" t="e">
        <f t="shared" si="213"/>
        <v>#DIV/0!</v>
      </c>
      <c r="AA66" s="162"/>
      <c r="AB66" s="162"/>
      <c r="AC66" s="163"/>
      <c r="AD66" s="39" t="s">
        <v>340</v>
      </c>
      <c r="AE66" s="674">
        <f t="shared" si="214"/>
        <v>23</v>
      </c>
      <c r="AF66" s="674">
        <f t="shared" si="215"/>
        <v>0</v>
      </c>
      <c r="AG66" s="50"/>
      <c r="AH66" s="50"/>
      <c r="AI66" s="50"/>
      <c r="AJ66" s="149">
        <v>23</v>
      </c>
      <c r="AK66" s="209"/>
      <c r="AL66" s="422"/>
      <c r="AM66" s="875">
        <f t="shared" si="216"/>
        <v>0</v>
      </c>
      <c r="AN66" s="10">
        <f t="shared" si="217"/>
        <v>0</v>
      </c>
      <c r="AO66" s="43"/>
      <c r="AP66" s="43"/>
      <c r="AQ66" s="43"/>
      <c r="AR66" s="61"/>
      <c r="AS66" s="61"/>
      <c r="AT66" s="61"/>
      <c r="AU66" s="61"/>
      <c r="AV66" s="61"/>
      <c r="AW66" s="43"/>
      <c r="AX66" s="59"/>
      <c r="AY66" s="61"/>
      <c r="AZ66" s="43"/>
      <c r="BA66" s="39"/>
      <c r="BB66" s="39"/>
      <c r="BC66" s="39"/>
      <c r="BD66" s="39"/>
      <c r="BE66" s="39"/>
      <c r="BF66" s="39"/>
      <c r="BG66" s="39"/>
      <c r="BH66" s="87">
        <v>43308</v>
      </c>
      <c r="BI66" s="159">
        <v>43335</v>
      </c>
      <c r="BJ66" s="75">
        <v>43502</v>
      </c>
      <c r="BK66" s="867"/>
      <c r="BL66" s="125">
        <v>43396</v>
      </c>
      <c r="BM66" s="157">
        <v>43487</v>
      </c>
      <c r="BN66" s="1007">
        <f t="shared" si="73"/>
        <v>3.0333333333333332</v>
      </c>
      <c r="BO66" s="954">
        <v>91974</v>
      </c>
      <c r="BP66" s="622">
        <f>DATE(YEAR(BM66),MONTH(BM66)+3,DAY(BM66))</f>
        <v>43577</v>
      </c>
      <c r="BQ66" s="125">
        <v>43501</v>
      </c>
      <c r="BR66" s="225">
        <v>43586</v>
      </c>
      <c r="BS66" s="224">
        <f t="shared" si="218"/>
        <v>44317</v>
      </c>
      <c r="BT66" s="605">
        <v>38208.400000000001</v>
      </c>
      <c r="BU66" s="782"/>
      <c r="BV66" s="783"/>
      <c r="BW66" s="783"/>
      <c r="BX66" s="783"/>
      <c r="BY66" s="824"/>
      <c r="BZ66" s="696" t="s">
        <v>907</v>
      </c>
      <c r="CA66" s="703">
        <v>43494</v>
      </c>
      <c r="CB66" s="703">
        <v>43553</v>
      </c>
      <c r="CC66" s="703">
        <v>43566</v>
      </c>
      <c r="CD66" s="699">
        <v>43566</v>
      </c>
      <c r="CE66" s="703">
        <v>43494</v>
      </c>
      <c r="CF66" s="699">
        <v>43546</v>
      </c>
      <c r="CG66" s="699">
        <v>43565</v>
      </c>
      <c r="CH66" s="699">
        <v>43566</v>
      </c>
      <c r="CI66" s="739"/>
      <c r="CJ66" s="739"/>
      <c r="CK66" s="739"/>
      <c r="CL66" s="739"/>
      <c r="CM66" s="739"/>
      <c r="CN66" s="739"/>
      <c r="CO66" s="739"/>
      <c r="CP66" s="739"/>
      <c r="CQ66" s="488"/>
      <c r="CR66" s="489"/>
      <c r="CS66" s="489"/>
      <c r="CT66" s="492" t="str">
        <f t="shared" si="219"/>
        <v>0</v>
      </c>
      <c r="CU66" s="490">
        <v>43007</v>
      </c>
      <c r="CV66" s="490">
        <f ca="1">IF(CU66&lt;TODAY(),TODAY(),CU66)</f>
        <v>43647</v>
      </c>
      <c r="CW66" s="475">
        <f t="shared" ca="1" si="220"/>
        <v>640</v>
      </c>
      <c r="CX66" s="490">
        <v>42986</v>
      </c>
      <c r="CY66" s="488">
        <f ca="1">IF(CX66&lt;TODAY(),TODAY(),CX66)</f>
        <v>43647</v>
      </c>
      <c r="CZ66" s="475">
        <f t="shared" ca="1" si="221"/>
        <v>661</v>
      </c>
      <c r="DA66" s="490">
        <v>43067</v>
      </c>
      <c r="DB66" s="488">
        <f ca="1">IF(DA66&lt;TODAY(),TODAY(),DA66)</f>
        <v>43647</v>
      </c>
      <c r="DC66" s="475">
        <f t="shared" ca="1" si="222"/>
        <v>580</v>
      </c>
      <c r="DD66" s="490">
        <v>43126</v>
      </c>
      <c r="DE66" s="490">
        <f ca="1">IF(DD66&lt;TODAY(),TODAY(),DD66)</f>
        <v>43647</v>
      </c>
      <c r="DF66" s="475">
        <f t="shared" ca="1" si="223"/>
        <v>521</v>
      </c>
      <c r="DG66" s="438"/>
      <c r="DH66" s="488">
        <v>43403</v>
      </c>
      <c r="DI66" s="479">
        <v>43572</v>
      </c>
      <c r="DJ66" s="484">
        <f ca="1">IF(DI66&lt;TODAY(),TODAY(),DI66)</f>
        <v>43647</v>
      </c>
      <c r="DK66" s="481">
        <f t="shared" ca="1" si="254"/>
        <v>75</v>
      </c>
      <c r="DL66" s="479">
        <v>43587</v>
      </c>
      <c r="DM66" s="617">
        <v>43646</v>
      </c>
      <c r="DN66" s="326"/>
      <c r="DO66" s="432">
        <f t="shared" si="224"/>
        <v>10.366666666666667</v>
      </c>
      <c r="DP66" s="481">
        <f t="shared" si="225"/>
        <v>59</v>
      </c>
      <c r="DQ66" s="618">
        <v>8</v>
      </c>
      <c r="DR66" s="188">
        <f t="shared" si="226"/>
        <v>10</v>
      </c>
      <c r="DS66" s="479"/>
      <c r="DT66" s="484">
        <f t="shared" ca="1" si="227"/>
        <v>43647</v>
      </c>
      <c r="DU66" s="481" t="str">
        <f t="shared" ca="1" si="228"/>
        <v>0</v>
      </c>
      <c r="DV66" s="479"/>
      <c r="DW66" s="497">
        <f t="shared" ca="1" si="229"/>
        <v>43647</v>
      </c>
      <c r="DX66" s="482" t="str">
        <f t="shared" ca="1" si="230"/>
        <v>0</v>
      </c>
      <c r="DY66" s="483"/>
      <c r="DZ66" s="497">
        <f t="shared" ca="1" si="231"/>
        <v>43647</v>
      </c>
      <c r="EA66" s="481" t="str">
        <f t="shared" ca="1" si="232"/>
        <v>0</v>
      </c>
      <c r="EB66" s="484">
        <v>43508</v>
      </c>
      <c r="EC66" s="484">
        <f t="shared" ca="1" si="233"/>
        <v>43647</v>
      </c>
      <c r="ED66" s="481">
        <f t="shared" ca="1" si="234"/>
        <v>139</v>
      </c>
      <c r="EE66" s="485"/>
      <c r="EF66" s="485"/>
      <c r="EG66" s="481" t="str">
        <f t="shared" si="235"/>
        <v>0</v>
      </c>
      <c r="EH66" s="484"/>
      <c r="EI66" s="484">
        <f t="shared" ca="1" si="236"/>
        <v>43647</v>
      </c>
      <c r="EJ66" s="481" t="str">
        <f t="shared" ca="1" si="237"/>
        <v>0</v>
      </c>
      <c r="EK66" s="484">
        <v>43585</v>
      </c>
      <c r="EL66" s="484">
        <f t="shared" ca="1" si="238"/>
        <v>43647</v>
      </c>
      <c r="EM66" s="481">
        <f t="shared" ca="1" si="239"/>
        <v>62</v>
      </c>
      <c r="EN66" s="485"/>
      <c r="EO66" s="485"/>
      <c r="EP66" s="485"/>
      <c r="EQ66" s="654">
        <f t="shared" si="240"/>
        <v>43891</v>
      </c>
      <c r="ER66" s="653">
        <f>DATE(YEAR(EQ66),MONTH(EQ66)+2,DAY(EQ66))</f>
        <v>43952</v>
      </c>
      <c r="ES66" s="650">
        <f t="shared" si="241"/>
        <v>2.0333333333333332</v>
      </c>
      <c r="ET66" s="904">
        <f t="shared" ca="1" si="242"/>
        <v>10.166666666666666</v>
      </c>
      <c r="EU66" s="750">
        <f t="shared" ca="1" si="243"/>
        <v>44378</v>
      </c>
      <c r="EV66" s="748"/>
      <c r="EW66" s="737"/>
      <c r="EX66" s="737"/>
      <c r="EY66" s="443"/>
      <c r="EZ66" s="747">
        <f t="shared" si="255"/>
        <v>43922</v>
      </c>
      <c r="FA66" s="653">
        <f>DATE(YEAR(EZ66),MONTH(EZ66)+3,DAY(EZ66))</f>
        <v>44013</v>
      </c>
      <c r="FB66" s="518"/>
      <c r="FC66" s="647">
        <f t="shared" si="244"/>
        <v>3.0333333333333332</v>
      </c>
      <c r="FD66" s="635"/>
      <c r="FE66" s="192">
        <f t="shared" si="245"/>
        <v>0</v>
      </c>
      <c r="FF66" s="91"/>
      <c r="FG66" s="502">
        <v>0</v>
      </c>
      <c r="FH66" s="502">
        <v>0</v>
      </c>
      <c r="FI66" s="502"/>
      <c r="FJ66" s="502"/>
      <c r="FK66" s="502"/>
      <c r="FL66" s="664" t="e">
        <f t="shared" si="112"/>
        <v>#DIV/0!</v>
      </c>
      <c r="FM66" s="499"/>
      <c r="FN66" s="511"/>
      <c r="FO66" s="499" t="s">
        <v>591</v>
      </c>
      <c r="FP66" s="511" t="s">
        <v>897</v>
      </c>
      <c r="FQ66" s="94"/>
      <c r="FR66" s="94"/>
      <c r="FS66" s="94"/>
      <c r="FT66" s="94"/>
      <c r="FU66" s="94"/>
      <c r="FV66" s="39"/>
      <c r="FW66" s="212">
        <f t="shared" si="246"/>
        <v>44317</v>
      </c>
      <c r="FX66" s="212"/>
      <c r="FY66" s="39"/>
      <c r="FZ66" s="39"/>
      <c r="GA66" s="39"/>
      <c r="GB66" s="39"/>
      <c r="GC66" s="39"/>
      <c r="GD66" s="39"/>
      <c r="GE66" s="39"/>
      <c r="GF66" s="39"/>
      <c r="GG66" s="39"/>
      <c r="GH66" s="39"/>
      <c r="GI66" s="39"/>
      <c r="GJ66" s="39"/>
      <c r="GK66" s="39"/>
      <c r="GL66" s="742"/>
      <c r="GM66" s="979">
        <f t="shared" si="144"/>
        <v>0</v>
      </c>
      <c r="GN66" s="772">
        <f t="shared" si="247"/>
        <v>0</v>
      </c>
      <c r="GO66" s="53"/>
      <c r="GP66" s="898">
        <f>HA66+HB66+HF66</f>
        <v>0</v>
      </c>
      <c r="GQ66" s="35" t="e">
        <f t="shared" ref="GQ66:GQ95" si="256">GN66/AL66</f>
        <v>#DIV/0!</v>
      </c>
      <c r="GR66" s="35">
        <f t="shared" si="98"/>
        <v>0</v>
      </c>
      <c r="GS66" s="53"/>
      <c r="GT66" s="577"/>
      <c r="GU66" s="35">
        <f t="shared" si="248"/>
        <v>0</v>
      </c>
      <c r="GV66" s="53"/>
      <c r="GW66" s="67"/>
      <c r="GX66" s="67"/>
      <c r="GY66" s="567">
        <f t="shared" si="249"/>
        <v>0</v>
      </c>
      <c r="GZ66" s="934"/>
      <c r="HA66" s="53"/>
      <c r="HB66" s="53"/>
      <c r="HC66" s="28" t="e">
        <f t="shared" ref="HC66:HC99" si="257">HA66/GN66</f>
        <v>#DIV/0!</v>
      </c>
      <c r="HD66" s="53"/>
      <c r="HE66" s="53"/>
      <c r="HF66" s="53"/>
      <c r="HG66" s="35">
        <f t="shared" ref="HG66:HG96" si="258">HA66/AE66</f>
        <v>0</v>
      </c>
      <c r="HH66" s="35">
        <f t="shared" ref="HH66:HH96" si="259">(GS66+HA66)/AE66</f>
        <v>0</v>
      </c>
      <c r="HI66" s="70"/>
      <c r="HJ66" s="70"/>
      <c r="HK66" s="19" t="e">
        <f>(#REF!+#REF!+HJ66)/AE66</f>
        <v>#REF!</v>
      </c>
      <c r="HL66" s="70"/>
      <c r="HM66" s="19">
        <f t="shared" ref="HM66:HM96" si="260">(GS66+HA66+HJ66+HL66)/AE66</f>
        <v>0</v>
      </c>
      <c r="HN66" s="36" t="e">
        <f>(#REF!+#REF!+HJ66+HL66)/(HI66+#REF!-HO66)</f>
        <v>#REF!</v>
      </c>
      <c r="HO66" s="70"/>
      <c r="HP66" s="70"/>
      <c r="HQ66" s="53"/>
      <c r="HR66" s="898"/>
      <c r="HS66" s="898"/>
      <c r="HT66" s="898"/>
      <c r="HU66" s="898">
        <f t="shared" ca="1" si="252"/>
        <v>0</v>
      </c>
      <c r="HV66" s="898"/>
      <c r="HW66" s="898"/>
      <c r="HX66" s="898">
        <f t="shared" si="196"/>
        <v>0</v>
      </c>
      <c r="HY66" s="898"/>
      <c r="HZ66" s="898"/>
      <c r="IA66" s="29" t="e">
        <f>#REF!+HI66</f>
        <v>#REF!</v>
      </c>
      <c r="IB66" s="752"/>
      <c r="IC66" s="73"/>
      <c r="ID66" s="373"/>
      <c r="IE66" s="373"/>
      <c r="IF66" s="373"/>
    </row>
    <row r="67" spans="1:240" ht="33.75" customHeight="1">
      <c r="A67" s="710" t="s">
        <v>354</v>
      </c>
      <c r="B67" s="710"/>
      <c r="C67" s="39" t="s">
        <v>14</v>
      </c>
      <c r="D67" s="39" t="s">
        <v>92</v>
      </c>
      <c r="E67" s="39">
        <v>2018</v>
      </c>
      <c r="F67" s="39"/>
      <c r="G67" s="39" t="s">
        <v>341</v>
      </c>
      <c r="H67" s="8" t="s">
        <v>146</v>
      </c>
      <c r="I67" s="39" t="s">
        <v>142</v>
      </c>
      <c r="J67" s="39"/>
      <c r="K67" s="39" t="s">
        <v>355</v>
      </c>
      <c r="L67" s="199" t="s">
        <v>395</v>
      </c>
      <c r="M67" s="129" t="s">
        <v>46</v>
      </c>
      <c r="N67" s="130" t="s">
        <v>394</v>
      </c>
      <c r="O67" s="131">
        <v>33994</v>
      </c>
      <c r="P67" s="178"/>
      <c r="Q67" s="178"/>
      <c r="R67" s="178"/>
      <c r="S67" s="178"/>
      <c r="T67" s="178"/>
      <c r="U67" s="546"/>
      <c r="V67" s="546"/>
      <c r="W67" s="546"/>
      <c r="X67" s="178"/>
      <c r="Y67" s="162"/>
      <c r="Z67" s="736" t="e">
        <f t="shared" si="213"/>
        <v>#DIV/0!</v>
      </c>
      <c r="AA67" s="162"/>
      <c r="AB67" s="162"/>
      <c r="AC67" s="163"/>
      <c r="AD67" s="39" t="s">
        <v>340</v>
      </c>
      <c r="AE67" s="674">
        <f t="shared" si="214"/>
        <v>30</v>
      </c>
      <c r="AF67" s="674">
        <f t="shared" si="215"/>
        <v>0</v>
      </c>
      <c r="AG67" s="50"/>
      <c r="AH67" s="50"/>
      <c r="AI67" s="50"/>
      <c r="AJ67" s="149">
        <v>30</v>
      </c>
      <c r="AK67" s="209"/>
      <c r="AL67" s="422"/>
      <c r="AM67" s="875">
        <f t="shared" si="216"/>
        <v>0</v>
      </c>
      <c r="AN67" s="10">
        <f t="shared" si="217"/>
        <v>0</v>
      </c>
      <c r="AO67" s="43"/>
      <c r="AP67" s="43"/>
      <c r="AQ67" s="43"/>
      <c r="AR67" s="61"/>
      <c r="AS67" s="61"/>
      <c r="AT67" s="61"/>
      <c r="AU67" s="61"/>
      <c r="AV67" s="61"/>
      <c r="AW67" s="43"/>
      <c r="AX67" s="59"/>
      <c r="AY67" s="61"/>
      <c r="AZ67" s="43"/>
      <c r="BA67" s="39"/>
      <c r="BB67" s="39"/>
      <c r="BC67" s="39"/>
      <c r="BD67" s="39"/>
      <c r="BE67" s="39"/>
      <c r="BF67" s="39"/>
      <c r="BG67" s="39"/>
      <c r="BH67" s="87">
        <v>43308</v>
      </c>
      <c r="BI67" s="159">
        <v>43335</v>
      </c>
      <c r="BJ67" s="75">
        <v>43502</v>
      </c>
      <c r="BK67" s="867"/>
      <c r="BL67" s="125">
        <v>43396</v>
      </c>
      <c r="BM67" s="157">
        <v>43487</v>
      </c>
      <c r="BN67" s="1007">
        <f t="shared" si="73"/>
        <v>3.0333333333333332</v>
      </c>
      <c r="BO67" s="954">
        <v>91965</v>
      </c>
      <c r="BP67" s="622">
        <f>DATE(YEAR(BM67),MONTH(BM67)+3,DAY(BM67))</f>
        <v>43577</v>
      </c>
      <c r="BQ67" s="125">
        <v>43501</v>
      </c>
      <c r="BR67" s="225">
        <v>43586</v>
      </c>
      <c r="BS67" s="224">
        <f t="shared" si="218"/>
        <v>44317</v>
      </c>
      <c r="BT67" s="605">
        <v>31121.89</v>
      </c>
      <c r="BU67" s="782"/>
      <c r="BV67" s="783"/>
      <c r="BW67" s="783"/>
      <c r="BX67" s="783"/>
      <c r="BY67" s="824"/>
      <c r="BZ67" s="696" t="s">
        <v>907</v>
      </c>
      <c r="CA67" s="703">
        <v>43494</v>
      </c>
      <c r="CB67" s="703">
        <v>43553</v>
      </c>
      <c r="CC67" s="703">
        <v>43566</v>
      </c>
      <c r="CD67" s="699">
        <v>43566</v>
      </c>
      <c r="CE67" s="703">
        <v>43494</v>
      </c>
      <c r="CF67" s="699">
        <v>43546</v>
      </c>
      <c r="CG67" s="699">
        <v>43565</v>
      </c>
      <c r="CH67" s="699">
        <v>43566</v>
      </c>
      <c r="CI67" s="739"/>
      <c r="CJ67" s="739"/>
      <c r="CK67" s="739"/>
      <c r="CL67" s="739"/>
      <c r="CM67" s="739"/>
      <c r="CN67" s="739"/>
      <c r="CO67" s="739"/>
      <c r="CP67" s="739"/>
      <c r="CQ67" s="488"/>
      <c r="CR67" s="490"/>
      <c r="CS67" s="490"/>
      <c r="CT67" s="492" t="str">
        <f t="shared" si="219"/>
        <v>0</v>
      </c>
      <c r="CU67" s="490">
        <v>42969</v>
      </c>
      <c r="CV67" s="490">
        <f ca="1">IF(CU67&lt;TODAY(),TODAY(),CU67)</f>
        <v>43647</v>
      </c>
      <c r="CW67" s="475">
        <f t="shared" ca="1" si="220"/>
        <v>678</v>
      </c>
      <c r="CX67" s="490">
        <v>42948</v>
      </c>
      <c r="CY67" s="490">
        <f ca="1">IF(CX67&lt;TODAY(),TODAY(),CX67)</f>
        <v>43647</v>
      </c>
      <c r="CZ67" s="475">
        <f t="shared" ca="1" si="221"/>
        <v>699</v>
      </c>
      <c r="DA67" s="490">
        <v>43028</v>
      </c>
      <c r="DB67" s="490">
        <f ca="1">IF(DA67&lt;TODAY(),TODAY(),DA67)</f>
        <v>43647</v>
      </c>
      <c r="DC67" s="475">
        <f t="shared" ca="1" si="222"/>
        <v>619</v>
      </c>
      <c r="DD67" s="490">
        <v>43089</v>
      </c>
      <c r="DE67" s="490">
        <f ca="1">IF(DD67&lt;TODAY(),TODAY(),DD67)</f>
        <v>43647</v>
      </c>
      <c r="DF67" s="475">
        <f t="shared" ca="1" si="223"/>
        <v>558</v>
      </c>
      <c r="DG67" s="438"/>
      <c r="DH67" s="488">
        <v>43403</v>
      </c>
      <c r="DI67" s="479">
        <v>43532</v>
      </c>
      <c r="DJ67" s="484">
        <f ca="1">IF(DI67&lt;TODAY(),TODAY(),DI67)</f>
        <v>43647</v>
      </c>
      <c r="DK67" s="481">
        <f t="shared" ca="1" si="254"/>
        <v>115</v>
      </c>
      <c r="DL67" s="479">
        <v>43549</v>
      </c>
      <c r="DM67" s="617">
        <v>43646</v>
      </c>
      <c r="DN67" s="326"/>
      <c r="DO67" s="432">
        <f t="shared" si="224"/>
        <v>10.366666666666667</v>
      </c>
      <c r="DP67" s="481">
        <f t="shared" si="225"/>
        <v>97</v>
      </c>
      <c r="DQ67" s="618">
        <v>10</v>
      </c>
      <c r="DR67" s="188">
        <f t="shared" si="226"/>
        <v>11</v>
      </c>
      <c r="DS67" s="479"/>
      <c r="DT67" s="484">
        <f t="shared" ca="1" si="227"/>
        <v>43647</v>
      </c>
      <c r="DU67" s="481" t="str">
        <f t="shared" ca="1" si="228"/>
        <v>0</v>
      </c>
      <c r="DV67" s="479"/>
      <c r="DW67" s="497">
        <f t="shared" ca="1" si="229"/>
        <v>43647</v>
      </c>
      <c r="DX67" s="482" t="str">
        <f t="shared" ca="1" si="230"/>
        <v>0</v>
      </c>
      <c r="DY67" s="483"/>
      <c r="DZ67" s="497">
        <f t="shared" ca="1" si="231"/>
        <v>43647</v>
      </c>
      <c r="EA67" s="481" t="str">
        <f t="shared" ca="1" si="232"/>
        <v>0</v>
      </c>
      <c r="EB67" s="484">
        <v>43509</v>
      </c>
      <c r="EC67" s="484">
        <f t="shared" ca="1" si="233"/>
        <v>43647</v>
      </c>
      <c r="ED67" s="481">
        <f t="shared" ca="1" si="234"/>
        <v>138</v>
      </c>
      <c r="EE67" s="485"/>
      <c r="EF67" s="485"/>
      <c r="EG67" s="481" t="str">
        <f t="shared" si="235"/>
        <v>0</v>
      </c>
      <c r="EH67" s="484"/>
      <c r="EI67" s="484">
        <f t="shared" ca="1" si="236"/>
        <v>43647</v>
      </c>
      <c r="EJ67" s="481" t="str">
        <f t="shared" ca="1" si="237"/>
        <v>0</v>
      </c>
      <c r="EK67" s="484">
        <v>43586</v>
      </c>
      <c r="EL67" s="484">
        <f t="shared" ca="1" si="238"/>
        <v>43647</v>
      </c>
      <c r="EM67" s="481">
        <f t="shared" ca="1" si="239"/>
        <v>61</v>
      </c>
      <c r="EN67" s="485"/>
      <c r="EO67" s="485"/>
      <c r="EP67" s="485"/>
      <c r="EQ67" s="654">
        <f t="shared" si="240"/>
        <v>43951</v>
      </c>
      <c r="ER67" s="653">
        <f>DATE(YEAR(EQ67),MONTH(EQ67)+1,DAY(EQ67))</f>
        <v>43981</v>
      </c>
      <c r="ES67" s="650">
        <f t="shared" si="241"/>
        <v>1</v>
      </c>
      <c r="ET67" s="904">
        <f t="shared" ca="1" si="242"/>
        <v>11.133333333333333</v>
      </c>
      <c r="EU67" s="750">
        <f t="shared" ca="1" si="243"/>
        <v>44378</v>
      </c>
      <c r="EV67" s="748"/>
      <c r="EW67" s="737"/>
      <c r="EX67" s="749"/>
      <c r="EY67" s="443"/>
      <c r="EZ67" s="747">
        <f t="shared" si="255"/>
        <v>43981</v>
      </c>
      <c r="FA67" s="653">
        <f>DATE(YEAR(EZ67),MONTH(EZ67)+3,DAY(EZ67))</f>
        <v>44073</v>
      </c>
      <c r="FB67" s="518"/>
      <c r="FC67" s="647">
        <f t="shared" si="244"/>
        <v>3.0666666666666669</v>
      </c>
      <c r="FD67" s="635"/>
      <c r="FE67" s="192">
        <f t="shared" si="245"/>
        <v>0</v>
      </c>
      <c r="FF67" s="91"/>
      <c r="FG67" s="502">
        <v>0</v>
      </c>
      <c r="FH67" s="502">
        <v>0</v>
      </c>
      <c r="FI67" s="502"/>
      <c r="FJ67" s="502"/>
      <c r="FK67" s="502"/>
      <c r="FL67" s="664" t="e">
        <f t="shared" ref="FL67:FL96" si="261">FK67/GN67</f>
        <v>#DIV/0!</v>
      </c>
      <c r="FM67" s="499"/>
      <c r="FN67" s="511"/>
      <c r="FO67" s="499" t="s">
        <v>591</v>
      </c>
      <c r="FP67" s="511" t="s">
        <v>896</v>
      </c>
      <c r="FQ67" s="94"/>
      <c r="FR67" s="94"/>
      <c r="FS67" s="94"/>
      <c r="FT67" s="94"/>
      <c r="FU67" s="94"/>
      <c r="FV67" s="39"/>
      <c r="FW67" s="212">
        <f t="shared" si="246"/>
        <v>44346</v>
      </c>
      <c r="FX67" s="212"/>
      <c r="FY67" s="39"/>
      <c r="FZ67" s="39"/>
      <c r="GA67" s="39"/>
      <c r="GB67" s="39"/>
      <c r="GC67" s="39"/>
      <c r="GD67" s="39"/>
      <c r="GE67" s="39"/>
      <c r="GF67" s="39"/>
      <c r="GG67" s="39"/>
      <c r="GH67" s="39"/>
      <c r="GI67" s="39"/>
      <c r="GJ67" s="39"/>
      <c r="GK67" s="39"/>
      <c r="GL67" s="742"/>
      <c r="GM67" s="979">
        <f t="shared" si="144"/>
        <v>0</v>
      </c>
      <c r="GN67" s="772">
        <f t="shared" si="247"/>
        <v>0</v>
      </c>
      <c r="GO67" s="53"/>
      <c r="GP67" s="898">
        <f>HA67+HB67+HF67</f>
        <v>0</v>
      </c>
      <c r="GQ67" s="35" t="e">
        <f t="shared" si="256"/>
        <v>#DIV/0!</v>
      </c>
      <c r="GR67" s="35">
        <f t="shared" si="98"/>
        <v>0</v>
      </c>
      <c r="GS67" s="53"/>
      <c r="GT67" s="577"/>
      <c r="GU67" s="35">
        <f t="shared" si="248"/>
        <v>0</v>
      </c>
      <c r="GV67" s="53"/>
      <c r="GW67" s="67"/>
      <c r="GX67" s="67"/>
      <c r="GY67" s="567">
        <f t="shared" si="249"/>
        <v>0</v>
      </c>
      <c r="GZ67" s="934"/>
      <c r="HA67" s="53"/>
      <c r="HB67" s="53"/>
      <c r="HC67" s="28" t="e">
        <f t="shared" si="257"/>
        <v>#DIV/0!</v>
      </c>
      <c r="HD67" s="53"/>
      <c r="HE67" s="53"/>
      <c r="HF67" s="53"/>
      <c r="HG67" s="35">
        <f t="shared" si="258"/>
        <v>0</v>
      </c>
      <c r="HH67" s="35">
        <f t="shared" si="259"/>
        <v>0</v>
      </c>
      <c r="HI67" s="70"/>
      <c r="HJ67" s="70"/>
      <c r="HK67" s="19" t="e">
        <f>(#REF!+#REF!+HJ67)/AE67</f>
        <v>#REF!</v>
      </c>
      <c r="HL67" s="70"/>
      <c r="HM67" s="19">
        <f t="shared" si="260"/>
        <v>0</v>
      </c>
      <c r="HN67" s="36" t="e">
        <f>(#REF!+#REF!+HJ67+HL67)/(HI67+#REF!-HO67)</f>
        <v>#REF!</v>
      </c>
      <c r="HO67" s="70"/>
      <c r="HP67" s="70"/>
      <c r="HQ67" s="53"/>
      <c r="HR67" s="898"/>
      <c r="HS67" s="898"/>
      <c r="HT67" s="898"/>
      <c r="HU67" s="898">
        <f t="shared" ca="1" si="252"/>
        <v>0</v>
      </c>
      <c r="HV67" s="898"/>
      <c r="HW67" s="898"/>
      <c r="HX67" s="898"/>
      <c r="HY67" s="898"/>
      <c r="HZ67" s="898"/>
      <c r="IA67" s="29" t="e">
        <f>#REF!+HI67</f>
        <v>#REF!</v>
      </c>
      <c r="IB67" s="752"/>
      <c r="IC67" s="73"/>
      <c r="ID67" s="373"/>
      <c r="IE67" s="373"/>
      <c r="IF67" s="373"/>
    </row>
    <row r="68" spans="1:240" ht="37.5" customHeight="1">
      <c r="A68" s="710" t="s">
        <v>357</v>
      </c>
      <c r="B68" s="710"/>
      <c r="C68" s="39" t="s">
        <v>31</v>
      </c>
      <c r="D68" s="39" t="s">
        <v>92</v>
      </c>
      <c r="E68" s="39">
        <v>2018</v>
      </c>
      <c r="F68" s="39"/>
      <c r="G68" s="39" t="s">
        <v>926</v>
      </c>
      <c r="H68" s="39" t="s">
        <v>146</v>
      </c>
      <c r="I68" s="39" t="s">
        <v>142</v>
      </c>
      <c r="J68" s="39"/>
      <c r="K68" s="39" t="s">
        <v>362</v>
      </c>
      <c r="L68" s="199" t="s">
        <v>398</v>
      </c>
      <c r="M68" s="129" t="s">
        <v>46</v>
      </c>
      <c r="N68" s="130" t="s">
        <v>377</v>
      </c>
      <c r="O68" s="131">
        <v>34319</v>
      </c>
      <c r="P68" s="178"/>
      <c r="Q68" s="178"/>
      <c r="R68" s="178"/>
      <c r="S68" s="178"/>
      <c r="T68" s="178"/>
      <c r="U68" s="546"/>
      <c r="V68" s="546"/>
      <c r="W68" s="546"/>
      <c r="X68" s="178"/>
      <c r="Y68" s="162"/>
      <c r="Z68" s="736" t="e">
        <f t="shared" si="213"/>
        <v>#DIV/0!</v>
      </c>
      <c r="AA68" s="162"/>
      <c r="AB68" s="162"/>
      <c r="AC68" s="163"/>
      <c r="AD68" s="39" t="s">
        <v>340</v>
      </c>
      <c r="AE68" s="674">
        <f t="shared" si="214"/>
        <v>34</v>
      </c>
      <c r="AF68" s="674">
        <f t="shared" si="215"/>
        <v>0</v>
      </c>
      <c r="AG68" s="50"/>
      <c r="AH68" s="50"/>
      <c r="AI68" s="50"/>
      <c r="AJ68" s="149">
        <v>34</v>
      </c>
      <c r="AK68" s="209"/>
      <c r="AL68" s="422"/>
      <c r="AM68" s="875">
        <f t="shared" si="216"/>
        <v>0</v>
      </c>
      <c r="AN68" s="10">
        <f t="shared" si="217"/>
        <v>0</v>
      </c>
      <c r="AO68" s="43"/>
      <c r="AP68" s="43"/>
      <c r="AQ68" s="43"/>
      <c r="AR68" s="61"/>
      <c r="AS68" s="61"/>
      <c r="AT68" s="61"/>
      <c r="AU68" s="61"/>
      <c r="AV68" s="61"/>
      <c r="AW68" s="43"/>
      <c r="AX68" s="59"/>
      <c r="AY68" s="61"/>
      <c r="AZ68" s="43"/>
      <c r="BA68" s="39"/>
      <c r="BB68" s="39"/>
      <c r="BC68" s="39"/>
      <c r="BD68" s="39"/>
      <c r="BE68" s="39"/>
      <c r="BF68" s="39"/>
      <c r="BG68" s="39"/>
      <c r="BH68" s="87">
        <v>43308</v>
      </c>
      <c r="BI68" s="159">
        <v>43335</v>
      </c>
      <c r="BJ68" s="75">
        <v>43502</v>
      </c>
      <c r="BK68" s="867"/>
      <c r="BL68" s="125">
        <v>43396</v>
      </c>
      <c r="BM68" s="157">
        <v>43487</v>
      </c>
      <c r="BN68" s="1007">
        <f t="shared" si="73"/>
        <v>3.0333333333333332</v>
      </c>
      <c r="BO68" s="954">
        <v>91972</v>
      </c>
      <c r="BP68" s="622">
        <f>DATE(YEAR(BM68),MONTH(BM68)+3,DAY(BM68))</f>
        <v>43577</v>
      </c>
      <c r="BQ68" s="125">
        <v>43501</v>
      </c>
      <c r="BR68" s="225">
        <v>43525</v>
      </c>
      <c r="BS68" s="224">
        <f t="shared" si="218"/>
        <v>44256</v>
      </c>
      <c r="BT68" s="605">
        <v>27026</v>
      </c>
      <c r="BU68" s="782"/>
      <c r="BV68" s="783"/>
      <c r="BW68" s="783"/>
      <c r="BX68" s="783"/>
      <c r="BY68" s="705"/>
      <c r="BZ68" s="696" t="s">
        <v>922</v>
      </c>
      <c r="CA68" s="703">
        <v>43494</v>
      </c>
      <c r="CB68" s="703">
        <v>43566</v>
      </c>
      <c r="CC68" s="703">
        <v>43573</v>
      </c>
      <c r="CD68" s="699"/>
      <c r="CE68" s="703">
        <v>43494</v>
      </c>
      <c r="CF68" s="699">
        <v>43546</v>
      </c>
      <c r="CG68" s="699"/>
      <c r="CH68" s="699"/>
      <c r="CI68" s="739"/>
      <c r="CJ68" s="739"/>
      <c r="CK68" s="739"/>
      <c r="CL68" s="739"/>
      <c r="CM68" s="739"/>
      <c r="CN68" s="739"/>
      <c r="CO68" s="739"/>
      <c r="CP68" s="739"/>
      <c r="CQ68" s="488">
        <v>42927</v>
      </c>
      <c r="CR68" s="490"/>
      <c r="CS68" s="490"/>
      <c r="CT68" s="492" t="str">
        <f t="shared" si="219"/>
        <v>0</v>
      </c>
      <c r="CU68" s="490">
        <v>43067</v>
      </c>
      <c r="CV68" s="490">
        <f ca="1">IF(CU68&lt;TODAY(),TODAY(),CU68)</f>
        <v>43647</v>
      </c>
      <c r="CW68" s="475">
        <f t="shared" ca="1" si="220"/>
        <v>580</v>
      </c>
      <c r="CX68" s="490">
        <v>43046</v>
      </c>
      <c r="CY68" s="490">
        <f ca="1">IF(CX68&lt;TODAY(),TODAY(),CX68)</f>
        <v>43647</v>
      </c>
      <c r="CZ68" s="475">
        <f t="shared" ca="1" si="221"/>
        <v>601</v>
      </c>
      <c r="DA68" s="490">
        <v>43126</v>
      </c>
      <c r="DB68" s="490">
        <f ca="1">IF(DA68&lt;TODAY(),TODAY(),DA68)</f>
        <v>43647</v>
      </c>
      <c r="DC68" s="475">
        <f t="shared" ca="1" si="222"/>
        <v>521</v>
      </c>
      <c r="DD68" s="490">
        <v>43187</v>
      </c>
      <c r="DE68" s="490">
        <f ca="1">IF(DD68&lt;TODAY(),TODAY(),DD68)</f>
        <v>43647</v>
      </c>
      <c r="DF68" s="475">
        <f t="shared" ca="1" si="223"/>
        <v>460</v>
      </c>
      <c r="DG68" s="438"/>
      <c r="DH68" s="488">
        <v>43403</v>
      </c>
      <c r="DI68" s="479">
        <v>43630</v>
      </c>
      <c r="DJ68" s="484">
        <f ca="1">IF(DI68&lt;TODAY(),TODAY(),DI68)</f>
        <v>43647</v>
      </c>
      <c r="DK68" s="481">
        <f t="shared" ca="1" si="254"/>
        <v>17</v>
      </c>
      <c r="DL68" s="237">
        <v>43647</v>
      </c>
      <c r="DM68" s="430">
        <v>43650</v>
      </c>
      <c r="DN68" s="431">
        <v>2019</v>
      </c>
      <c r="DO68" s="436">
        <f t="shared" si="224"/>
        <v>10.5</v>
      </c>
      <c r="DP68" s="616">
        <f t="shared" si="225"/>
        <v>3</v>
      </c>
      <c r="DQ68" s="198">
        <v>10</v>
      </c>
      <c r="DR68" s="90">
        <f t="shared" si="226"/>
        <v>11</v>
      </c>
      <c r="DS68" s="479"/>
      <c r="DT68" s="484">
        <f t="shared" ca="1" si="227"/>
        <v>43647</v>
      </c>
      <c r="DU68" s="481" t="str">
        <f t="shared" ca="1" si="228"/>
        <v>0</v>
      </c>
      <c r="DV68" s="479"/>
      <c r="DW68" s="497">
        <f t="shared" ca="1" si="229"/>
        <v>43647</v>
      </c>
      <c r="DX68" s="482" t="str">
        <f t="shared" ca="1" si="230"/>
        <v>0</v>
      </c>
      <c r="DY68" s="483"/>
      <c r="DZ68" s="497">
        <f t="shared" ca="1" si="231"/>
        <v>43647</v>
      </c>
      <c r="EA68" s="481" t="str">
        <f t="shared" ca="1" si="232"/>
        <v>0</v>
      </c>
      <c r="EB68" s="484">
        <v>43510</v>
      </c>
      <c r="EC68" s="484">
        <f t="shared" ca="1" si="233"/>
        <v>43647</v>
      </c>
      <c r="ED68" s="481">
        <f t="shared" ca="1" si="234"/>
        <v>137</v>
      </c>
      <c r="EE68" s="485"/>
      <c r="EF68" s="485"/>
      <c r="EG68" s="481" t="str">
        <f t="shared" si="235"/>
        <v>0</v>
      </c>
      <c r="EH68" s="484"/>
      <c r="EI68" s="484">
        <f t="shared" ca="1" si="236"/>
        <v>43647</v>
      </c>
      <c r="EJ68" s="481" t="str">
        <f t="shared" ca="1" si="237"/>
        <v>0</v>
      </c>
      <c r="EK68" s="484">
        <v>43587</v>
      </c>
      <c r="EL68" s="484">
        <f t="shared" ca="1" si="238"/>
        <v>43647</v>
      </c>
      <c r="EM68" s="481">
        <f t="shared" ca="1" si="239"/>
        <v>60</v>
      </c>
      <c r="EN68" s="484"/>
      <c r="EO68" s="484"/>
      <c r="EP68" s="484"/>
      <c r="EQ68" s="654">
        <f t="shared" si="240"/>
        <v>43955</v>
      </c>
      <c r="ER68" s="653">
        <f>DATE(YEAR(EQ68),MONTH(EQ68)+1,DAY(EQ68))</f>
        <v>43986</v>
      </c>
      <c r="ES68" s="650">
        <f t="shared" si="241"/>
        <v>1.0333333333333334</v>
      </c>
      <c r="ET68" s="904">
        <f t="shared" ca="1" si="242"/>
        <v>11.3</v>
      </c>
      <c r="EU68" s="750">
        <f t="shared" ca="1" si="243"/>
        <v>44378</v>
      </c>
      <c r="EV68" s="748"/>
      <c r="EW68" s="737"/>
      <c r="EX68" s="749"/>
      <c r="EY68" s="443"/>
      <c r="EZ68" s="747">
        <f t="shared" si="255"/>
        <v>43986</v>
      </c>
      <c r="FA68" s="653">
        <f>DATE(YEAR(EZ68),MONTH(EZ68)+3,DAY(EZ68))</f>
        <v>44078</v>
      </c>
      <c r="FB68" s="518"/>
      <c r="FC68" s="647">
        <f t="shared" si="244"/>
        <v>3.0666666666666669</v>
      </c>
      <c r="FD68" s="635"/>
      <c r="FE68" s="192">
        <f t="shared" si="245"/>
        <v>0</v>
      </c>
      <c r="FF68" s="91"/>
      <c r="FG68" s="502">
        <v>0</v>
      </c>
      <c r="FH68" s="502">
        <v>0</v>
      </c>
      <c r="FI68" s="502">
        <v>251577</v>
      </c>
      <c r="FJ68" s="502"/>
      <c r="FK68" s="502"/>
      <c r="FL68" s="664" t="e">
        <f t="shared" si="261"/>
        <v>#DIV/0!</v>
      </c>
      <c r="FM68" s="499"/>
      <c r="FN68" s="511"/>
      <c r="FO68" s="499" t="s">
        <v>591</v>
      </c>
      <c r="FP68" s="511" t="s">
        <v>897</v>
      </c>
      <c r="FQ68" s="94"/>
      <c r="FR68" s="94"/>
      <c r="FS68" s="94"/>
      <c r="FT68" s="94"/>
      <c r="FU68" s="94"/>
      <c r="FV68" s="39"/>
      <c r="FW68" s="212">
        <f t="shared" si="246"/>
        <v>44351</v>
      </c>
      <c r="FX68" s="212"/>
      <c r="FY68" s="39"/>
      <c r="FZ68" s="39"/>
      <c r="GA68" s="39"/>
      <c r="GB68" s="39"/>
      <c r="GC68" s="39"/>
      <c r="GD68" s="39"/>
      <c r="GE68" s="39"/>
      <c r="GF68" s="39"/>
      <c r="GG68" s="39"/>
      <c r="GH68" s="39"/>
      <c r="GI68" s="39"/>
      <c r="GJ68" s="39"/>
      <c r="GK68" s="39"/>
      <c r="GL68" s="742"/>
      <c r="GM68" s="979">
        <f t="shared" si="144"/>
        <v>0</v>
      </c>
      <c r="GN68" s="772">
        <f t="shared" si="247"/>
        <v>0</v>
      </c>
      <c r="GO68" s="53"/>
      <c r="GP68" s="898">
        <f>HA68+HB68+HF68</f>
        <v>0</v>
      </c>
      <c r="GQ68" s="35" t="e">
        <f t="shared" si="256"/>
        <v>#DIV/0!</v>
      </c>
      <c r="GR68" s="35" t="e">
        <f>#REF!/AE68</f>
        <v>#REF!</v>
      </c>
      <c r="GS68" s="53"/>
      <c r="GT68" s="577"/>
      <c r="GU68" s="35">
        <f t="shared" si="248"/>
        <v>0</v>
      </c>
      <c r="GV68" s="53"/>
      <c r="GW68" s="67"/>
      <c r="GX68" s="67"/>
      <c r="GY68" s="567">
        <f t="shared" si="249"/>
        <v>0</v>
      </c>
      <c r="GZ68" s="934"/>
      <c r="HA68" s="53"/>
      <c r="HB68" s="53"/>
      <c r="HC68" s="28" t="e">
        <f t="shared" si="257"/>
        <v>#DIV/0!</v>
      </c>
      <c r="HD68" s="53"/>
      <c r="HE68" s="53"/>
      <c r="HF68" s="53"/>
      <c r="HG68" s="35">
        <f t="shared" si="258"/>
        <v>0</v>
      </c>
      <c r="HH68" s="35">
        <f t="shared" si="259"/>
        <v>0</v>
      </c>
      <c r="HI68" s="70"/>
      <c r="HJ68" s="70"/>
      <c r="HK68" s="19" t="e">
        <f>(#REF!+#REF!+HJ68)/AE68</f>
        <v>#REF!</v>
      </c>
      <c r="HL68" s="70"/>
      <c r="HM68" s="19">
        <f t="shared" si="260"/>
        <v>0</v>
      </c>
      <c r="HN68" s="36" t="e">
        <f>(#REF!+#REF!+HJ68+HL68)/(HI68+#REF!-HO68)</f>
        <v>#REF!</v>
      </c>
      <c r="HO68" s="70"/>
      <c r="HP68" s="70"/>
      <c r="HQ68" s="53"/>
      <c r="HR68" s="898"/>
      <c r="HS68" s="898"/>
      <c r="HT68" s="898"/>
      <c r="HU68" s="898">
        <f t="shared" ca="1" si="252"/>
        <v>0</v>
      </c>
      <c r="HV68" s="898"/>
      <c r="HW68" s="898"/>
      <c r="HX68" s="898"/>
      <c r="HY68" s="898"/>
      <c r="HZ68" s="898"/>
      <c r="IA68" s="29" t="e">
        <f>#REF!+HI68</f>
        <v>#REF!</v>
      </c>
      <c r="IB68" s="752"/>
      <c r="IC68" s="73"/>
      <c r="ID68" s="373"/>
      <c r="IE68" s="373"/>
      <c r="IF68" s="373"/>
    </row>
    <row r="69" spans="1:240" ht="29.25" customHeight="1">
      <c r="A69" s="787" t="s">
        <v>936</v>
      </c>
      <c r="B69" s="787" t="s">
        <v>635</v>
      </c>
      <c r="C69" s="39" t="s">
        <v>14</v>
      </c>
      <c r="D69" s="39" t="s">
        <v>92</v>
      </c>
      <c r="E69" s="39">
        <v>2016</v>
      </c>
      <c r="F69" s="39" t="s">
        <v>211</v>
      </c>
      <c r="G69" s="39" t="s">
        <v>16</v>
      </c>
      <c r="H69" s="39" t="s">
        <v>145</v>
      </c>
      <c r="I69" s="39" t="s">
        <v>142</v>
      </c>
      <c r="J69" s="39"/>
      <c r="K69" s="39" t="s">
        <v>276</v>
      </c>
      <c r="L69" s="199" t="s">
        <v>699</v>
      </c>
      <c r="M69" s="129"/>
      <c r="N69" s="130"/>
      <c r="O69" s="131"/>
      <c r="P69" s="161">
        <v>2872</v>
      </c>
      <c r="Q69" s="161">
        <v>516960</v>
      </c>
      <c r="R69" s="161">
        <f>Q69</f>
        <v>516960</v>
      </c>
      <c r="S69" s="161">
        <f>Q69/AE69</f>
        <v>12924</v>
      </c>
      <c r="T69" s="161">
        <f t="shared" ref="T69:T86" si="262">Q69/P69</f>
        <v>180</v>
      </c>
      <c r="U69" s="167">
        <f t="shared" ref="U69:U86" si="263">R69/P69</f>
        <v>180</v>
      </c>
      <c r="V69" s="167">
        <f t="shared" ref="V69:V86" si="264">R69/AL69</f>
        <v>220.70237454852838</v>
      </c>
      <c r="W69" s="167">
        <f t="shared" ref="W69:W86" si="265">R69/AE69</f>
        <v>12924</v>
      </c>
      <c r="X69" s="161">
        <f t="shared" ref="X69:X86" si="266">P69/AE69</f>
        <v>71.8</v>
      </c>
      <c r="Y69" s="162"/>
      <c r="Z69" s="736">
        <f t="shared" si="213"/>
        <v>139.27576601671308</v>
      </c>
      <c r="AA69" s="162"/>
      <c r="AB69" s="162"/>
      <c r="AC69" s="163"/>
      <c r="AD69" s="39" t="s">
        <v>10</v>
      </c>
      <c r="AE69" s="674">
        <f t="shared" si="214"/>
        <v>40</v>
      </c>
      <c r="AF69" s="674">
        <f t="shared" si="215"/>
        <v>40</v>
      </c>
      <c r="AG69" s="50"/>
      <c r="AH69" s="39">
        <v>40</v>
      </c>
      <c r="AI69" s="50"/>
      <c r="AJ69" s="50"/>
      <c r="AK69" s="209">
        <v>2318.6500000000005</v>
      </c>
      <c r="AL69" s="422">
        <v>2342.34</v>
      </c>
      <c r="AM69" s="875">
        <f t="shared" si="216"/>
        <v>57.966250000000016</v>
      </c>
      <c r="AN69" s="10">
        <f t="shared" si="217"/>
        <v>58.558500000000002</v>
      </c>
      <c r="AO69" s="43">
        <v>5.85</v>
      </c>
      <c r="AP69" s="43">
        <v>5.79</v>
      </c>
      <c r="AQ69" s="43">
        <v>339.25</v>
      </c>
      <c r="AR69" s="61"/>
      <c r="AS69" s="61">
        <f>37/AE69</f>
        <v>0.92500000000000004</v>
      </c>
      <c r="AT69" s="61">
        <f>2/AE69</f>
        <v>0.05</v>
      </c>
      <c r="AU69" s="61">
        <f>1/AE69</f>
        <v>2.5000000000000001E-2</v>
      </c>
      <c r="AV69" s="61"/>
      <c r="AW69" s="43"/>
      <c r="AX69" s="59"/>
      <c r="AY69" s="61"/>
      <c r="AZ69" s="43">
        <v>3</v>
      </c>
      <c r="BA69" s="42" t="s">
        <v>439</v>
      </c>
      <c r="BB69" s="39" t="s">
        <v>101</v>
      </c>
      <c r="BC69" s="39"/>
      <c r="BD69" s="39"/>
      <c r="BE69" s="39"/>
      <c r="BF69" s="39"/>
      <c r="BG69" s="183">
        <v>42314</v>
      </c>
      <c r="BH69" s="183">
        <v>42475</v>
      </c>
      <c r="BI69" s="159">
        <v>43511</v>
      </c>
      <c r="BJ69" s="75">
        <v>42657</v>
      </c>
      <c r="BK69" s="867" t="s">
        <v>250</v>
      </c>
      <c r="BL69" s="125">
        <v>43241</v>
      </c>
      <c r="BM69" s="157">
        <v>43368</v>
      </c>
      <c r="BN69" s="1007">
        <f t="shared" si="73"/>
        <v>4.2333333333333334</v>
      </c>
      <c r="BO69" s="954">
        <v>87781</v>
      </c>
      <c r="BP69" s="125">
        <v>43440</v>
      </c>
      <c r="BQ69" s="125"/>
      <c r="BR69" s="225">
        <v>43466</v>
      </c>
      <c r="BS69" s="224">
        <f t="shared" si="218"/>
        <v>44197</v>
      </c>
      <c r="BT69" s="605">
        <f>14168+62195</f>
        <v>76363</v>
      </c>
      <c r="BU69" s="224" t="str">
        <f t="shared" ref="BU69:BU86" si="267">IF(FA69&gt;BS69,"oui","non")</f>
        <v>non</v>
      </c>
      <c r="BV69" s="784">
        <f t="shared" ref="BV69:BV86" si="268">(BS69-FA69)/30</f>
        <v>0</v>
      </c>
      <c r="BW69" s="605">
        <f t="shared" ref="BW69:BW86" si="269">IF((BV69*FD69)&lt;0,"0",BV69*FD69)</f>
        <v>0</v>
      </c>
      <c r="BX69" s="605">
        <f t="shared" ref="BX69:BX86" si="270">BT69-BW69</f>
        <v>76363</v>
      </c>
      <c r="BY69" s="702"/>
      <c r="BZ69" s="706" t="s">
        <v>923</v>
      </c>
      <c r="CA69" s="703"/>
      <c r="CB69" s="703"/>
      <c r="CC69" s="703"/>
      <c r="CD69" s="699"/>
      <c r="CE69" s="699"/>
      <c r="CF69" s="699"/>
      <c r="CG69" s="699"/>
      <c r="CH69" s="699"/>
      <c r="CI69" s="699"/>
      <c r="CJ69" s="699">
        <v>43571</v>
      </c>
      <c r="CK69" s="699">
        <v>43584</v>
      </c>
      <c r="CL69" s="699"/>
      <c r="CM69" s="739"/>
      <c r="CN69" s="739"/>
      <c r="CO69" s="739"/>
      <c r="CP69" s="699"/>
      <c r="CQ69" s="95"/>
      <c r="CR69" s="95"/>
      <c r="CS69" s="95"/>
      <c r="CT69" s="492" t="str">
        <f t="shared" si="219"/>
        <v>0</v>
      </c>
      <c r="CU69" s="95"/>
      <c r="CV69" s="95"/>
      <c r="CW69" s="475" t="str">
        <f t="shared" si="220"/>
        <v>0</v>
      </c>
      <c r="CX69" s="95"/>
      <c r="CY69" s="95"/>
      <c r="CZ69" s="475" t="str">
        <f t="shared" si="221"/>
        <v>0</v>
      </c>
      <c r="DA69" s="95"/>
      <c r="DB69" s="95"/>
      <c r="DC69" s="475" t="str">
        <f t="shared" si="222"/>
        <v>0</v>
      </c>
      <c r="DD69" s="95"/>
      <c r="DE69" s="95"/>
      <c r="DF69" s="475" t="str">
        <f t="shared" si="223"/>
        <v>0</v>
      </c>
      <c r="DG69" s="438"/>
      <c r="DH69" s="495"/>
      <c r="DI69" s="479"/>
      <c r="DJ69" s="484"/>
      <c r="DK69" s="481" t="str">
        <f t="shared" si="254"/>
        <v>0</v>
      </c>
      <c r="DL69" s="479"/>
      <c r="DM69" s="617">
        <v>43647</v>
      </c>
      <c r="DN69" s="326"/>
      <c r="DO69" s="432">
        <f t="shared" si="224"/>
        <v>4.5333333333333332</v>
      </c>
      <c r="DP69" s="481" t="str">
        <f t="shared" si="225"/>
        <v>0</v>
      </c>
      <c r="DQ69" s="618">
        <v>16</v>
      </c>
      <c r="DR69" s="188">
        <f t="shared" si="226"/>
        <v>17</v>
      </c>
      <c r="DS69" s="479">
        <v>43678</v>
      </c>
      <c r="DT69" s="484">
        <f t="shared" ca="1" si="227"/>
        <v>43678</v>
      </c>
      <c r="DU69" s="481">
        <f t="shared" ca="1" si="228"/>
        <v>0</v>
      </c>
      <c r="DV69" s="479">
        <f t="shared" ref="DV69:DV77" si="271">DATE(YEAR(DS69),MONTH(DS69)+2,DAY(DS69))</f>
        <v>43739</v>
      </c>
      <c r="DW69" s="497">
        <f t="shared" ca="1" si="229"/>
        <v>43739</v>
      </c>
      <c r="DX69" s="482">
        <f t="shared" ca="1" si="230"/>
        <v>0</v>
      </c>
      <c r="DY69" s="484"/>
      <c r="DZ69" s="497">
        <f t="shared" ca="1" si="231"/>
        <v>43647</v>
      </c>
      <c r="EA69" s="481" t="str">
        <f t="shared" ca="1" si="232"/>
        <v>0</v>
      </c>
      <c r="EB69" s="484">
        <v>43489</v>
      </c>
      <c r="EC69" s="484">
        <f t="shared" ca="1" si="233"/>
        <v>43647</v>
      </c>
      <c r="ED69" s="481">
        <f t="shared" ca="1" si="234"/>
        <v>158</v>
      </c>
      <c r="EE69" s="485"/>
      <c r="EF69" s="485"/>
      <c r="EG69" s="481" t="str">
        <f t="shared" si="235"/>
        <v>0</v>
      </c>
      <c r="EH69" s="484"/>
      <c r="EI69" s="484">
        <f t="shared" ca="1" si="236"/>
        <v>43647</v>
      </c>
      <c r="EJ69" s="481" t="str">
        <f t="shared" ca="1" si="237"/>
        <v>0</v>
      </c>
      <c r="EK69" s="484">
        <v>43566</v>
      </c>
      <c r="EL69" s="484">
        <f t="shared" ca="1" si="238"/>
        <v>43647</v>
      </c>
      <c r="EM69" s="481">
        <f t="shared" ca="1" si="239"/>
        <v>81</v>
      </c>
      <c r="EN69" s="484"/>
      <c r="EO69" s="484"/>
      <c r="EP69" s="484"/>
      <c r="EQ69" s="654">
        <f t="shared" si="240"/>
        <v>44136</v>
      </c>
      <c r="ER69" s="653">
        <f>DATE(YEAR(EQ69),MONTH(EQ69)+1,DAY(EQ69))</f>
        <v>44166</v>
      </c>
      <c r="ES69" s="650">
        <f t="shared" si="241"/>
        <v>1</v>
      </c>
      <c r="ET69" s="904">
        <f t="shared" ca="1" si="242"/>
        <v>17.3</v>
      </c>
      <c r="EU69" s="653">
        <f t="shared" ca="1" si="243"/>
        <v>44470</v>
      </c>
      <c r="EV69" s="748"/>
      <c r="EW69" s="737"/>
      <c r="EX69" s="749"/>
      <c r="EY69" s="443"/>
      <c r="EZ69" s="747">
        <f t="shared" si="255"/>
        <v>44166</v>
      </c>
      <c r="FA69" s="653">
        <f t="shared" ref="FA69:FA85" si="272">DATE(YEAR(ER69),MONTH(ER69)+1,DAY(ER69))</f>
        <v>44197</v>
      </c>
      <c r="FB69" s="518"/>
      <c r="FC69" s="647">
        <f t="shared" si="244"/>
        <v>1.0333333333333334</v>
      </c>
      <c r="FD69" s="635">
        <v>13586</v>
      </c>
      <c r="FE69" s="192">
        <f t="shared" si="245"/>
        <v>14038.866666666669</v>
      </c>
      <c r="FF69" s="91"/>
      <c r="FG69" s="502">
        <v>0</v>
      </c>
      <c r="FH69" s="502">
        <v>0</v>
      </c>
      <c r="FI69" s="502"/>
      <c r="FJ69" s="502"/>
      <c r="FK69" s="502"/>
      <c r="FL69" s="664">
        <f t="shared" si="261"/>
        <v>0</v>
      </c>
      <c r="FM69" s="499"/>
      <c r="FN69" s="511"/>
      <c r="FO69" s="511"/>
      <c r="FP69" s="499" t="s">
        <v>894</v>
      </c>
      <c r="FQ69" s="94"/>
      <c r="FR69" s="94"/>
      <c r="FS69" s="94"/>
      <c r="FT69" s="94"/>
      <c r="FU69" s="94"/>
      <c r="FV69" s="39"/>
      <c r="FW69" s="212">
        <f t="shared" si="246"/>
        <v>44531</v>
      </c>
      <c r="FX69" s="212"/>
      <c r="FY69" s="39"/>
      <c r="FZ69" s="39"/>
      <c r="GA69" s="39"/>
      <c r="GB69" s="39"/>
      <c r="GC69" s="39"/>
      <c r="GD69" s="39"/>
      <c r="GE69" s="39"/>
      <c r="GF69" s="39"/>
      <c r="GG69" s="39"/>
      <c r="GH69" s="39"/>
      <c r="GI69" s="39"/>
      <c r="GJ69" s="39"/>
      <c r="GK69" s="39"/>
      <c r="GL69" s="742"/>
      <c r="GM69" s="979">
        <f t="shared" si="144"/>
        <v>5213528</v>
      </c>
      <c r="GN69" s="772">
        <f t="shared" si="247"/>
        <v>5213528</v>
      </c>
      <c r="GO69" s="683">
        <f t="shared" ref="GO69:GO86" si="273">GN69</f>
        <v>5213528</v>
      </c>
      <c r="GP69" s="909">
        <f t="shared" ref="GP69:GP77" si="274">HA69+HB69+HF69+HE69+HJ69+HL69</f>
        <v>823733</v>
      </c>
      <c r="GQ69" s="35">
        <f t="shared" si="256"/>
        <v>2225.7776411622563</v>
      </c>
      <c r="GR69" s="35">
        <f t="shared" ref="GR69:GR83" si="275">GN69/AE69</f>
        <v>130338.2</v>
      </c>
      <c r="GS69" s="53">
        <v>1635328</v>
      </c>
      <c r="GT69" s="577">
        <v>1627589.86</v>
      </c>
      <c r="GU69" s="35">
        <f t="shared" si="248"/>
        <v>40883.199999999997</v>
      </c>
      <c r="GV69" s="53">
        <f t="shared" ref="GV69:GV83" si="276">GW69+GX69</f>
        <v>2754467</v>
      </c>
      <c r="GW69" s="67">
        <v>600494</v>
      </c>
      <c r="GX69" s="67">
        <v>2153973</v>
      </c>
      <c r="GY69" s="567">
        <f t="shared" si="249"/>
        <v>68861.675000000003</v>
      </c>
      <c r="GZ69" s="53"/>
      <c r="HA69" s="53">
        <v>800000</v>
      </c>
      <c r="HB69" s="53"/>
      <c r="HC69" s="28">
        <f t="shared" si="257"/>
        <v>0.15344695568912262</v>
      </c>
      <c r="HD69" s="68"/>
      <c r="HE69" s="68"/>
      <c r="HF69" s="53">
        <v>23733</v>
      </c>
      <c r="HG69" s="35">
        <f t="shared" si="258"/>
        <v>20000</v>
      </c>
      <c r="HH69" s="35">
        <f t="shared" si="259"/>
        <v>60883.199999999997</v>
      </c>
      <c r="HI69" s="70"/>
      <c r="HJ69" s="70"/>
      <c r="HK69" s="19">
        <f t="shared" ref="HK69:HK85" si="277">(GS69+HA69+HJ69)/AE69</f>
        <v>60883.199999999997</v>
      </c>
      <c r="HL69" s="70"/>
      <c r="HM69" s="19">
        <f t="shared" si="260"/>
        <v>60883.199999999997</v>
      </c>
      <c r="HN69" s="36">
        <f t="shared" ref="HN69:HN85" si="278">(GS69+HA69+HJ69+HL69)/(HI69+GN69-HO69)</f>
        <v>0.46711708463059948</v>
      </c>
      <c r="HO69" s="70"/>
      <c r="HP69" s="70"/>
      <c r="HQ69" s="53">
        <f>FH69</f>
        <v>0</v>
      </c>
      <c r="HR69" s="909">
        <v>311951</v>
      </c>
      <c r="HS69" s="907">
        <f t="shared" ref="HS69:HS86" si="279">HR69/GN69</f>
        <v>5.9834914092721861E-2</v>
      </c>
      <c r="HT69" s="898">
        <f>GN69-HR69</f>
        <v>4901577</v>
      </c>
      <c r="HU69" s="898">
        <f t="shared" ca="1" si="252"/>
        <v>1416640.7514450867</v>
      </c>
      <c r="HV69" s="907">
        <f ca="1">(HU69+HR69)/GN69</f>
        <v>0.33155892736072129</v>
      </c>
      <c r="HW69" s="898">
        <f>'[3]GLOBAL OPERATION'!$AG$85</f>
        <v>0</v>
      </c>
      <c r="HX69" s="898">
        <f t="shared" ref="HX69:HX86" si="280">GP69-HW69</f>
        <v>823733</v>
      </c>
      <c r="HY69" s="907">
        <f t="shared" ref="HY69:HY86" si="281">HW69/GP69</f>
        <v>0</v>
      </c>
      <c r="HZ69" s="907" t="s">
        <v>960</v>
      </c>
      <c r="IA69" s="29" t="e">
        <f>#REF!+HI69</f>
        <v>#REF!</v>
      </c>
      <c r="IB69" s="752"/>
      <c r="IC69" s="73"/>
      <c r="ID69" s="73"/>
      <c r="IE69" s="73"/>
      <c r="IF69" s="73"/>
    </row>
    <row r="70" spans="1:240" ht="30" customHeight="1">
      <c r="A70" s="787" t="s">
        <v>444</v>
      </c>
      <c r="B70" s="66" t="s">
        <v>830</v>
      </c>
      <c r="C70" s="39" t="s">
        <v>25</v>
      </c>
      <c r="D70" s="39" t="s">
        <v>94</v>
      </c>
      <c r="E70" s="39">
        <v>2018</v>
      </c>
      <c r="F70" s="39" t="s">
        <v>445</v>
      </c>
      <c r="G70" s="39" t="s">
        <v>299</v>
      </c>
      <c r="H70" s="39" t="s">
        <v>147</v>
      </c>
      <c r="I70" s="41" t="s">
        <v>142</v>
      </c>
      <c r="J70" s="39"/>
      <c r="K70" s="39"/>
      <c r="L70" s="199"/>
      <c r="M70" s="129"/>
      <c r="N70" s="130"/>
      <c r="O70" s="131"/>
      <c r="P70" s="161">
        <v>1627</v>
      </c>
      <c r="Q70" s="161">
        <v>154050</v>
      </c>
      <c r="R70" s="161">
        <v>154050</v>
      </c>
      <c r="S70" s="161" t="e">
        <f>Q70/AJ70</f>
        <v>#DIV/0!</v>
      </c>
      <c r="T70" s="161">
        <f t="shared" si="262"/>
        <v>94.683466502765825</v>
      </c>
      <c r="U70" s="167">
        <f t="shared" si="263"/>
        <v>94.683466502765825</v>
      </c>
      <c r="V70" s="167">
        <f t="shared" si="264"/>
        <v>98.772477070102497</v>
      </c>
      <c r="W70" s="167">
        <f t="shared" si="265"/>
        <v>9061.7647058823532</v>
      </c>
      <c r="X70" s="161">
        <f t="shared" si="266"/>
        <v>95.705882352941174</v>
      </c>
      <c r="Y70" s="162"/>
      <c r="Z70" s="733">
        <f t="shared" si="213"/>
        <v>104.48678549477566</v>
      </c>
      <c r="AA70" s="162"/>
      <c r="AB70" s="162"/>
      <c r="AC70" s="163"/>
      <c r="AD70" s="39" t="s">
        <v>9</v>
      </c>
      <c r="AE70" s="674">
        <f t="shared" si="214"/>
        <v>17</v>
      </c>
      <c r="AF70" s="674">
        <f t="shared" si="215"/>
        <v>17</v>
      </c>
      <c r="AG70" s="39">
        <v>17</v>
      </c>
      <c r="AH70" s="50"/>
      <c r="AI70" s="50"/>
      <c r="AJ70" s="50"/>
      <c r="AK70" s="209">
        <v>1353.27</v>
      </c>
      <c r="AL70" s="422">
        <v>1559.645</v>
      </c>
      <c r="AM70" s="875">
        <f t="shared" si="216"/>
        <v>79.604117647058828</v>
      </c>
      <c r="AN70" s="10">
        <f t="shared" si="217"/>
        <v>91.74382352941177</v>
      </c>
      <c r="AO70" s="43">
        <v>7.36</v>
      </c>
      <c r="AP70" s="43">
        <v>6.39</v>
      </c>
      <c r="AQ70" s="43">
        <v>586.03</v>
      </c>
      <c r="AR70" s="61"/>
      <c r="AS70" s="61">
        <f>4/AE70</f>
        <v>0.23529411764705882</v>
      </c>
      <c r="AT70" s="61">
        <f>6/AE70</f>
        <v>0.35294117647058826</v>
      </c>
      <c r="AU70" s="61">
        <f>5/AE70</f>
        <v>0.29411764705882354</v>
      </c>
      <c r="AV70" s="61">
        <f>2/AE70</f>
        <v>0.11764705882352941</v>
      </c>
      <c r="AW70" s="43"/>
      <c r="AX70" s="59"/>
      <c r="AY70" s="61"/>
      <c r="AZ70" s="43"/>
      <c r="BA70" s="39" t="s">
        <v>439</v>
      </c>
      <c r="BB70" s="39" t="s">
        <v>100</v>
      </c>
      <c r="BC70" s="39"/>
      <c r="BD70" s="39"/>
      <c r="BE70" s="39"/>
      <c r="BF70" s="39"/>
      <c r="BG70" s="184">
        <v>42978</v>
      </c>
      <c r="BH70" s="87">
        <v>43308</v>
      </c>
      <c r="BI70" s="159">
        <v>43334</v>
      </c>
      <c r="BJ70" s="75"/>
      <c r="BK70" s="867" t="s">
        <v>250</v>
      </c>
      <c r="BL70" s="125">
        <v>43347</v>
      </c>
      <c r="BM70" s="157">
        <v>43487</v>
      </c>
      <c r="BN70" s="1007">
        <f t="shared" si="73"/>
        <v>4.666666666666667</v>
      </c>
      <c r="BO70" s="954"/>
      <c r="BP70" s="622">
        <f t="shared" ref="BP70:BP77" si="282">DATE(YEAR(BM70),MONTH(BM70)+3,DAY(BM70))</f>
        <v>43577</v>
      </c>
      <c r="BQ70" s="125"/>
      <c r="BR70" s="225">
        <v>43586</v>
      </c>
      <c r="BS70" s="224">
        <f t="shared" si="218"/>
        <v>44317</v>
      </c>
      <c r="BT70" s="605">
        <f>83410.57+7587.49</f>
        <v>90998.060000000012</v>
      </c>
      <c r="BU70" s="224" t="str">
        <f t="shared" si="267"/>
        <v>non</v>
      </c>
      <c r="BV70" s="784">
        <f t="shared" si="268"/>
        <v>3.5333333333333332</v>
      </c>
      <c r="BW70" s="605">
        <f t="shared" si="269"/>
        <v>35213.199999999997</v>
      </c>
      <c r="BX70" s="605">
        <f t="shared" si="270"/>
        <v>55784.860000000015</v>
      </c>
      <c r="BY70" s="824"/>
      <c r="BZ70" s="900"/>
      <c r="CA70" s="738"/>
      <c r="CB70" s="738"/>
      <c r="CC70" s="738"/>
      <c r="CD70" s="739"/>
      <c r="CE70" s="699">
        <v>43502</v>
      </c>
      <c r="CF70" s="699"/>
      <c r="CG70" s="699"/>
      <c r="CH70" s="699"/>
      <c r="CI70" s="739"/>
      <c r="CJ70" s="739"/>
      <c r="CK70" s="739"/>
      <c r="CL70" s="739"/>
      <c r="CM70" s="739"/>
      <c r="CN70" s="739"/>
      <c r="CO70" s="739"/>
      <c r="CP70" s="739"/>
      <c r="CQ70" s="237"/>
      <c r="CR70" s="95"/>
      <c r="CS70" s="95"/>
      <c r="CT70" s="492" t="str">
        <f t="shared" si="219"/>
        <v>0</v>
      </c>
      <c r="CU70" s="95"/>
      <c r="CV70" s="95"/>
      <c r="CW70" s="475" t="str">
        <f t="shared" si="220"/>
        <v>0</v>
      </c>
      <c r="CX70" s="95"/>
      <c r="CY70" s="95"/>
      <c r="CZ70" s="475" t="str">
        <f t="shared" si="221"/>
        <v>0</v>
      </c>
      <c r="DA70" s="95"/>
      <c r="DB70" s="95"/>
      <c r="DC70" s="475" t="str">
        <f t="shared" si="222"/>
        <v>0</v>
      </c>
      <c r="DD70" s="95"/>
      <c r="DE70" s="95"/>
      <c r="DF70" s="475" t="str">
        <f t="shared" si="223"/>
        <v>0</v>
      </c>
      <c r="DG70" s="438"/>
      <c r="DH70" s="488"/>
      <c r="DI70" s="479"/>
      <c r="DJ70" s="484"/>
      <c r="DK70" s="481" t="str">
        <f t="shared" si="254"/>
        <v>0</v>
      </c>
      <c r="DL70" s="479"/>
      <c r="DM70" s="617">
        <v>43661</v>
      </c>
      <c r="DN70" s="326"/>
      <c r="DO70" s="432">
        <f t="shared" si="224"/>
        <v>10.9</v>
      </c>
      <c r="DP70" s="481" t="str">
        <f t="shared" si="225"/>
        <v>0</v>
      </c>
      <c r="DQ70" s="618">
        <v>16</v>
      </c>
      <c r="DR70" s="188">
        <f t="shared" si="226"/>
        <v>17</v>
      </c>
      <c r="DS70" s="479">
        <v>43732</v>
      </c>
      <c r="DT70" s="484">
        <f t="shared" ca="1" si="227"/>
        <v>43732</v>
      </c>
      <c r="DU70" s="481">
        <f t="shared" ca="1" si="228"/>
        <v>0</v>
      </c>
      <c r="DV70" s="479">
        <f t="shared" si="271"/>
        <v>43793</v>
      </c>
      <c r="DW70" s="497">
        <f t="shared" ca="1" si="229"/>
        <v>43793</v>
      </c>
      <c r="DX70" s="482">
        <f t="shared" ca="1" si="230"/>
        <v>0</v>
      </c>
      <c r="DY70" s="483"/>
      <c r="DZ70" s="497">
        <f t="shared" ca="1" si="231"/>
        <v>43647</v>
      </c>
      <c r="EA70" s="481" t="str">
        <f t="shared" ca="1" si="232"/>
        <v>0</v>
      </c>
      <c r="EB70" s="484">
        <v>43512</v>
      </c>
      <c r="EC70" s="484">
        <f t="shared" ca="1" si="233"/>
        <v>43647</v>
      </c>
      <c r="ED70" s="481">
        <f t="shared" ca="1" si="234"/>
        <v>135</v>
      </c>
      <c r="EE70" s="485"/>
      <c r="EF70" s="485"/>
      <c r="EG70" s="481" t="str">
        <f t="shared" si="235"/>
        <v>0</v>
      </c>
      <c r="EH70" s="484"/>
      <c r="EI70" s="484">
        <f t="shared" ca="1" si="236"/>
        <v>43647</v>
      </c>
      <c r="EJ70" s="481" t="str">
        <f t="shared" ca="1" si="237"/>
        <v>0</v>
      </c>
      <c r="EK70" s="484">
        <v>43589</v>
      </c>
      <c r="EL70" s="484">
        <f t="shared" ca="1" si="238"/>
        <v>43647</v>
      </c>
      <c r="EM70" s="481">
        <f t="shared" ca="1" si="239"/>
        <v>58</v>
      </c>
      <c r="EN70" s="484"/>
      <c r="EO70" s="484"/>
      <c r="EP70" s="484"/>
      <c r="EQ70" s="654">
        <f t="shared" si="240"/>
        <v>44150</v>
      </c>
      <c r="ER70" s="653">
        <f>DATE(YEAR(EQ70),MONTH(EQ70)+1,DAY(EQ70))</f>
        <v>44180</v>
      </c>
      <c r="ES70" s="650">
        <f t="shared" si="241"/>
        <v>1</v>
      </c>
      <c r="ET70" s="904">
        <f t="shared" ca="1" si="242"/>
        <v>17.766666666666666</v>
      </c>
      <c r="EU70" s="653">
        <f t="shared" ca="1" si="243"/>
        <v>44524</v>
      </c>
      <c r="EV70" s="748"/>
      <c r="EW70" s="737"/>
      <c r="EX70" s="749"/>
      <c r="EY70" s="443"/>
      <c r="EZ70" s="747">
        <f t="shared" si="255"/>
        <v>44180</v>
      </c>
      <c r="FA70" s="653">
        <f t="shared" si="272"/>
        <v>44211</v>
      </c>
      <c r="FB70" s="518"/>
      <c r="FC70" s="647">
        <f t="shared" si="244"/>
        <v>1.0333333333333334</v>
      </c>
      <c r="FD70" s="635">
        <v>9966</v>
      </c>
      <c r="FE70" s="192">
        <f t="shared" si="245"/>
        <v>10298.200000000001</v>
      </c>
      <c r="FF70" s="91"/>
      <c r="FG70" s="502">
        <v>0</v>
      </c>
      <c r="FH70" s="502">
        <v>0</v>
      </c>
      <c r="FI70" s="502"/>
      <c r="FJ70" s="502"/>
      <c r="FK70" s="502"/>
      <c r="FL70" s="664">
        <f t="shared" si="261"/>
        <v>0</v>
      </c>
      <c r="FM70" s="499"/>
      <c r="FN70" s="511"/>
      <c r="FO70" s="499" t="s">
        <v>593</v>
      </c>
      <c r="FP70" s="511" t="s">
        <v>895</v>
      </c>
      <c r="FQ70" s="94"/>
      <c r="FR70" s="94"/>
      <c r="FS70" s="94"/>
      <c r="FT70" s="94"/>
      <c r="FU70" s="94"/>
      <c r="FV70" s="39"/>
      <c r="FW70" s="212">
        <f t="shared" si="246"/>
        <v>44545</v>
      </c>
      <c r="FX70" s="212"/>
      <c r="FY70" s="39"/>
      <c r="FZ70" s="39"/>
      <c r="GA70" s="39"/>
      <c r="GB70" s="39"/>
      <c r="GC70" s="39"/>
      <c r="GD70" s="39"/>
      <c r="GE70" s="39"/>
      <c r="GF70" s="39"/>
      <c r="GG70" s="39"/>
      <c r="GH70" s="39"/>
      <c r="GI70" s="39"/>
      <c r="GJ70" s="39"/>
      <c r="GK70" s="39"/>
      <c r="GL70" s="742"/>
      <c r="GM70" s="979">
        <f t="shared" si="144"/>
        <v>3361942</v>
      </c>
      <c r="GN70" s="772">
        <f>GT70+GV70+HA70+HQ70+GZ70+HF70+HD70+HE70</f>
        <v>3282060</v>
      </c>
      <c r="GO70" s="53">
        <f t="shared" si="273"/>
        <v>3282060</v>
      </c>
      <c r="GP70" s="909">
        <f t="shared" si="274"/>
        <v>327200</v>
      </c>
      <c r="GQ70" s="35">
        <f t="shared" si="256"/>
        <v>2104.363492974363</v>
      </c>
      <c r="GR70" s="35">
        <f t="shared" si="275"/>
        <v>193062.35294117648</v>
      </c>
      <c r="GS70" s="934">
        <v>1038103</v>
      </c>
      <c r="GT70" s="577">
        <v>958221</v>
      </c>
      <c r="GU70" s="35">
        <f t="shared" si="248"/>
        <v>61064.882352941175</v>
      </c>
      <c r="GV70" s="934">
        <f t="shared" si="276"/>
        <v>1806096</v>
      </c>
      <c r="GW70" s="936">
        <v>267301</v>
      </c>
      <c r="GX70" s="936">
        <v>1538795</v>
      </c>
      <c r="GY70" s="567">
        <f t="shared" si="249"/>
        <v>106240.94117647059</v>
      </c>
      <c r="GZ70" s="934">
        <v>80043</v>
      </c>
      <c r="HA70" s="53">
        <v>323000</v>
      </c>
      <c r="HB70" s="53"/>
      <c r="HC70" s="28">
        <f t="shared" si="257"/>
        <v>9.8413801088340858E-2</v>
      </c>
      <c r="HD70" s="53">
        <v>110500</v>
      </c>
      <c r="HE70" s="53"/>
      <c r="HF70" s="53">
        <v>4200</v>
      </c>
      <c r="HG70" s="35">
        <f t="shared" si="258"/>
        <v>19000</v>
      </c>
      <c r="HH70" s="35">
        <f t="shared" si="259"/>
        <v>80064.882352941175</v>
      </c>
      <c r="HI70" s="70"/>
      <c r="HJ70" s="70"/>
      <c r="HK70" s="19">
        <f t="shared" si="277"/>
        <v>80064.882352941175</v>
      </c>
      <c r="HL70" s="70"/>
      <c r="HM70" s="19">
        <f t="shared" si="260"/>
        <v>80064.882352941175</v>
      </c>
      <c r="HN70" s="36">
        <f t="shared" si="278"/>
        <v>0.41470996873914556</v>
      </c>
      <c r="HO70" s="70"/>
      <c r="HP70" s="70"/>
      <c r="HQ70" s="53">
        <v>0</v>
      </c>
      <c r="HR70" s="909">
        <f>(28908.49+370280)*1.021</f>
        <v>407571.44828999997</v>
      </c>
      <c r="HS70" s="907">
        <f t="shared" si="279"/>
        <v>0.12418159579349554</v>
      </c>
      <c r="HT70" s="898">
        <f>GN70-HR70</f>
        <v>2874488.5517100003</v>
      </c>
      <c r="HU70" s="898">
        <f ca="1">IF(ET70&lt;DATEDIF(TODAY(),$HU$1,"M"),HT70,(HT70/ET70*DATEDIF(TODAY(),$HU$1,"M")))*0+400000</f>
        <v>400000</v>
      </c>
      <c r="HV70" s="907">
        <f ca="1">(HU70+HR70)/GN70</f>
        <v>0.24605627206388669</v>
      </c>
      <c r="HW70" s="898">
        <f>'[3]GLOBAL OPERATION'!$AG$78</f>
        <v>4200</v>
      </c>
      <c r="HX70" s="898">
        <f t="shared" si="280"/>
        <v>323000</v>
      </c>
      <c r="HY70" s="907">
        <f t="shared" si="281"/>
        <v>1.2836185819070905E-2</v>
      </c>
      <c r="HZ70" s="907" t="s">
        <v>963</v>
      </c>
      <c r="IA70" s="29" t="e">
        <f>#REF!+HI70</f>
        <v>#REF!</v>
      </c>
      <c r="IB70" s="752"/>
      <c r="IC70" s="73"/>
      <c r="ID70" s="73"/>
      <c r="IE70" s="73"/>
      <c r="IF70" s="73"/>
    </row>
    <row r="71" spans="1:240" ht="30" customHeight="1">
      <c r="A71" s="787" t="s">
        <v>529</v>
      </c>
      <c r="B71" s="787" t="s">
        <v>635</v>
      </c>
      <c r="C71" s="39" t="s">
        <v>131</v>
      </c>
      <c r="D71" s="39" t="s">
        <v>94</v>
      </c>
      <c r="E71" s="39">
        <v>2018</v>
      </c>
      <c r="F71" s="39" t="s">
        <v>462</v>
      </c>
      <c r="G71" s="39" t="s">
        <v>40</v>
      </c>
      <c r="H71" s="39" t="s">
        <v>537</v>
      </c>
      <c r="I71" s="41" t="s">
        <v>192</v>
      </c>
      <c r="J71" s="39"/>
      <c r="K71" s="39" t="s">
        <v>512</v>
      </c>
      <c r="L71" s="199" t="s">
        <v>644</v>
      </c>
      <c r="M71" s="129" t="s">
        <v>459</v>
      </c>
      <c r="N71" s="130"/>
      <c r="O71" s="131"/>
      <c r="P71" s="161">
        <v>7382</v>
      </c>
      <c r="Q71" s="161">
        <v>1016540</v>
      </c>
      <c r="R71" s="161"/>
      <c r="S71" s="161">
        <f t="shared" ref="S71:S86" si="283">Q71/AE71</f>
        <v>26065.128205128207</v>
      </c>
      <c r="T71" s="161">
        <f t="shared" si="262"/>
        <v>137.7052289352479</v>
      </c>
      <c r="U71" s="167">
        <f t="shared" si="263"/>
        <v>0</v>
      </c>
      <c r="V71" s="167">
        <f t="shared" si="264"/>
        <v>0</v>
      </c>
      <c r="W71" s="167">
        <f t="shared" si="265"/>
        <v>0</v>
      </c>
      <c r="X71" s="161">
        <f t="shared" si="266"/>
        <v>189.28205128205127</v>
      </c>
      <c r="Y71" s="162"/>
      <c r="Z71" s="733">
        <f t="shared" si="213"/>
        <v>52.831211053914927</v>
      </c>
      <c r="AA71" s="162"/>
      <c r="AB71" s="162"/>
      <c r="AC71" s="163"/>
      <c r="AD71" s="39" t="s">
        <v>9</v>
      </c>
      <c r="AE71" s="674">
        <f t="shared" si="214"/>
        <v>39</v>
      </c>
      <c r="AF71" s="674">
        <f t="shared" si="215"/>
        <v>39</v>
      </c>
      <c r="AG71" s="39">
        <v>39</v>
      </c>
      <c r="AH71" s="50"/>
      <c r="AI71" s="50"/>
      <c r="AJ71" s="9"/>
      <c r="AK71" s="209">
        <v>2854.5000000000005</v>
      </c>
      <c r="AL71" s="422">
        <v>2854.5000000000005</v>
      </c>
      <c r="AM71" s="875">
        <f t="shared" si="216"/>
        <v>73.192307692307708</v>
      </c>
      <c r="AN71" s="10">
        <f t="shared" si="217"/>
        <v>73.192307692307708</v>
      </c>
      <c r="AO71" s="43">
        <v>6.8</v>
      </c>
      <c r="AP71" s="43">
        <v>6.8</v>
      </c>
      <c r="AQ71" s="43">
        <v>497.46</v>
      </c>
      <c r="AR71" s="61">
        <f>7/AE71</f>
        <v>0.17948717948717949</v>
      </c>
      <c r="AS71" s="61">
        <f>8/AE71</f>
        <v>0.20512820512820512</v>
      </c>
      <c r="AT71" s="61">
        <f>18/AE71</f>
        <v>0.46153846153846156</v>
      </c>
      <c r="AU71" s="61">
        <f>12/AE71</f>
        <v>0.30769230769230771</v>
      </c>
      <c r="AV71" s="61">
        <f>1/AE71</f>
        <v>2.564102564102564E-2</v>
      </c>
      <c r="AW71" s="43"/>
      <c r="AX71" s="59"/>
      <c r="AY71" s="61"/>
      <c r="AZ71" s="43"/>
      <c r="BA71" s="39" t="s">
        <v>439</v>
      </c>
      <c r="BB71" s="39" t="s">
        <v>101</v>
      </c>
      <c r="BC71" s="39"/>
      <c r="BD71" s="39"/>
      <c r="BE71" s="39"/>
      <c r="BF71" s="39"/>
      <c r="BG71" s="184"/>
      <c r="BH71" s="87">
        <v>43308</v>
      </c>
      <c r="BI71" s="159">
        <v>43371</v>
      </c>
      <c r="BJ71" s="75"/>
      <c r="BK71" s="867" t="s">
        <v>250</v>
      </c>
      <c r="BL71" s="622"/>
      <c r="BM71" s="777"/>
      <c r="BN71" s="1007">
        <f t="shared" si="73"/>
        <v>0</v>
      </c>
      <c r="BO71" s="955"/>
      <c r="BP71" s="125">
        <f t="shared" si="282"/>
        <v>91</v>
      </c>
      <c r="BQ71" s="125"/>
      <c r="BR71" s="225"/>
      <c r="BS71" s="224">
        <f t="shared" si="218"/>
        <v>731</v>
      </c>
      <c r="BT71" s="605"/>
      <c r="BU71" s="224" t="str">
        <f t="shared" si="267"/>
        <v>oui</v>
      </c>
      <c r="BV71" s="784">
        <f t="shared" si="268"/>
        <v>-1450.8333333333333</v>
      </c>
      <c r="BW71" s="605" t="str">
        <f t="shared" si="269"/>
        <v>0</v>
      </c>
      <c r="BX71" s="605">
        <f t="shared" si="270"/>
        <v>0</v>
      </c>
      <c r="BY71" s="705"/>
      <c r="BZ71" s="708"/>
      <c r="CA71" s="703"/>
      <c r="CB71" s="703"/>
      <c r="CC71" s="703"/>
      <c r="CD71" s="699"/>
      <c r="CE71" s="699"/>
      <c r="CF71" s="699"/>
      <c r="CG71" s="699"/>
      <c r="CH71" s="699"/>
      <c r="CI71" s="699"/>
      <c r="CJ71" s="699"/>
      <c r="CK71" s="699"/>
      <c r="CL71" s="699"/>
      <c r="CM71" s="699"/>
      <c r="CN71" s="699"/>
      <c r="CO71" s="699"/>
      <c r="CP71" s="699"/>
      <c r="CQ71" s="237">
        <v>43012</v>
      </c>
      <c r="CR71" s="95">
        <v>43027</v>
      </c>
      <c r="CS71" s="95">
        <v>43020</v>
      </c>
      <c r="CT71" s="475">
        <f t="shared" si="219"/>
        <v>-7</v>
      </c>
      <c r="CU71" s="95">
        <v>43139</v>
      </c>
      <c r="CV71" s="95">
        <v>43139</v>
      </c>
      <c r="CW71" s="475">
        <f t="shared" si="220"/>
        <v>0</v>
      </c>
      <c r="CX71" s="237">
        <v>43160</v>
      </c>
      <c r="CY71" s="237">
        <v>43189</v>
      </c>
      <c r="CZ71" s="475">
        <f t="shared" si="221"/>
        <v>29</v>
      </c>
      <c r="DA71" s="237">
        <v>43221</v>
      </c>
      <c r="DB71" s="237">
        <v>43287</v>
      </c>
      <c r="DC71" s="475">
        <f t="shared" si="222"/>
        <v>66</v>
      </c>
      <c r="DD71" s="237">
        <v>43282</v>
      </c>
      <c r="DE71" s="237">
        <v>43409</v>
      </c>
      <c r="DF71" s="475">
        <f t="shared" si="223"/>
        <v>127</v>
      </c>
      <c r="DG71" s="438"/>
      <c r="DH71" s="494"/>
      <c r="DI71" s="479"/>
      <c r="DJ71" s="484"/>
      <c r="DK71" s="481" t="str">
        <f t="shared" si="254"/>
        <v>0</v>
      </c>
      <c r="DL71" s="479"/>
      <c r="DM71" s="617">
        <v>43709</v>
      </c>
      <c r="DN71" s="326"/>
      <c r="DO71" s="432">
        <f t="shared" si="224"/>
        <v>11.266666666666667</v>
      </c>
      <c r="DP71" s="481" t="str">
        <f t="shared" si="225"/>
        <v>0</v>
      </c>
      <c r="DQ71" s="618">
        <v>16</v>
      </c>
      <c r="DR71" s="188">
        <f t="shared" si="226"/>
        <v>17</v>
      </c>
      <c r="DS71" s="479">
        <v>43743</v>
      </c>
      <c r="DT71" s="484">
        <f t="shared" ca="1" si="227"/>
        <v>43743</v>
      </c>
      <c r="DU71" s="481">
        <f t="shared" ca="1" si="228"/>
        <v>0</v>
      </c>
      <c r="DV71" s="479">
        <f t="shared" si="271"/>
        <v>43804</v>
      </c>
      <c r="DW71" s="497">
        <f t="shared" ca="1" si="229"/>
        <v>43804</v>
      </c>
      <c r="DX71" s="482">
        <f t="shared" ca="1" si="230"/>
        <v>0</v>
      </c>
      <c r="DY71" s="483"/>
      <c r="DZ71" s="497">
        <f t="shared" ca="1" si="231"/>
        <v>43647</v>
      </c>
      <c r="EA71" s="481" t="str">
        <f t="shared" ca="1" si="232"/>
        <v>0</v>
      </c>
      <c r="EB71" s="484">
        <v>43511</v>
      </c>
      <c r="EC71" s="484">
        <f t="shared" ca="1" si="233"/>
        <v>43647</v>
      </c>
      <c r="ED71" s="481">
        <f t="shared" ca="1" si="234"/>
        <v>136</v>
      </c>
      <c r="EE71" s="485"/>
      <c r="EF71" s="485"/>
      <c r="EG71" s="481" t="str">
        <f t="shared" si="235"/>
        <v>0</v>
      </c>
      <c r="EH71" s="484"/>
      <c r="EI71" s="484">
        <f t="shared" ca="1" si="236"/>
        <v>43647</v>
      </c>
      <c r="EJ71" s="481" t="str">
        <f t="shared" ca="1" si="237"/>
        <v>0</v>
      </c>
      <c r="EK71" s="484">
        <v>43588</v>
      </c>
      <c r="EL71" s="484">
        <f t="shared" ca="1" si="238"/>
        <v>43647</v>
      </c>
      <c r="EM71" s="481">
        <f t="shared" ca="1" si="239"/>
        <v>59</v>
      </c>
      <c r="EN71" s="485"/>
      <c r="EO71" s="485"/>
      <c r="EP71" s="485"/>
      <c r="EQ71" s="654">
        <f t="shared" si="240"/>
        <v>44197</v>
      </c>
      <c r="ER71" s="653">
        <f>DATE(YEAR(EQ71),MONTH(EQ71)+1,DAY(EQ71))</f>
        <v>44228</v>
      </c>
      <c r="ES71" s="650">
        <f t="shared" si="241"/>
        <v>1.0333333333333334</v>
      </c>
      <c r="ET71" s="904">
        <f t="shared" ca="1" si="242"/>
        <v>19.366666666666667</v>
      </c>
      <c r="EU71" s="653">
        <f t="shared" ca="1" si="243"/>
        <v>44535</v>
      </c>
      <c r="EV71" s="748"/>
      <c r="EW71" s="737"/>
      <c r="EX71" s="749"/>
      <c r="EY71" s="443"/>
      <c r="EZ71" s="747">
        <f t="shared" si="255"/>
        <v>44228</v>
      </c>
      <c r="FA71" s="653">
        <f t="shared" si="272"/>
        <v>44256</v>
      </c>
      <c r="FB71" s="518"/>
      <c r="FC71" s="647">
        <f t="shared" si="244"/>
        <v>0.93333333333333335</v>
      </c>
      <c r="FD71" s="635">
        <v>19427</v>
      </c>
      <c r="FE71" s="192">
        <f t="shared" si="245"/>
        <v>18131.866666666669</v>
      </c>
      <c r="FF71" s="91"/>
      <c r="FG71" s="502">
        <v>0</v>
      </c>
      <c r="FH71" s="502">
        <v>0</v>
      </c>
      <c r="FI71" s="502"/>
      <c r="FJ71" s="502"/>
      <c r="FK71" s="502"/>
      <c r="FL71" s="664">
        <f t="shared" si="261"/>
        <v>0</v>
      </c>
      <c r="FM71" s="499"/>
      <c r="FN71" s="511"/>
      <c r="FO71" s="499" t="s">
        <v>666</v>
      </c>
      <c r="FP71" s="499" t="s">
        <v>899</v>
      </c>
      <c r="FQ71" s="94"/>
      <c r="FR71" s="94"/>
      <c r="FS71" s="94"/>
      <c r="FT71" s="94"/>
      <c r="FU71" s="94"/>
      <c r="FV71" s="39"/>
      <c r="FW71" s="212">
        <f t="shared" si="246"/>
        <v>44593</v>
      </c>
      <c r="FX71" s="212"/>
      <c r="FY71" s="39"/>
      <c r="FZ71" s="39"/>
      <c r="GA71" s="39"/>
      <c r="GB71" s="39"/>
      <c r="GC71" s="39"/>
      <c r="GD71" s="39"/>
      <c r="GE71" s="39"/>
      <c r="GF71" s="39"/>
      <c r="GG71" s="39"/>
      <c r="GH71" s="39"/>
      <c r="GI71" s="39"/>
      <c r="GJ71" s="39"/>
      <c r="GK71" s="39"/>
      <c r="GL71" s="742"/>
      <c r="GM71" s="979">
        <f t="shared" si="144"/>
        <v>7291653.8771640286</v>
      </c>
      <c r="GN71" s="772">
        <f t="shared" ref="GN71:GN102" si="284">GS71+GV71+HA71+HQ71+GZ71+HF71+HD71+HE71</f>
        <v>7291653.8771640286</v>
      </c>
      <c r="GO71" s="53">
        <f t="shared" si="273"/>
        <v>7291653.8771640286</v>
      </c>
      <c r="GP71" s="909">
        <f t="shared" si="274"/>
        <v>1008481</v>
      </c>
      <c r="GQ71" s="35">
        <f t="shared" si="256"/>
        <v>2554.4417155943343</v>
      </c>
      <c r="GR71" s="35">
        <f t="shared" si="275"/>
        <v>186965.48402984688</v>
      </c>
      <c r="GS71" s="934">
        <v>2270098.6200707299</v>
      </c>
      <c r="GT71" s="577"/>
      <c r="GU71" s="35">
        <f t="shared" si="248"/>
        <v>58207.656924890507</v>
      </c>
      <c r="GV71" s="934">
        <f t="shared" si="276"/>
        <v>3759574.2570932982</v>
      </c>
      <c r="GW71" s="936">
        <v>1228760.1451411429</v>
      </c>
      <c r="GX71" s="936">
        <v>2530814.1119521554</v>
      </c>
      <c r="GY71" s="567">
        <f t="shared" si="249"/>
        <v>96399.33992546919</v>
      </c>
      <c r="GZ71" s="934"/>
      <c r="HA71" s="53">
        <v>741000</v>
      </c>
      <c r="HB71" s="53"/>
      <c r="HC71" s="28">
        <f t="shared" si="257"/>
        <v>0.10162303538853658</v>
      </c>
      <c r="HD71" s="53">
        <v>253500</v>
      </c>
      <c r="HE71" s="53"/>
      <c r="HF71" s="53">
        <f>65000+202481</f>
        <v>267481</v>
      </c>
      <c r="HG71" s="35">
        <f t="shared" si="258"/>
        <v>19000</v>
      </c>
      <c r="HH71" s="35">
        <f t="shared" si="259"/>
        <v>77207.656924890514</v>
      </c>
      <c r="HI71" s="70"/>
      <c r="HJ71" s="70"/>
      <c r="HK71" s="19">
        <f t="shared" si="277"/>
        <v>77207.656924890514</v>
      </c>
      <c r="HL71" s="70"/>
      <c r="HM71" s="19">
        <f t="shared" si="260"/>
        <v>77207.656924890514</v>
      </c>
      <c r="HN71" s="36">
        <f t="shared" si="278"/>
        <v>0.41295139220758625</v>
      </c>
      <c r="HO71" s="70"/>
      <c r="HP71" s="70"/>
      <c r="HQ71" s="53">
        <f>FH71</f>
        <v>0</v>
      </c>
      <c r="HR71" s="909">
        <v>350991.23399999994</v>
      </c>
      <c r="HS71" s="907">
        <f t="shared" si="279"/>
        <v>4.8136025092912434E-2</v>
      </c>
      <c r="HT71" s="898">
        <f>GN71-HR71</f>
        <v>6940662.6431640284</v>
      </c>
      <c r="HU71" s="898">
        <f ca="1">IF(ET71&lt;DATEDIF(TODAY(),$HU$1,"M"),HT71,(HT71/ET71*DATEDIF(TODAY(),$HU$1,"M")))*0+2360000*5%+1016540</f>
        <v>1134540</v>
      </c>
      <c r="HV71" s="907">
        <f ca="1">(HU71+HR71)/GN71</f>
        <v>0.20373035514650256</v>
      </c>
      <c r="HW71" s="898">
        <f>'[3]GLOBAL OPERATION'!$AG$60</f>
        <v>5600</v>
      </c>
      <c r="HX71" s="898">
        <f t="shared" si="280"/>
        <v>1002881</v>
      </c>
      <c r="HY71" s="907">
        <f t="shared" si="281"/>
        <v>5.5529058058604967E-3</v>
      </c>
      <c r="HZ71" s="963" t="s">
        <v>962</v>
      </c>
      <c r="IA71" s="29" t="e">
        <f>#REF!+HI71</f>
        <v>#REF!</v>
      </c>
      <c r="IB71" s="752"/>
      <c r="IC71" s="73"/>
      <c r="ID71" s="73"/>
      <c r="IE71" s="73"/>
      <c r="IF71" s="73"/>
    </row>
    <row r="72" spans="1:240" ht="78" customHeight="1">
      <c r="A72" s="787" t="s">
        <v>313</v>
      </c>
      <c r="B72" s="787" t="s">
        <v>635</v>
      </c>
      <c r="C72" s="39" t="s">
        <v>21</v>
      </c>
      <c r="D72" s="39" t="s">
        <v>92</v>
      </c>
      <c r="E72" s="39">
        <v>2017</v>
      </c>
      <c r="F72" s="39" t="s">
        <v>321</v>
      </c>
      <c r="G72" s="39" t="s">
        <v>854</v>
      </c>
      <c r="H72" s="39" t="s">
        <v>705</v>
      </c>
      <c r="I72" s="39" t="s">
        <v>142</v>
      </c>
      <c r="J72" s="39"/>
      <c r="K72" s="39" t="s">
        <v>314</v>
      </c>
      <c r="L72" s="199" t="s">
        <v>698</v>
      </c>
      <c r="M72" s="129"/>
      <c r="N72" s="130"/>
      <c r="O72" s="131"/>
      <c r="P72" s="161">
        <v>1953</v>
      </c>
      <c r="Q72" s="161">
        <v>452000</v>
      </c>
      <c r="R72" s="161"/>
      <c r="S72" s="161">
        <f t="shared" si="283"/>
        <v>17384.615384615383</v>
      </c>
      <c r="T72" s="161">
        <f t="shared" si="262"/>
        <v>231.43881208397337</v>
      </c>
      <c r="U72" s="167">
        <f t="shared" si="263"/>
        <v>0</v>
      </c>
      <c r="V72" s="167">
        <f t="shared" si="264"/>
        <v>0</v>
      </c>
      <c r="W72" s="167">
        <f t="shared" si="265"/>
        <v>0</v>
      </c>
      <c r="X72" s="161">
        <f t="shared" si="266"/>
        <v>75.115384615384613</v>
      </c>
      <c r="Y72" s="162"/>
      <c r="Z72" s="733">
        <f t="shared" si="213"/>
        <v>133.12852022529441</v>
      </c>
      <c r="AA72" s="162" t="s">
        <v>152</v>
      </c>
      <c r="AB72" s="162">
        <v>590</v>
      </c>
      <c r="AC72" s="163"/>
      <c r="AD72" s="39" t="s">
        <v>10</v>
      </c>
      <c r="AE72" s="674">
        <f t="shared" si="214"/>
        <v>26</v>
      </c>
      <c r="AF72" s="674">
        <f t="shared" si="215"/>
        <v>26</v>
      </c>
      <c r="AG72" s="50"/>
      <c r="AH72" s="39">
        <v>26</v>
      </c>
      <c r="AI72" s="50"/>
      <c r="AJ72" s="9"/>
      <c r="AK72" s="209">
        <v>1610.5700000000002</v>
      </c>
      <c r="AL72" s="422">
        <v>1719.7449999999999</v>
      </c>
      <c r="AM72" s="875">
        <f t="shared" si="216"/>
        <v>61.945000000000007</v>
      </c>
      <c r="AN72" s="10">
        <f t="shared" si="217"/>
        <v>66.144038461538457</v>
      </c>
      <c r="AO72" s="43">
        <v>5.95</v>
      </c>
      <c r="AP72" s="43">
        <v>5.57</v>
      </c>
      <c r="AQ72" s="43">
        <v>368.65</v>
      </c>
      <c r="AR72" s="61"/>
      <c r="AS72" s="61">
        <f>26/AE72</f>
        <v>1</v>
      </c>
      <c r="AT72" s="61"/>
      <c r="AU72" s="61"/>
      <c r="AV72" s="61"/>
      <c r="AW72" s="43"/>
      <c r="AX72" s="43" t="s">
        <v>136</v>
      </c>
      <c r="AY72" s="43"/>
      <c r="AZ72" s="43">
        <v>4</v>
      </c>
      <c r="BA72" s="42" t="s">
        <v>439</v>
      </c>
      <c r="BB72" s="39" t="s">
        <v>100</v>
      </c>
      <c r="BC72" s="39"/>
      <c r="BD72" s="39"/>
      <c r="BE72" s="39"/>
      <c r="BF72" s="39"/>
      <c r="BG72" s="183">
        <v>42691</v>
      </c>
      <c r="BH72" s="39"/>
      <c r="BI72" s="159">
        <v>42970</v>
      </c>
      <c r="BJ72" s="75">
        <v>42999</v>
      </c>
      <c r="BK72" s="867" t="s">
        <v>250</v>
      </c>
      <c r="BL72" s="622"/>
      <c r="BM72" s="777"/>
      <c r="BN72" s="1007">
        <f t="shared" si="73"/>
        <v>0</v>
      </c>
      <c r="BO72" s="955"/>
      <c r="BP72" s="622">
        <f t="shared" si="282"/>
        <v>91</v>
      </c>
      <c r="BQ72" s="125"/>
      <c r="BR72" s="225"/>
      <c r="BS72" s="224">
        <f t="shared" si="218"/>
        <v>731</v>
      </c>
      <c r="BT72" s="605"/>
      <c r="BU72" s="224" t="str">
        <f t="shared" si="267"/>
        <v>oui</v>
      </c>
      <c r="BV72" s="784">
        <f t="shared" si="268"/>
        <v>-1453.9</v>
      </c>
      <c r="BW72" s="605" t="str">
        <f t="shared" si="269"/>
        <v>0</v>
      </c>
      <c r="BX72" s="605">
        <f t="shared" si="270"/>
        <v>0</v>
      </c>
      <c r="BY72" s="702"/>
      <c r="BZ72" s="708"/>
      <c r="CA72" s="703"/>
      <c r="CB72" s="703"/>
      <c r="CC72" s="703"/>
      <c r="CD72" s="699"/>
      <c r="CE72" s="699"/>
      <c r="CF72" s="699"/>
      <c r="CG72" s="699"/>
      <c r="CH72" s="699"/>
      <c r="CI72" s="699"/>
      <c r="CJ72" s="699"/>
      <c r="CK72" s="699"/>
      <c r="CL72" s="699"/>
      <c r="CM72" s="699"/>
      <c r="CN72" s="699"/>
      <c r="CO72" s="699"/>
      <c r="CP72" s="699"/>
      <c r="CQ72" s="237"/>
      <c r="CR72" s="95"/>
      <c r="CS72" s="95"/>
      <c r="CT72" s="492" t="str">
        <f t="shared" si="219"/>
        <v>0</v>
      </c>
      <c r="CU72" s="237"/>
      <c r="CV72" s="237"/>
      <c r="CW72" s="475" t="str">
        <f t="shared" si="220"/>
        <v>0</v>
      </c>
      <c r="CX72" s="237"/>
      <c r="CY72" s="237"/>
      <c r="CZ72" s="475" t="str">
        <f t="shared" si="221"/>
        <v>0</v>
      </c>
      <c r="DA72" s="95"/>
      <c r="DB72" s="237"/>
      <c r="DC72" s="475" t="str">
        <f t="shared" si="222"/>
        <v>0</v>
      </c>
      <c r="DD72" s="95"/>
      <c r="DE72" s="95"/>
      <c r="DF72" s="475" t="str">
        <f t="shared" si="223"/>
        <v>0</v>
      </c>
      <c r="DG72" s="438"/>
      <c r="DH72" s="488"/>
      <c r="DI72" s="486"/>
      <c r="DJ72" s="484"/>
      <c r="DK72" s="481"/>
      <c r="DL72" s="486"/>
      <c r="DM72" s="617">
        <v>43709</v>
      </c>
      <c r="DN72" s="326"/>
      <c r="DO72" s="432">
        <f t="shared" si="224"/>
        <v>24.633333333333333</v>
      </c>
      <c r="DP72" s="481" t="str">
        <f t="shared" si="225"/>
        <v>0</v>
      </c>
      <c r="DQ72" s="618">
        <v>16</v>
      </c>
      <c r="DR72" s="188">
        <f t="shared" si="226"/>
        <v>20</v>
      </c>
      <c r="DS72" s="479">
        <v>43739</v>
      </c>
      <c r="DT72" s="484">
        <f t="shared" ca="1" si="227"/>
        <v>43739</v>
      </c>
      <c r="DU72" s="481">
        <f t="shared" ca="1" si="228"/>
        <v>0</v>
      </c>
      <c r="DV72" s="479">
        <f t="shared" si="271"/>
        <v>43800</v>
      </c>
      <c r="DW72" s="497">
        <f t="shared" ca="1" si="229"/>
        <v>43800</v>
      </c>
      <c r="DX72" s="482">
        <f t="shared" ca="1" si="230"/>
        <v>0</v>
      </c>
      <c r="DY72" s="484"/>
      <c r="DZ72" s="497">
        <f t="shared" ca="1" si="231"/>
        <v>43647</v>
      </c>
      <c r="EA72" s="481" t="str">
        <f t="shared" ca="1" si="232"/>
        <v>0</v>
      </c>
      <c r="EB72" s="484">
        <v>43504</v>
      </c>
      <c r="EC72" s="484">
        <f t="shared" ca="1" si="233"/>
        <v>43647</v>
      </c>
      <c r="ED72" s="481">
        <f t="shared" ca="1" si="234"/>
        <v>143</v>
      </c>
      <c r="EE72" s="485"/>
      <c r="EF72" s="485"/>
      <c r="EG72" s="481" t="str">
        <f t="shared" si="235"/>
        <v>0</v>
      </c>
      <c r="EH72" s="484"/>
      <c r="EI72" s="484">
        <f t="shared" ca="1" si="236"/>
        <v>43647</v>
      </c>
      <c r="EJ72" s="481" t="str">
        <f t="shared" ca="1" si="237"/>
        <v>0</v>
      </c>
      <c r="EK72" s="484">
        <v>43581</v>
      </c>
      <c r="EL72" s="484">
        <f t="shared" ca="1" si="238"/>
        <v>43647</v>
      </c>
      <c r="EM72" s="481">
        <f t="shared" ca="1" si="239"/>
        <v>66</v>
      </c>
      <c r="EN72" s="484"/>
      <c r="EO72" s="484"/>
      <c r="EP72" s="484"/>
      <c r="EQ72" s="654">
        <f t="shared" si="240"/>
        <v>44197</v>
      </c>
      <c r="ER72" s="653">
        <f>DATE(YEAR(EQ72),MONTH(EQ72)+4,DAY(EQ72))</f>
        <v>44317</v>
      </c>
      <c r="ES72" s="650">
        <f t="shared" si="241"/>
        <v>4</v>
      </c>
      <c r="ET72" s="904">
        <f t="shared" ca="1" si="242"/>
        <v>22.333333333333332</v>
      </c>
      <c r="EU72" s="747">
        <f t="shared" ca="1" si="243"/>
        <v>44531</v>
      </c>
      <c r="EV72" s="748"/>
      <c r="EW72" s="737"/>
      <c r="EX72" s="749"/>
      <c r="EY72" s="443"/>
      <c r="EZ72" s="747">
        <f t="shared" si="255"/>
        <v>44228</v>
      </c>
      <c r="FA72" s="653">
        <f t="shared" si="272"/>
        <v>44348</v>
      </c>
      <c r="FB72" s="518"/>
      <c r="FC72" s="647">
        <f t="shared" si="244"/>
        <v>4</v>
      </c>
      <c r="FD72" s="635">
        <v>9653.98</v>
      </c>
      <c r="FE72" s="192">
        <f t="shared" si="245"/>
        <v>38615.919999999998</v>
      </c>
      <c r="FF72" s="91"/>
      <c r="FG72" s="502">
        <v>0</v>
      </c>
      <c r="FH72" s="502">
        <v>0</v>
      </c>
      <c r="FI72" s="502"/>
      <c r="FJ72" s="502"/>
      <c r="FK72" s="502"/>
      <c r="FL72" s="664">
        <f t="shared" si="261"/>
        <v>0</v>
      </c>
      <c r="FM72" s="499"/>
      <c r="FN72" s="511"/>
      <c r="FO72" s="511"/>
      <c r="FP72" s="499" t="s">
        <v>901</v>
      </c>
      <c r="FQ72" s="94"/>
      <c r="FR72" s="94"/>
      <c r="FS72" s="94"/>
      <c r="FT72" s="94"/>
      <c r="FU72" s="94"/>
      <c r="FV72" s="39"/>
      <c r="FW72" s="212">
        <f t="shared" si="246"/>
        <v>44682</v>
      </c>
      <c r="FX72" s="212"/>
      <c r="FY72" s="39"/>
      <c r="FZ72" s="39"/>
      <c r="GA72" s="39"/>
      <c r="GB72" s="39"/>
      <c r="GC72" s="39"/>
      <c r="GD72" s="39"/>
      <c r="GE72" s="39"/>
      <c r="GF72" s="39"/>
      <c r="GG72" s="39"/>
      <c r="GH72" s="39"/>
      <c r="GI72" s="39"/>
      <c r="GJ72" s="39"/>
      <c r="GK72" s="39"/>
      <c r="GL72" s="742"/>
      <c r="GM72" s="979">
        <f t="shared" si="144"/>
        <v>4382608</v>
      </c>
      <c r="GN72" s="772">
        <f t="shared" si="284"/>
        <v>4382608</v>
      </c>
      <c r="GO72" s="53">
        <f t="shared" si="273"/>
        <v>4382608</v>
      </c>
      <c r="GP72" s="909">
        <f t="shared" si="274"/>
        <v>520000</v>
      </c>
      <c r="GQ72" s="35">
        <f t="shared" si="256"/>
        <v>2548.405722941483</v>
      </c>
      <c r="GR72" s="35">
        <f t="shared" si="275"/>
        <v>168561.84615384616</v>
      </c>
      <c r="GS72" s="934">
        <v>1430273</v>
      </c>
      <c r="GT72" s="577"/>
      <c r="GU72" s="35">
        <f t="shared" si="248"/>
        <v>55010.5</v>
      </c>
      <c r="GV72" s="934">
        <f t="shared" si="276"/>
        <v>2432335</v>
      </c>
      <c r="GW72" s="936">
        <v>500779</v>
      </c>
      <c r="GX72" s="936">
        <f>1551556+380000</f>
        <v>1931556</v>
      </c>
      <c r="GY72" s="567">
        <f t="shared" si="249"/>
        <v>93551.346153846156</v>
      </c>
      <c r="GZ72" s="935"/>
      <c r="HA72" s="53">
        <v>520000</v>
      </c>
      <c r="HB72" s="53"/>
      <c r="HC72" s="28">
        <f t="shared" si="257"/>
        <v>0.11865081248425595</v>
      </c>
      <c r="HD72" s="68"/>
      <c r="HE72" s="68"/>
      <c r="HF72" s="53"/>
      <c r="HG72" s="35">
        <f t="shared" si="258"/>
        <v>20000</v>
      </c>
      <c r="HH72" s="35">
        <f t="shared" si="259"/>
        <v>75010.5</v>
      </c>
      <c r="HI72" s="70"/>
      <c r="HJ72" s="70"/>
      <c r="HK72" s="19">
        <f t="shared" si="277"/>
        <v>75010.5</v>
      </c>
      <c r="HL72" s="70"/>
      <c r="HM72" s="35">
        <f t="shared" si="260"/>
        <v>75010.5</v>
      </c>
      <c r="HN72" s="36">
        <f t="shared" si="278"/>
        <v>0.44500283849251404</v>
      </c>
      <c r="HO72" s="70"/>
      <c r="HP72" s="70"/>
      <c r="HQ72" s="53">
        <v>0</v>
      </c>
      <c r="HR72" s="909">
        <f>(405730.42+17464)*1.021</f>
        <v>432081.50281999994</v>
      </c>
      <c r="HS72" s="907">
        <f t="shared" si="279"/>
        <v>9.859004109425254E-2</v>
      </c>
      <c r="HT72" s="898">
        <f>GN72-HR72</f>
        <v>3950526.4971799999</v>
      </c>
      <c r="HU72" s="898">
        <f ca="1">IF(ET72&lt;DATEDIF(TODAY(),$HU$1,"M"),HT72,(HT72/ET72*DATEDIF(TODAY(),$HU$1,"M")))*0+296000+100000</f>
        <v>396000</v>
      </c>
      <c r="HV72" s="907">
        <f ca="1">(HU72+HR72)/GN72</f>
        <v>0.1889471982938013</v>
      </c>
      <c r="HW72" s="898">
        <f>'[3]GLOBAL OPERATION'!$AG$64</f>
        <v>0</v>
      </c>
      <c r="HX72" s="898">
        <f t="shared" si="280"/>
        <v>520000</v>
      </c>
      <c r="HY72" s="907">
        <f t="shared" si="281"/>
        <v>0</v>
      </c>
      <c r="HZ72" s="963" t="s">
        <v>964</v>
      </c>
      <c r="IA72" s="29" t="e">
        <f>#REF!+HI72</f>
        <v>#REF!</v>
      </c>
      <c r="IB72" s="752"/>
      <c r="IC72" s="73"/>
      <c r="ID72" s="73"/>
      <c r="IE72" s="73"/>
      <c r="IF72" s="73"/>
    </row>
    <row r="73" spans="1:240" ht="41.25" customHeight="1">
      <c r="A73" s="972" t="s">
        <v>28</v>
      </c>
      <c r="B73" s="778"/>
      <c r="C73" s="39" t="s">
        <v>21</v>
      </c>
      <c r="D73" s="39" t="s">
        <v>92</v>
      </c>
      <c r="E73" s="39">
        <v>2016</v>
      </c>
      <c r="F73" s="39" t="s">
        <v>29</v>
      </c>
      <c r="G73" s="39" t="s">
        <v>40</v>
      </c>
      <c r="H73" s="61" t="s">
        <v>371</v>
      </c>
      <c r="I73" s="39" t="s">
        <v>192</v>
      </c>
      <c r="J73" s="61"/>
      <c r="K73" s="39"/>
      <c r="L73" s="199" t="s">
        <v>413</v>
      </c>
      <c r="M73" s="227" t="s">
        <v>47</v>
      </c>
      <c r="N73" s="227" t="s">
        <v>54</v>
      </c>
      <c r="O73" s="227"/>
      <c r="P73" s="161">
        <v>2433</v>
      </c>
      <c r="Q73" s="161">
        <f>R73</f>
        <v>487212</v>
      </c>
      <c r="R73" s="161">
        <v>487212</v>
      </c>
      <c r="S73" s="161">
        <f t="shared" si="283"/>
        <v>16240.4</v>
      </c>
      <c r="T73" s="161">
        <f t="shared" si="262"/>
        <v>200.25154130702836</v>
      </c>
      <c r="U73" s="161">
        <f t="shared" si="263"/>
        <v>200.25154130702836</v>
      </c>
      <c r="V73" s="161">
        <f t="shared" si="264"/>
        <v>191.48855891901238</v>
      </c>
      <c r="W73" s="161">
        <f t="shared" si="265"/>
        <v>16240.4</v>
      </c>
      <c r="X73" s="161">
        <f t="shared" si="266"/>
        <v>81.099999999999994</v>
      </c>
      <c r="Y73" s="162">
        <v>782</v>
      </c>
      <c r="Z73" s="733">
        <f t="shared" si="213"/>
        <v>123.30456226880395</v>
      </c>
      <c r="AA73" s="162" t="s">
        <v>158</v>
      </c>
      <c r="AB73" s="162">
        <v>528</v>
      </c>
      <c r="AC73" s="163">
        <v>0.05</v>
      </c>
      <c r="AD73" s="39" t="s">
        <v>9</v>
      </c>
      <c r="AE73" s="674">
        <f t="shared" si="214"/>
        <v>30</v>
      </c>
      <c r="AF73" s="674">
        <f t="shared" si="215"/>
        <v>30</v>
      </c>
      <c r="AG73" s="39">
        <v>30</v>
      </c>
      <c r="AH73" s="50"/>
      <c r="AI73" s="50"/>
      <c r="AJ73" s="50"/>
      <c r="AK73" s="209">
        <v>2141.6999999999998</v>
      </c>
      <c r="AL73" s="422">
        <v>2544.34</v>
      </c>
      <c r="AM73" s="875">
        <f t="shared" si="216"/>
        <v>71.39</v>
      </c>
      <c r="AN73" s="10">
        <f t="shared" si="217"/>
        <v>84.811333333333337</v>
      </c>
      <c r="AO73" s="43">
        <v>7.69</v>
      </c>
      <c r="AP73" s="43">
        <v>6.47</v>
      </c>
      <c r="AQ73" s="43">
        <v>548.97</v>
      </c>
      <c r="AR73" s="61">
        <f>4/AE73</f>
        <v>0.13333333333333333</v>
      </c>
      <c r="AS73" s="61">
        <f>7/AE73</f>
        <v>0.23333333333333334</v>
      </c>
      <c r="AT73" s="61">
        <f>9/AE73</f>
        <v>0.3</v>
      </c>
      <c r="AU73" s="61">
        <f>8/AE73</f>
        <v>0.26666666666666666</v>
      </c>
      <c r="AV73" s="61">
        <f>2/AE73</f>
        <v>6.6666666666666666E-2</v>
      </c>
      <c r="AW73" s="43"/>
      <c r="AX73" s="59">
        <v>0</v>
      </c>
      <c r="AY73" s="61">
        <f>AX73/P73</f>
        <v>0</v>
      </c>
      <c r="AZ73" s="43">
        <v>4.5</v>
      </c>
      <c r="BA73" s="42" t="s">
        <v>439</v>
      </c>
      <c r="BB73" s="39" t="s">
        <v>100</v>
      </c>
      <c r="BC73" s="39"/>
      <c r="BD73" s="39"/>
      <c r="BE73" s="39"/>
      <c r="BF73" s="39"/>
      <c r="BG73" s="219" t="s">
        <v>255</v>
      </c>
      <c r="BH73" s="185">
        <v>40816</v>
      </c>
      <c r="BI73" s="159">
        <v>43552</v>
      </c>
      <c r="BJ73" s="75">
        <v>42646</v>
      </c>
      <c r="BK73" s="867" t="s">
        <v>250</v>
      </c>
      <c r="BL73" s="622"/>
      <c r="BM73" s="777"/>
      <c r="BN73" s="1007">
        <f t="shared" si="73"/>
        <v>0</v>
      </c>
      <c r="BO73" s="955"/>
      <c r="BP73" s="125">
        <f t="shared" si="282"/>
        <v>91</v>
      </c>
      <c r="BQ73" s="128"/>
      <c r="BR73" s="225"/>
      <c r="BS73" s="224">
        <f t="shared" si="218"/>
        <v>731</v>
      </c>
      <c r="BT73" s="605"/>
      <c r="BU73" s="224" t="str">
        <f t="shared" si="267"/>
        <v>oui</v>
      </c>
      <c r="BV73" s="784">
        <f t="shared" si="268"/>
        <v>-1453.3333333333333</v>
      </c>
      <c r="BW73" s="605" t="str">
        <f t="shared" si="269"/>
        <v>0</v>
      </c>
      <c r="BX73" s="605">
        <f t="shared" si="270"/>
        <v>0</v>
      </c>
      <c r="BY73" s="708"/>
      <c r="BZ73" s="708"/>
      <c r="CA73" s="703"/>
      <c r="CB73" s="703"/>
      <c r="CC73" s="703"/>
      <c r="CD73" s="699"/>
      <c r="CE73" s="699"/>
      <c r="CF73" s="699"/>
      <c r="CG73" s="699"/>
      <c r="CH73" s="699"/>
      <c r="CI73" s="699"/>
      <c r="CJ73" s="699"/>
      <c r="CK73" s="699"/>
      <c r="CL73" s="704"/>
      <c r="CM73" s="704"/>
      <c r="CN73" s="704"/>
      <c r="CO73" s="704"/>
      <c r="CP73" s="704"/>
      <c r="CQ73" s="95"/>
      <c r="CR73" s="95"/>
      <c r="CS73" s="95"/>
      <c r="CT73" s="492" t="str">
        <f t="shared" si="219"/>
        <v>0</v>
      </c>
      <c r="CU73" s="95"/>
      <c r="CV73" s="95"/>
      <c r="CW73" s="475" t="str">
        <f t="shared" si="220"/>
        <v>0</v>
      </c>
      <c r="CX73" s="95"/>
      <c r="CY73" s="95"/>
      <c r="CZ73" s="475" t="str">
        <f t="shared" si="221"/>
        <v>0</v>
      </c>
      <c r="DA73" s="95"/>
      <c r="DB73" s="95"/>
      <c r="DC73" s="475" t="str">
        <f t="shared" si="222"/>
        <v>0</v>
      </c>
      <c r="DD73" s="95"/>
      <c r="DE73" s="95"/>
      <c r="DF73" s="475" t="str">
        <f t="shared" si="223"/>
        <v>0</v>
      </c>
      <c r="DG73" s="438"/>
      <c r="DH73" s="495"/>
      <c r="DI73" s="484"/>
      <c r="DJ73" s="484"/>
      <c r="DK73" s="481" t="str">
        <f t="shared" ref="DK73:DK96" si="285">IF(AND(DI73&gt;0,DJ73&gt;0),DJ73-DI73,"0")</f>
        <v>0</v>
      </c>
      <c r="DL73" s="486"/>
      <c r="DM73" s="617">
        <v>43723</v>
      </c>
      <c r="DN73" s="327"/>
      <c r="DO73" s="437">
        <f t="shared" si="224"/>
        <v>5.7</v>
      </c>
      <c r="DP73" s="481" t="str">
        <f t="shared" si="225"/>
        <v>0</v>
      </c>
      <c r="DQ73" s="619">
        <v>16</v>
      </c>
      <c r="DR73" s="188">
        <f t="shared" si="226"/>
        <v>19</v>
      </c>
      <c r="DS73" s="479">
        <v>43692</v>
      </c>
      <c r="DT73" s="484">
        <f t="shared" ca="1" si="227"/>
        <v>43692</v>
      </c>
      <c r="DU73" s="481">
        <f t="shared" ca="1" si="228"/>
        <v>0</v>
      </c>
      <c r="DV73" s="479">
        <f t="shared" si="271"/>
        <v>43753</v>
      </c>
      <c r="DW73" s="497">
        <f t="shared" ca="1" si="229"/>
        <v>43753</v>
      </c>
      <c r="DX73" s="482">
        <f t="shared" ca="1" si="230"/>
        <v>0</v>
      </c>
      <c r="DY73" s="484"/>
      <c r="DZ73" s="497">
        <f t="shared" ca="1" si="231"/>
        <v>43647</v>
      </c>
      <c r="EA73" s="481" t="str">
        <f t="shared" ca="1" si="232"/>
        <v>0</v>
      </c>
      <c r="EB73" s="484">
        <v>43491</v>
      </c>
      <c r="EC73" s="484">
        <f t="shared" ca="1" si="233"/>
        <v>43647</v>
      </c>
      <c r="ED73" s="481">
        <f t="shared" ca="1" si="234"/>
        <v>156</v>
      </c>
      <c r="EE73" s="485"/>
      <c r="EF73" s="485"/>
      <c r="EG73" s="481" t="str">
        <f t="shared" si="235"/>
        <v>0</v>
      </c>
      <c r="EH73" s="484"/>
      <c r="EI73" s="484">
        <f t="shared" ca="1" si="236"/>
        <v>43647</v>
      </c>
      <c r="EJ73" s="481" t="str">
        <f t="shared" ca="1" si="237"/>
        <v>0</v>
      </c>
      <c r="EK73" s="484">
        <v>43568</v>
      </c>
      <c r="EL73" s="484">
        <f t="shared" ca="1" si="238"/>
        <v>43647</v>
      </c>
      <c r="EM73" s="481">
        <f t="shared" ca="1" si="239"/>
        <v>79</v>
      </c>
      <c r="EN73" s="484"/>
      <c r="EO73" s="484"/>
      <c r="EP73" s="484"/>
      <c r="EQ73" s="654">
        <f t="shared" si="240"/>
        <v>44211</v>
      </c>
      <c r="ER73" s="653">
        <f>DATE(YEAR(EQ73),MONTH(EQ73)+3,DAY(EQ73))</f>
        <v>44301</v>
      </c>
      <c r="ES73" s="650">
        <f t="shared" si="241"/>
        <v>3</v>
      </c>
      <c r="ET73" s="904">
        <f t="shared" ca="1" si="242"/>
        <v>21.8</v>
      </c>
      <c r="EU73" s="653">
        <f t="shared" ca="1" si="243"/>
        <v>44484</v>
      </c>
      <c r="EV73" s="748"/>
      <c r="EW73" s="737"/>
      <c r="EX73" s="749"/>
      <c r="EY73" s="443"/>
      <c r="EZ73" s="747">
        <f t="shared" si="255"/>
        <v>44242</v>
      </c>
      <c r="FA73" s="653">
        <f t="shared" si="272"/>
        <v>44331</v>
      </c>
      <c r="FB73" s="518"/>
      <c r="FC73" s="647">
        <f t="shared" si="244"/>
        <v>2.9666666666666668</v>
      </c>
      <c r="FD73" s="635">
        <v>16515</v>
      </c>
      <c r="FE73" s="192">
        <f t="shared" si="245"/>
        <v>48994.5</v>
      </c>
      <c r="FF73" s="211"/>
      <c r="FG73" s="502">
        <v>0</v>
      </c>
      <c r="FH73" s="502">
        <v>0</v>
      </c>
      <c r="FI73" s="502"/>
      <c r="FJ73" s="502"/>
      <c r="FK73" s="502"/>
      <c r="FL73" s="664">
        <f t="shared" si="261"/>
        <v>0</v>
      </c>
      <c r="FM73" s="499"/>
      <c r="FN73" s="511"/>
      <c r="FO73" s="511" t="s">
        <v>623</v>
      </c>
      <c r="FP73" s="511" t="s">
        <v>900</v>
      </c>
      <c r="FQ73" s="146"/>
      <c r="FR73" s="146"/>
      <c r="FS73" s="146"/>
      <c r="FT73" s="146"/>
      <c r="FU73" s="146"/>
      <c r="FV73" s="61"/>
      <c r="FW73" s="212">
        <f t="shared" si="246"/>
        <v>44666</v>
      </c>
      <c r="FX73" s="212"/>
      <c r="FY73" s="61"/>
      <c r="FZ73" s="61"/>
      <c r="GA73" s="61"/>
      <c r="GB73" s="61"/>
      <c r="GC73" s="61"/>
      <c r="GD73" s="61"/>
      <c r="GE73" s="61"/>
      <c r="GF73" s="61"/>
      <c r="GG73" s="61"/>
      <c r="GH73" s="61"/>
      <c r="GI73" s="61"/>
      <c r="GJ73" s="61"/>
      <c r="GK73" s="61"/>
      <c r="GL73" s="742"/>
      <c r="GM73" s="979">
        <f t="shared" si="144"/>
        <v>5385964.3280268665</v>
      </c>
      <c r="GN73" s="772">
        <f t="shared" si="284"/>
        <v>5385964.3280268665</v>
      </c>
      <c r="GO73" s="683">
        <f t="shared" si="273"/>
        <v>5385964.3280268665</v>
      </c>
      <c r="GP73" s="909">
        <f t="shared" si="274"/>
        <v>317790</v>
      </c>
      <c r="GQ73" s="35">
        <f t="shared" si="256"/>
        <v>2116.8414315802393</v>
      </c>
      <c r="GR73" s="35">
        <f t="shared" si="275"/>
        <v>179532.14426756222</v>
      </c>
      <c r="GS73" s="53">
        <v>1826241.328026867</v>
      </c>
      <c r="GT73" s="577"/>
      <c r="GU73" s="35">
        <f t="shared" si="248"/>
        <v>60874.710934228897</v>
      </c>
      <c r="GV73" s="53">
        <f t="shared" si="276"/>
        <v>3241933</v>
      </c>
      <c r="GW73" s="67">
        <v>721386</v>
      </c>
      <c r="GX73" s="67">
        <v>2520547</v>
      </c>
      <c r="GY73" s="567">
        <f t="shared" si="249"/>
        <v>108064.43333333333</v>
      </c>
      <c r="GZ73" s="53">
        <v>0</v>
      </c>
      <c r="HA73" s="53">
        <v>270000</v>
      </c>
      <c r="HB73" s="53"/>
      <c r="HC73" s="28">
        <f t="shared" si="257"/>
        <v>5.0130298597598356E-2</v>
      </c>
      <c r="HD73" s="68"/>
      <c r="HE73" s="68"/>
      <c r="HF73" s="53">
        <v>47790</v>
      </c>
      <c r="HG73" s="35">
        <f t="shared" si="258"/>
        <v>9000</v>
      </c>
      <c r="HH73" s="35">
        <f t="shared" si="259"/>
        <v>69874.710934228904</v>
      </c>
      <c r="HI73" s="70">
        <v>0</v>
      </c>
      <c r="HJ73" s="70">
        <v>0</v>
      </c>
      <c r="HK73" s="19">
        <f t="shared" si="277"/>
        <v>69874.710934228904</v>
      </c>
      <c r="HL73" s="70">
        <v>0</v>
      </c>
      <c r="HM73" s="35">
        <f t="shared" si="260"/>
        <v>69874.710934228904</v>
      </c>
      <c r="HN73" s="36">
        <f t="shared" si="278"/>
        <v>0.3892044581726406</v>
      </c>
      <c r="HO73" s="70"/>
      <c r="HP73" s="70"/>
      <c r="HQ73" s="53">
        <f t="shared" ref="HQ73:HQ78" si="286">FH73</f>
        <v>0</v>
      </c>
      <c r="HR73" s="909">
        <v>1011295</v>
      </c>
      <c r="HS73" s="907">
        <f t="shared" si="279"/>
        <v>0.18776489007503047</v>
      </c>
      <c r="HT73" s="898">
        <f>GN73-HR73</f>
        <v>4374669.3280268665</v>
      </c>
      <c r="HU73" s="898">
        <f ca="1">IF(ET73&lt;DATEDIF(TODAY(),$HU$1,"M"),HT73,(HT73/ET73*DATEDIF(TODAY(),$HU$1,"M")))*0+150000</f>
        <v>150000</v>
      </c>
      <c r="HV73" s="907">
        <f ca="1">(HU73+HR73)/GN73</f>
        <v>0.21561505596258512</v>
      </c>
      <c r="HW73" s="898">
        <f>'[3]GLOBAL OPERATION'!$AG$79</f>
        <v>0</v>
      </c>
      <c r="HX73" s="898">
        <f t="shared" si="280"/>
        <v>317790</v>
      </c>
      <c r="HY73" s="907">
        <f t="shared" si="281"/>
        <v>0</v>
      </c>
      <c r="HZ73" s="907" t="s">
        <v>959</v>
      </c>
      <c r="IA73" s="29" t="e">
        <f>#REF!+HI73</f>
        <v>#REF!</v>
      </c>
      <c r="IB73" s="752"/>
      <c r="IC73" s="73"/>
      <c r="ID73" s="73"/>
      <c r="IE73" s="73"/>
      <c r="IF73" s="73"/>
    </row>
    <row r="74" spans="1:240" ht="32.25" customHeight="1">
      <c r="A74" s="972" t="s">
        <v>330</v>
      </c>
      <c r="B74" s="778"/>
      <c r="C74" s="39" t="s">
        <v>20</v>
      </c>
      <c r="D74" s="39" t="s">
        <v>93</v>
      </c>
      <c r="E74" s="39">
        <v>2018</v>
      </c>
      <c r="F74" s="39" t="s">
        <v>460</v>
      </c>
      <c r="G74" s="39" t="s">
        <v>926</v>
      </c>
      <c r="H74" s="39" t="s">
        <v>147</v>
      </c>
      <c r="I74" s="41" t="s">
        <v>192</v>
      </c>
      <c r="J74" s="39"/>
      <c r="K74" s="39" t="s">
        <v>332</v>
      </c>
      <c r="L74" s="199" t="s">
        <v>499</v>
      </c>
      <c r="M74" s="129"/>
      <c r="N74" s="130"/>
      <c r="O74" s="131"/>
      <c r="P74" s="161">
        <f>10872*0.44</f>
        <v>4783.68</v>
      </c>
      <c r="Q74" s="161">
        <v>230090</v>
      </c>
      <c r="R74" s="161"/>
      <c r="S74" s="161">
        <f t="shared" si="283"/>
        <v>10458.636363636364</v>
      </c>
      <c r="T74" s="161">
        <f t="shared" si="262"/>
        <v>48.098953107231253</v>
      </c>
      <c r="U74" s="167">
        <f t="shared" si="263"/>
        <v>0</v>
      </c>
      <c r="V74" s="167">
        <f t="shared" si="264"/>
        <v>0</v>
      </c>
      <c r="W74" s="167">
        <f t="shared" si="265"/>
        <v>0</v>
      </c>
      <c r="X74" s="161">
        <f t="shared" si="266"/>
        <v>217.44000000000003</v>
      </c>
      <c r="Y74" s="162"/>
      <c r="Z74" s="736">
        <f t="shared" si="213"/>
        <v>45.989698307579097</v>
      </c>
      <c r="AA74" s="162"/>
      <c r="AB74" s="162"/>
      <c r="AC74" s="163"/>
      <c r="AD74" s="39" t="s">
        <v>9</v>
      </c>
      <c r="AE74" s="674">
        <f t="shared" si="214"/>
        <v>22</v>
      </c>
      <c r="AF74" s="674">
        <f t="shared" si="215"/>
        <v>22</v>
      </c>
      <c r="AG74" s="39">
        <v>22</v>
      </c>
      <c r="AH74" s="50"/>
      <c r="AI74" s="50"/>
      <c r="AJ74" s="50"/>
      <c r="AK74" s="209">
        <v>2034.59</v>
      </c>
      <c r="AL74" s="422">
        <v>2079.59</v>
      </c>
      <c r="AM74" s="875">
        <f t="shared" si="216"/>
        <v>92.481363636363639</v>
      </c>
      <c r="AN74" s="10">
        <f t="shared" si="217"/>
        <v>94.526818181818186</v>
      </c>
      <c r="AO74" s="43">
        <v>6.48</v>
      </c>
      <c r="AP74" s="43">
        <v>6.34</v>
      </c>
      <c r="AQ74" s="43">
        <v>599.32000000000005</v>
      </c>
      <c r="AR74" s="578"/>
      <c r="AS74" s="578"/>
      <c r="AT74" s="578"/>
      <c r="AU74" s="61">
        <f>12/AE74</f>
        <v>0.54545454545454541</v>
      </c>
      <c r="AV74" s="61">
        <f>10/AE74</f>
        <v>0.45454545454545453</v>
      </c>
      <c r="AW74" s="43"/>
      <c r="AX74" s="59"/>
      <c r="AY74" s="61"/>
      <c r="AZ74" s="43"/>
      <c r="BA74" s="42" t="s">
        <v>439</v>
      </c>
      <c r="BB74" s="39" t="s">
        <v>100</v>
      </c>
      <c r="BC74" s="39"/>
      <c r="BD74" s="39"/>
      <c r="BE74" s="39"/>
      <c r="BF74" s="39"/>
      <c r="BG74" s="184" t="s">
        <v>443</v>
      </c>
      <c r="BH74" s="143"/>
      <c r="BI74" s="159">
        <v>43334</v>
      </c>
      <c r="BJ74" s="75"/>
      <c r="BK74" s="867" t="s">
        <v>250</v>
      </c>
      <c r="BL74" s="622"/>
      <c r="BM74" s="158"/>
      <c r="BN74" s="1007">
        <f t="shared" si="73"/>
        <v>0</v>
      </c>
      <c r="BO74" s="954"/>
      <c r="BP74" s="125">
        <f t="shared" si="282"/>
        <v>91</v>
      </c>
      <c r="BQ74" s="125"/>
      <c r="BR74" s="225"/>
      <c r="BS74" s="224">
        <f t="shared" si="218"/>
        <v>731</v>
      </c>
      <c r="BT74" s="605"/>
      <c r="BU74" s="224" t="str">
        <f t="shared" si="267"/>
        <v>oui</v>
      </c>
      <c r="BV74" s="784">
        <f t="shared" si="268"/>
        <v>-1463</v>
      </c>
      <c r="BW74" s="605" t="str">
        <f t="shared" si="269"/>
        <v>0</v>
      </c>
      <c r="BX74" s="605">
        <f t="shared" si="270"/>
        <v>0</v>
      </c>
      <c r="BY74" s="702"/>
      <c r="BZ74" s="708"/>
      <c r="CA74" s="703"/>
      <c r="CB74" s="703"/>
      <c r="CC74" s="703"/>
      <c r="CD74" s="699"/>
      <c r="CE74" s="699"/>
      <c r="CF74" s="699"/>
      <c r="CG74" s="699"/>
      <c r="CH74" s="699"/>
      <c r="CI74" s="699"/>
      <c r="CJ74" s="699"/>
      <c r="CK74" s="699"/>
      <c r="CL74" s="699"/>
      <c r="CM74" s="699"/>
      <c r="CN74" s="699"/>
      <c r="CO74" s="699"/>
      <c r="CP74" s="699"/>
      <c r="CQ74" s="237"/>
      <c r="CR74" s="237"/>
      <c r="CS74" s="237"/>
      <c r="CT74" s="492" t="str">
        <f t="shared" si="219"/>
        <v>0</v>
      </c>
      <c r="CU74" s="237"/>
      <c r="CV74" s="237"/>
      <c r="CW74" s="475" t="str">
        <f t="shared" si="220"/>
        <v>0</v>
      </c>
      <c r="CX74" s="237"/>
      <c r="CY74" s="237"/>
      <c r="CZ74" s="475" t="str">
        <f t="shared" si="221"/>
        <v>0</v>
      </c>
      <c r="DA74" s="237"/>
      <c r="DB74" s="237"/>
      <c r="DC74" s="475" t="str">
        <f t="shared" si="222"/>
        <v>0</v>
      </c>
      <c r="DD74" s="237"/>
      <c r="DE74" s="237"/>
      <c r="DF74" s="475" t="str">
        <f t="shared" si="223"/>
        <v>0</v>
      </c>
      <c r="DG74" s="438"/>
      <c r="DH74" s="494"/>
      <c r="DI74" s="479"/>
      <c r="DJ74" s="484"/>
      <c r="DK74" s="481" t="str">
        <f t="shared" si="285"/>
        <v>0</v>
      </c>
      <c r="DL74" s="479"/>
      <c r="DM74" s="617">
        <v>43739</v>
      </c>
      <c r="DN74" s="326"/>
      <c r="DO74" s="432">
        <f t="shared" si="224"/>
        <v>13.5</v>
      </c>
      <c r="DP74" s="481" t="str">
        <f t="shared" si="225"/>
        <v>0</v>
      </c>
      <c r="DQ74" s="618">
        <v>24</v>
      </c>
      <c r="DR74" s="188">
        <f t="shared" si="226"/>
        <v>28</v>
      </c>
      <c r="DS74" s="479">
        <v>43793</v>
      </c>
      <c r="DT74" s="484">
        <f t="shared" ca="1" si="227"/>
        <v>43793</v>
      </c>
      <c r="DU74" s="481">
        <f t="shared" ca="1" si="228"/>
        <v>0</v>
      </c>
      <c r="DV74" s="479">
        <f t="shared" si="271"/>
        <v>43854</v>
      </c>
      <c r="DW74" s="497">
        <f t="shared" ca="1" si="229"/>
        <v>43854</v>
      </c>
      <c r="DX74" s="482">
        <f t="shared" ca="1" si="230"/>
        <v>0</v>
      </c>
      <c r="DY74" s="483"/>
      <c r="DZ74" s="497">
        <f t="shared" ca="1" si="231"/>
        <v>43647</v>
      </c>
      <c r="EA74" s="481" t="str">
        <f t="shared" ca="1" si="232"/>
        <v>0</v>
      </c>
      <c r="EB74" s="484">
        <v>43513</v>
      </c>
      <c r="EC74" s="484">
        <f t="shared" ca="1" si="233"/>
        <v>43647</v>
      </c>
      <c r="ED74" s="481">
        <f t="shared" ca="1" si="234"/>
        <v>134</v>
      </c>
      <c r="EE74" s="485"/>
      <c r="EF74" s="485"/>
      <c r="EG74" s="481" t="str">
        <f t="shared" si="235"/>
        <v>0</v>
      </c>
      <c r="EH74" s="484"/>
      <c r="EI74" s="484">
        <f t="shared" ca="1" si="236"/>
        <v>43647</v>
      </c>
      <c r="EJ74" s="481" t="str">
        <f t="shared" ca="1" si="237"/>
        <v>0</v>
      </c>
      <c r="EK74" s="484">
        <v>43590</v>
      </c>
      <c r="EL74" s="484">
        <f t="shared" ca="1" si="238"/>
        <v>43647</v>
      </c>
      <c r="EM74" s="481">
        <f t="shared" ca="1" si="239"/>
        <v>57</v>
      </c>
      <c r="EN74" s="484"/>
      <c r="EO74" s="484"/>
      <c r="EP74" s="484"/>
      <c r="EQ74" s="654">
        <f t="shared" si="240"/>
        <v>44470</v>
      </c>
      <c r="ER74" s="653">
        <f>DATE(YEAR(EQ74),MONTH(EQ74)+4,DAY(EQ74))</f>
        <v>44593</v>
      </c>
      <c r="ES74" s="650">
        <f t="shared" si="241"/>
        <v>4.0999999999999996</v>
      </c>
      <c r="ET74" s="904">
        <f t="shared" ca="1" si="242"/>
        <v>31.533333333333335</v>
      </c>
      <c r="EU74" s="653">
        <f t="shared" ca="1" si="243"/>
        <v>44585</v>
      </c>
      <c r="EV74" s="748"/>
      <c r="EW74" s="737"/>
      <c r="EX74" s="749"/>
      <c r="EY74" s="443"/>
      <c r="EZ74" s="747">
        <f t="shared" si="255"/>
        <v>44501</v>
      </c>
      <c r="FA74" s="653">
        <f t="shared" si="272"/>
        <v>44621</v>
      </c>
      <c r="FB74" s="518"/>
      <c r="FC74" s="647">
        <f t="shared" si="244"/>
        <v>4</v>
      </c>
      <c r="FD74" s="635">
        <v>13231</v>
      </c>
      <c r="FE74" s="192">
        <f t="shared" si="245"/>
        <v>52924</v>
      </c>
      <c r="FF74" s="91"/>
      <c r="FG74" s="502">
        <v>0</v>
      </c>
      <c r="FH74" s="502">
        <v>0</v>
      </c>
      <c r="FI74" s="502"/>
      <c r="FJ74" s="502"/>
      <c r="FK74" s="502"/>
      <c r="FL74" s="664">
        <f t="shared" si="261"/>
        <v>0</v>
      </c>
      <c r="FM74" s="499"/>
      <c r="FN74" s="511"/>
      <c r="FO74" s="511" t="s">
        <v>593</v>
      </c>
      <c r="FP74" s="499" t="s">
        <v>902</v>
      </c>
      <c r="FQ74" s="94"/>
      <c r="FR74" s="94"/>
      <c r="FS74" s="94"/>
      <c r="FT74" s="94"/>
      <c r="FU74" s="94"/>
      <c r="FV74" s="39"/>
      <c r="FW74" s="212">
        <f t="shared" si="246"/>
        <v>44958</v>
      </c>
      <c r="FX74" s="212"/>
      <c r="FY74" s="39"/>
      <c r="FZ74" s="39"/>
      <c r="GA74" s="39"/>
      <c r="GB74" s="39"/>
      <c r="GC74" s="39"/>
      <c r="GD74" s="39"/>
      <c r="GE74" s="39"/>
      <c r="GF74" s="39"/>
      <c r="GG74" s="39"/>
      <c r="GH74" s="39"/>
      <c r="GI74" s="39"/>
      <c r="GJ74" s="39"/>
      <c r="GK74" s="39"/>
      <c r="GL74" s="742"/>
      <c r="GM74" s="979">
        <f t="shared" si="144"/>
        <v>4056011.6086713839</v>
      </c>
      <c r="GN74" s="772">
        <f t="shared" si="284"/>
        <v>4056011.6086713839</v>
      </c>
      <c r="GO74" s="53">
        <f t="shared" si="273"/>
        <v>4056011.6086713839</v>
      </c>
      <c r="GP74" s="909">
        <f t="shared" si="274"/>
        <v>439624.0180526367</v>
      </c>
      <c r="GQ74" s="35">
        <f t="shared" si="256"/>
        <v>1950.3900329735109</v>
      </c>
      <c r="GR74" s="35">
        <f t="shared" si="275"/>
        <v>184364.16403051745</v>
      </c>
      <c r="GS74" s="934">
        <v>1311273.7059362496</v>
      </c>
      <c r="GT74" s="577"/>
      <c r="GU74" s="35">
        <f t="shared" si="248"/>
        <v>59603.350269829527</v>
      </c>
      <c r="GV74" s="934">
        <f t="shared" si="276"/>
        <v>2162113.8846824975</v>
      </c>
      <c r="GW74" s="936">
        <v>446051.35266383801</v>
      </c>
      <c r="GX74" s="936">
        <v>1716062.5320186594</v>
      </c>
      <c r="GY74" s="567">
        <f t="shared" si="249"/>
        <v>98277.903849204435</v>
      </c>
      <c r="GZ74" s="934"/>
      <c r="HA74" s="53">
        <v>418000</v>
      </c>
      <c r="HB74" s="53"/>
      <c r="HC74" s="28">
        <f t="shared" si="257"/>
        <v>0.10305690425203765</v>
      </c>
      <c r="HD74" s="53">
        <v>143000</v>
      </c>
      <c r="HE74" s="53"/>
      <c r="HF74" s="53">
        <v>21624.0180526367</v>
      </c>
      <c r="HG74" s="35">
        <f t="shared" si="258"/>
        <v>19000</v>
      </c>
      <c r="HH74" s="35">
        <f t="shared" si="259"/>
        <v>78603.35026982952</v>
      </c>
      <c r="HI74" s="70"/>
      <c r="HJ74" s="70"/>
      <c r="HK74" s="19">
        <f t="shared" si="277"/>
        <v>78603.35026982952</v>
      </c>
      <c r="HL74" s="70"/>
      <c r="HM74" s="35">
        <f t="shared" si="260"/>
        <v>78603.35026982952</v>
      </c>
      <c r="HN74" s="36">
        <f t="shared" si="278"/>
        <v>0.42634831277090524</v>
      </c>
      <c r="HO74" s="70"/>
      <c r="HP74" s="70"/>
      <c r="HQ74" s="53">
        <f t="shared" si="286"/>
        <v>0</v>
      </c>
      <c r="HR74" s="898">
        <f>(922952+2938.14)*1.021</f>
        <v>945333.83293999988</v>
      </c>
      <c r="HS74" s="907">
        <f t="shared" si="279"/>
        <v>0.23306980456341941</v>
      </c>
      <c r="HT74" s="898">
        <f>GN74+GN75-HR74</f>
        <v>8385760.6020989912</v>
      </c>
      <c r="HU74" s="898">
        <f ca="1">IF(ET74&lt;DATEDIF(TODAY(),$HU$1,"M"),HT74,(HT74/ET74*DATEDIF(TODAY(),$HU$1,"M")))*0+500000</f>
        <v>500000</v>
      </c>
      <c r="HV74" s="907">
        <f ca="1">(HU74+HR74)/(GN74+GN75)</f>
        <v>0.15489435274737526</v>
      </c>
      <c r="HW74" s="898">
        <f>'[3]GLOBAL OPERATION'!$AG$69</f>
        <v>0</v>
      </c>
      <c r="HX74" s="898">
        <f t="shared" si="280"/>
        <v>439624.0180526367</v>
      </c>
      <c r="HY74" s="907">
        <f t="shared" si="281"/>
        <v>0</v>
      </c>
      <c r="HZ74" s="907"/>
      <c r="IA74" s="29" t="e">
        <f>#REF!+HI74</f>
        <v>#REF!</v>
      </c>
      <c r="IB74" s="752"/>
      <c r="IC74" s="73"/>
      <c r="ID74" s="73"/>
      <c r="IE74" s="73"/>
      <c r="IF74" s="73"/>
    </row>
    <row r="75" spans="1:240" ht="20.100000000000001" customHeight="1">
      <c r="A75" s="972" t="s">
        <v>331</v>
      </c>
      <c r="B75" s="595"/>
      <c r="C75" s="39" t="s">
        <v>20</v>
      </c>
      <c r="D75" s="39" t="s">
        <v>93</v>
      </c>
      <c r="E75" s="39">
        <v>2018</v>
      </c>
      <c r="F75" s="39" t="s">
        <v>460</v>
      </c>
      <c r="G75" s="39" t="s">
        <v>926</v>
      </c>
      <c r="H75" s="88"/>
      <c r="I75" s="41" t="s">
        <v>192</v>
      </c>
      <c r="J75" s="39"/>
      <c r="K75" s="39" t="s">
        <v>332</v>
      </c>
      <c r="L75" s="199" t="s">
        <v>499</v>
      </c>
      <c r="M75" s="129"/>
      <c r="N75" s="130"/>
      <c r="O75" s="131"/>
      <c r="P75" s="161">
        <f>10872*0.56</f>
        <v>6088.3200000000006</v>
      </c>
      <c r="Q75" s="161">
        <v>290092</v>
      </c>
      <c r="R75" s="161"/>
      <c r="S75" s="161">
        <f t="shared" si="283"/>
        <v>8532.1176470588234</v>
      </c>
      <c r="T75" s="161">
        <f t="shared" si="262"/>
        <v>47.64729843372227</v>
      </c>
      <c r="U75" s="167">
        <f t="shared" si="263"/>
        <v>0</v>
      </c>
      <c r="V75" s="167">
        <f t="shared" si="264"/>
        <v>0</v>
      </c>
      <c r="W75" s="167">
        <f t="shared" si="265"/>
        <v>0</v>
      </c>
      <c r="X75" s="161">
        <f t="shared" si="266"/>
        <v>179.06823529411767</v>
      </c>
      <c r="Y75" s="162"/>
      <c r="Z75" s="736">
        <f t="shared" si="213"/>
        <v>55.84463365920319</v>
      </c>
      <c r="AA75" s="162"/>
      <c r="AB75" s="162"/>
      <c r="AC75" s="163"/>
      <c r="AD75" s="39" t="s">
        <v>10</v>
      </c>
      <c r="AE75" s="674">
        <f t="shared" si="214"/>
        <v>34</v>
      </c>
      <c r="AF75" s="674">
        <f t="shared" si="215"/>
        <v>34</v>
      </c>
      <c r="AG75" s="50"/>
      <c r="AH75" s="39">
        <v>34</v>
      </c>
      <c r="AI75" s="88"/>
      <c r="AJ75" s="88"/>
      <c r="AK75" s="209">
        <v>2347.75</v>
      </c>
      <c r="AL75" s="422">
        <v>2623.45</v>
      </c>
      <c r="AM75" s="875">
        <f t="shared" si="216"/>
        <v>69.05147058823529</v>
      </c>
      <c r="AN75" s="10">
        <f t="shared" si="217"/>
        <v>77.160294117647055</v>
      </c>
      <c r="AO75" s="43">
        <v>5.9828543468996109</v>
      </c>
      <c r="AP75" s="43">
        <v>5.35</v>
      </c>
      <c r="AQ75" s="43">
        <v>413.12</v>
      </c>
      <c r="AR75" s="61">
        <f>1/AE75</f>
        <v>2.9411764705882353E-2</v>
      </c>
      <c r="AS75" s="61">
        <f>10/AE75</f>
        <v>0.29411764705882354</v>
      </c>
      <c r="AT75" s="61">
        <f>16/AE75</f>
        <v>0.47058823529411764</v>
      </c>
      <c r="AU75" s="61">
        <f>7/AE75</f>
        <v>0.20588235294117646</v>
      </c>
      <c r="AV75" s="61"/>
      <c r="AW75" s="43"/>
      <c r="AX75" s="59"/>
      <c r="AY75" s="61"/>
      <c r="AZ75" s="43"/>
      <c r="BA75" s="42" t="s">
        <v>439</v>
      </c>
      <c r="BB75" s="39" t="s">
        <v>100</v>
      </c>
      <c r="BC75" s="39"/>
      <c r="BD75" s="39"/>
      <c r="BE75" s="39"/>
      <c r="BF75" s="39"/>
      <c r="BG75" s="184" t="s">
        <v>443</v>
      </c>
      <c r="BH75" s="143"/>
      <c r="BI75" s="159">
        <v>43334</v>
      </c>
      <c r="BJ75" s="75"/>
      <c r="BK75" s="867" t="s">
        <v>250</v>
      </c>
      <c r="BL75" s="622"/>
      <c r="BM75" s="158"/>
      <c r="BN75" s="1007">
        <f t="shared" si="73"/>
        <v>0</v>
      </c>
      <c r="BO75" s="954"/>
      <c r="BP75" s="125">
        <f t="shared" si="282"/>
        <v>91</v>
      </c>
      <c r="BQ75" s="125"/>
      <c r="BR75" s="225"/>
      <c r="BS75" s="224">
        <f t="shared" si="218"/>
        <v>731</v>
      </c>
      <c r="BT75" s="605"/>
      <c r="BU75" s="224" t="str">
        <f t="shared" si="267"/>
        <v>oui</v>
      </c>
      <c r="BV75" s="784">
        <f t="shared" si="268"/>
        <v>-1463</v>
      </c>
      <c r="BW75" s="605" t="str">
        <f t="shared" si="269"/>
        <v>0</v>
      </c>
      <c r="BX75" s="605">
        <f t="shared" si="270"/>
        <v>0</v>
      </c>
      <c r="BY75" s="702"/>
      <c r="BZ75" s="708"/>
      <c r="CA75" s="703"/>
      <c r="CB75" s="703"/>
      <c r="CC75" s="703"/>
      <c r="CD75" s="699"/>
      <c r="CE75" s="699"/>
      <c r="CF75" s="699"/>
      <c r="CG75" s="699"/>
      <c r="CH75" s="699"/>
      <c r="CI75" s="699"/>
      <c r="CJ75" s="699"/>
      <c r="CK75" s="699"/>
      <c r="CL75" s="699"/>
      <c r="CM75" s="699"/>
      <c r="CN75" s="699"/>
      <c r="CO75" s="699"/>
      <c r="CP75" s="699"/>
      <c r="CQ75" s="427"/>
      <c r="CR75" s="95"/>
      <c r="CS75" s="95"/>
      <c r="CT75" s="492" t="str">
        <f t="shared" si="219"/>
        <v>0</v>
      </c>
      <c r="CU75" s="95"/>
      <c r="CV75" s="237"/>
      <c r="CW75" s="475" t="str">
        <f t="shared" si="220"/>
        <v>0</v>
      </c>
      <c r="CX75" s="95"/>
      <c r="CY75" s="427"/>
      <c r="CZ75" s="475" t="str">
        <f t="shared" si="221"/>
        <v>0</v>
      </c>
      <c r="DA75" s="95"/>
      <c r="DB75" s="427"/>
      <c r="DC75" s="475" t="str">
        <f t="shared" si="222"/>
        <v>0</v>
      </c>
      <c r="DD75" s="97"/>
      <c r="DE75" s="95"/>
      <c r="DF75" s="475" t="str">
        <f t="shared" si="223"/>
        <v>0</v>
      </c>
      <c r="DG75" s="438"/>
      <c r="DH75" s="494"/>
      <c r="DI75" s="479"/>
      <c r="DJ75" s="480"/>
      <c r="DK75" s="481" t="str">
        <f t="shared" si="285"/>
        <v>0</v>
      </c>
      <c r="DL75" s="479"/>
      <c r="DM75" s="617">
        <v>43739</v>
      </c>
      <c r="DN75" s="326"/>
      <c r="DO75" s="432">
        <f t="shared" si="224"/>
        <v>13.5</v>
      </c>
      <c r="DP75" s="481" t="str">
        <f t="shared" si="225"/>
        <v>0</v>
      </c>
      <c r="DQ75" s="618">
        <v>24</v>
      </c>
      <c r="DR75" s="188">
        <f t="shared" si="226"/>
        <v>28</v>
      </c>
      <c r="DS75" s="479">
        <v>43793</v>
      </c>
      <c r="DT75" s="484">
        <f t="shared" ca="1" si="227"/>
        <v>43793</v>
      </c>
      <c r="DU75" s="481">
        <f t="shared" ca="1" si="228"/>
        <v>0</v>
      </c>
      <c r="DV75" s="479">
        <f t="shared" si="271"/>
        <v>43854</v>
      </c>
      <c r="DW75" s="497">
        <f t="shared" ca="1" si="229"/>
        <v>43854</v>
      </c>
      <c r="DX75" s="482">
        <f t="shared" ca="1" si="230"/>
        <v>0</v>
      </c>
      <c r="DY75" s="483"/>
      <c r="DZ75" s="497">
        <f t="shared" ca="1" si="231"/>
        <v>43647</v>
      </c>
      <c r="EA75" s="481" t="str">
        <f t="shared" ca="1" si="232"/>
        <v>0</v>
      </c>
      <c r="EB75" s="484">
        <v>43514</v>
      </c>
      <c r="EC75" s="484">
        <f t="shared" ca="1" si="233"/>
        <v>43647</v>
      </c>
      <c r="ED75" s="481">
        <f t="shared" ca="1" si="234"/>
        <v>133</v>
      </c>
      <c r="EE75" s="485"/>
      <c r="EF75" s="485"/>
      <c r="EG75" s="481" t="str">
        <f t="shared" si="235"/>
        <v>0</v>
      </c>
      <c r="EH75" s="484"/>
      <c r="EI75" s="484">
        <f t="shared" ca="1" si="236"/>
        <v>43647</v>
      </c>
      <c r="EJ75" s="481" t="str">
        <f t="shared" ca="1" si="237"/>
        <v>0</v>
      </c>
      <c r="EK75" s="484">
        <v>43591</v>
      </c>
      <c r="EL75" s="484">
        <f t="shared" ca="1" si="238"/>
        <v>43647</v>
      </c>
      <c r="EM75" s="481">
        <f t="shared" ca="1" si="239"/>
        <v>56</v>
      </c>
      <c r="EN75" s="484"/>
      <c r="EO75" s="484"/>
      <c r="EP75" s="484"/>
      <c r="EQ75" s="654">
        <f t="shared" si="240"/>
        <v>44470</v>
      </c>
      <c r="ER75" s="653">
        <f>DATE(YEAR(EQ75),MONTH(EQ75)+4,DAY(EQ75))</f>
        <v>44593</v>
      </c>
      <c r="ES75" s="650">
        <f t="shared" si="241"/>
        <v>4.0999999999999996</v>
      </c>
      <c r="ET75" s="904">
        <f t="shared" ca="1" si="242"/>
        <v>31.533333333333335</v>
      </c>
      <c r="EU75" s="653">
        <f t="shared" ca="1" si="243"/>
        <v>44585</v>
      </c>
      <c r="EV75" s="748"/>
      <c r="EW75" s="737"/>
      <c r="EX75" s="749"/>
      <c r="EY75" s="443"/>
      <c r="EZ75" s="747">
        <f t="shared" si="255"/>
        <v>44501</v>
      </c>
      <c r="FA75" s="653">
        <f t="shared" si="272"/>
        <v>44621</v>
      </c>
      <c r="FB75" s="518"/>
      <c r="FC75" s="647">
        <f t="shared" si="244"/>
        <v>4</v>
      </c>
      <c r="FD75" s="635">
        <v>14099</v>
      </c>
      <c r="FE75" s="192">
        <f t="shared" si="245"/>
        <v>56396</v>
      </c>
      <c r="FF75" s="91"/>
      <c r="FG75" s="502"/>
      <c r="FH75" s="502">
        <v>0</v>
      </c>
      <c r="FI75" s="502"/>
      <c r="FJ75" s="502"/>
      <c r="FK75" s="502"/>
      <c r="FL75" s="664">
        <f t="shared" si="261"/>
        <v>0</v>
      </c>
      <c r="FM75" s="499"/>
      <c r="FN75" s="511"/>
      <c r="FO75" s="511"/>
      <c r="FP75" s="499" t="s">
        <v>902</v>
      </c>
      <c r="FQ75" s="94"/>
      <c r="FR75" s="94"/>
      <c r="FS75" s="94"/>
      <c r="FT75" s="94"/>
      <c r="FU75" s="94"/>
      <c r="FV75" s="39"/>
      <c r="FW75" s="212">
        <f t="shared" si="246"/>
        <v>44958</v>
      </c>
      <c r="FX75" s="212"/>
      <c r="FY75" s="39"/>
      <c r="FZ75" s="39"/>
      <c r="GA75" s="39"/>
      <c r="GB75" s="39"/>
      <c r="GC75" s="39"/>
      <c r="GD75" s="39"/>
      <c r="GE75" s="39"/>
      <c r="GF75" s="39"/>
      <c r="GG75" s="39"/>
      <c r="GH75" s="39"/>
      <c r="GI75" s="39"/>
      <c r="GJ75" s="39"/>
      <c r="GK75" s="39"/>
      <c r="GL75" s="742"/>
      <c r="GM75" s="979">
        <f t="shared" si="144"/>
        <v>5275082.8263676064</v>
      </c>
      <c r="GN75" s="772">
        <f t="shared" si="284"/>
        <v>5275082.8263676064</v>
      </c>
      <c r="GO75" s="53">
        <f t="shared" si="273"/>
        <v>5275082.8263676064</v>
      </c>
      <c r="GP75" s="909">
        <f t="shared" si="274"/>
        <v>741279</v>
      </c>
      <c r="GQ75" s="35">
        <f t="shared" si="256"/>
        <v>2010.7426580905321</v>
      </c>
      <c r="GR75" s="35">
        <f t="shared" si="275"/>
        <v>155149.4948931649</v>
      </c>
      <c r="GS75" s="934">
        <v>1593268.1170012613</v>
      </c>
      <c r="GT75" s="577"/>
      <c r="GU75" s="35">
        <f t="shared" si="248"/>
        <v>46860.826970625334</v>
      </c>
      <c r="GV75" s="934">
        <f t="shared" si="276"/>
        <v>2719535.7093663453</v>
      </c>
      <c r="GW75" s="936">
        <v>551929.13133043924</v>
      </c>
      <c r="GX75" s="936">
        <v>2167606.578035906</v>
      </c>
      <c r="GY75" s="567">
        <f t="shared" si="249"/>
        <v>79986.344393127802</v>
      </c>
      <c r="GZ75" s="934"/>
      <c r="HA75" s="53">
        <v>714000</v>
      </c>
      <c r="HB75" s="53"/>
      <c r="HC75" s="28">
        <f t="shared" si="257"/>
        <v>0.13535332496222746</v>
      </c>
      <c r="HD75" s="53">
        <v>221000</v>
      </c>
      <c r="HE75" s="53"/>
      <c r="HF75" s="53">
        <v>27279</v>
      </c>
      <c r="HG75" s="35">
        <f t="shared" si="258"/>
        <v>21000</v>
      </c>
      <c r="HH75" s="35">
        <f t="shared" si="259"/>
        <v>67860.826970625334</v>
      </c>
      <c r="HI75" s="70"/>
      <c r="HJ75" s="70"/>
      <c r="HK75" s="19">
        <f t="shared" si="277"/>
        <v>67860.826970625334</v>
      </c>
      <c r="HL75" s="70"/>
      <c r="HM75" s="35">
        <f t="shared" si="260"/>
        <v>67860.826970625334</v>
      </c>
      <c r="HN75" s="36">
        <f t="shared" si="278"/>
        <v>0.43738993167431156</v>
      </c>
      <c r="HO75" s="70"/>
      <c r="HP75" s="70"/>
      <c r="HQ75" s="53">
        <f t="shared" si="286"/>
        <v>0</v>
      </c>
      <c r="HR75" s="609"/>
      <c r="HS75" s="907">
        <f t="shared" si="279"/>
        <v>0</v>
      </c>
      <c r="HT75" s="609"/>
      <c r="HU75" s="609"/>
      <c r="HV75" s="578"/>
      <c r="HW75" s="898">
        <f>'[3]GLOBAL OPERATION'!$AG$70</f>
        <v>0</v>
      </c>
      <c r="HX75" s="898">
        <f t="shared" si="280"/>
        <v>741279</v>
      </c>
      <c r="HY75" s="907">
        <f t="shared" si="281"/>
        <v>0</v>
      </c>
      <c r="HZ75" s="907"/>
      <c r="IA75" s="73" t="e">
        <f>#REF!+HI75</f>
        <v>#REF!</v>
      </c>
      <c r="IB75" s="752"/>
      <c r="IC75" s="73"/>
      <c r="ID75" s="73"/>
      <c r="IE75" s="73"/>
      <c r="IF75" s="73"/>
    </row>
    <row r="76" spans="1:240" ht="20.100000000000001" customHeight="1">
      <c r="A76" s="787" t="s">
        <v>412</v>
      </c>
      <c r="B76" s="778"/>
      <c r="C76" s="39" t="s">
        <v>20</v>
      </c>
      <c r="D76" s="39" t="s">
        <v>93</v>
      </c>
      <c r="E76" s="39">
        <v>2017</v>
      </c>
      <c r="F76" s="39" t="s">
        <v>320</v>
      </c>
      <c r="G76" s="39" t="s">
        <v>926</v>
      </c>
      <c r="H76" s="8" t="s">
        <v>147</v>
      </c>
      <c r="I76" s="41" t="s">
        <v>192</v>
      </c>
      <c r="J76" s="39"/>
      <c r="K76" s="39" t="s">
        <v>332</v>
      </c>
      <c r="L76" s="199" t="s">
        <v>499</v>
      </c>
      <c r="M76" s="129"/>
      <c r="N76" s="130"/>
      <c r="O76" s="131"/>
      <c r="P76" s="161">
        <v>11037</v>
      </c>
      <c r="Q76" s="161">
        <v>705655.44208162103</v>
      </c>
      <c r="R76" s="161"/>
      <c r="S76" s="161">
        <f t="shared" si="283"/>
        <v>8400.6600247812021</v>
      </c>
      <c r="T76" s="161">
        <f t="shared" si="262"/>
        <v>63.935439166587031</v>
      </c>
      <c r="U76" s="167">
        <f t="shared" si="263"/>
        <v>0</v>
      </c>
      <c r="V76" s="167">
        <f t="shared" si="264"/>
        <v>0</v>
      </c>
      <c r="W76" s="167">
        <f t="shared" si="265"/>
        <v>0</v>
      </c>
      <c r="X76" s="161">
        <f t="shared" si="266"/>
        <v>131.39285714285714</v>
      </c>
      <c r="Y76" s="162"/>
      <c r="Z76" s="733">
        <f t="shared" si="213"/>
        <v>76.107637945093771</v>
      </c>
      <c r="AA76" s="162"/>
      <c r="AB76" s="162"/>
      <c r="AC76" s="163"/>
      <c r="AD76" s="39" t="s">
        <v>10</v>
      </c>
      <c r="AE76" s="674">
        <f t="shared" si="214"/>
        <v>84</v>
      </c>
      <c r="AF76" s="674">
        <f t="shared" si="215"/>
        <v>84</v>
      </c>
      <c r="AG76" s="50"/>
      <c r="AH76" s="39">
        <v>84</v>
      </c>
      <c r="AI76" s="39"/>
      <c r="AJ76" s="39"/>
      <c r="AK76" s="209"/>
      <c r="AL76" s="422">
        <v>6502.48</v>
      </c>
      <c r="AM76" s="875">
        <f t="shared" si="216"/>
        <v>0</v>
      </c>
      <c r="AN76" s="10">
        <f t="shared" si="217"/>
        <v>77.410476190476189</v>
      </c>
      <c r="AO76" s="43">
        <v>6.01</v>
      </c>
      <c r="AP76" s="43">
        <v>5.37</v>
      </c>
      <c r="AQ76" s="43">
        <v>412.03</v>
      </c>
      <c r="AR76" s="61"/>
      <c r="AS76" s="61"/>
      <c r="AT76" s="61"/>
      <c r="AU76" s="61"/>
      <c r="AV76" s="61"/>
      <c r="AW76" s="43"/>
      <c r="AX76" s="141"/>
      <c r="AY76" s="83"/>
      <c r="AZ76" s="43"/>
      <c r="BA76" s="42" t="s">
        <v>439</v>
      </c>
      <c r="BB76" s="39" t="s">
        <v>100</v>
      </c>
      <c r="BC76" s="39"/>
      <c r="BD76" s="39"/>
      <c r="BE76" s="39"/>
      <c r="BF76" s="39"/>
      <c r="BG76" s="184" t="s">
        <v>411</v>
      </c>
      <c r="BH76" s="143"/>
      <c r="BI76" s="159">
        <v>42929</v>
      </c>
      <c r="BJ76" s="75">
        <v>43010</v>
      </c>
      <c r="BK76" s="867" t="s">
        <v>250</v>
      </c>
      <c r="BL76" s="622"/>
      <c r="BM76" s="158"/>
      <c r="BN76" s="1007">
        <f t="shared" si="73"/>
        <v>0</v>
      </c>
      <c r="BO76" s="954"/>
      <c r="BP76" s="125">
        <f t="shared" si="282"/>
        <v>91</v>
      </c>
      <c r="BQ76" s="125"/>
      <c r="BR76" s="225"/>
      <c r="BS76" s="224">
        <f t="shared" si="218"/>
        <v>731</v>
      </c>
      <c r="BT76" s="605"/>
      <c r="BU76" s="224" t="str">
        <f t="shared" si="267"/>
        <v>oui</v>
      </c>
      <c r="BV76" s="784">
        <f t="shared" si="268"/>
        <v>-1463</v>
      </c>
      <c r="BW76" s="605" t="str">
        <f t="shared" si="269"/>
        <v>0</v>
      </c>
      <c r="BX76" s="605">
        <f t="shared" si="270"/>
        <v>0</v>
      </c>
      <c r="BY76" s="702"/>
      <c r="BZ76" s="708"/>
      <c r="CA76" s="703"/>
      <c r="CB76" s="703"/>
      <c r="CC76" s="703"/>
      <c r="CD76" s="699"/>
      <c r="CE76" s="699"/>
      <c r="CF76" s="699"/>
      <c r="CG76" s="699"/>
      <c r="CH76" s="699"/>
      <c r="CI76" s="699"/>
      <c r="CJ76" s="699"/>
      <c r="CK76" s="699"/>
      <c r="CL76" s="699"/>
      <c r="CM76" s="699"/>
      <c r="CN76" s="699"/>
      <c r="CO76" s="699"/>
      <c r="CP76" s="699"/>
      <c r="CQ76" s="237"/>
      <c r="CR76" s="95"/>
      <c r="CS76" s="95"/>
      <c r="CT76" s="492" t="str">
        <f t="shared" si="219"/>
        <v>0</v>
      </c>
      <c r="CU76" s="95"/>
      <c r="CV76" s="95"/>
      <c r="CW76" s="475" t="str">
        <f t="shared" si="220"/>
        <v>0</v>
      </c>
      <c r="CX76" s="237"/>
      <c r="CY76" s="237"/>
      <c r="CZ76" s="475" t="str">
        <f t="shared" si="221"/>
        <v>0</v>
      </c>
      <c r="DA76" s="95"/>
      <c r="DB76" s="95"/>
      <c r="DC76" s="475" t="str">
        <f t="shared" si="222"/>
        <v>0</v>
      </c>
      <c r="DD76" s="237"/>
      <c r="DE76" s="237"/>
      <c r="DF76" s="475" t="str">
        <f t="shared" si="223"/>
        <v>0</v>
      </c>
      <c r="DG76" s="438"/>
      <c r="DH76" s="494"/>
      <c r="DI76" s="486"/>
      <c r="DJ76" s="484"/>
      <c r="DK76" s="481" t="str">
        <f t="shared" si="285"/>
        <v>0</v>
      </c>
      <c r="DL76" s="486"/>
      <c r="DM76" s="617">
        <v>43739</v>
      </c>
      <c r="DN76" s="326"/>
      <c r="DO76" s="432">
        <f t="shared" si="224"/>
        <v>27</v>
      </c>
      <c r="DP76" s="481" t="str">
        <f t="shared" si="225"/>
        <v>0</v>
      </c>
      <c r="DQ76" s="618">
        <v>24</v>
      </c>
      <c r="DR76" s="188">
        <f t="shared" si="226"/>
        <v>28</v>
      </c>
      <c r="DS76" s="479">
        <v>43793</v>
      </c>
      <c r="DT76" s="484">
        <f t="shared" ca="1" si="227"/>
        <v>43793</v>
      </c>
      <c r="DU76" s="481">
        <f t="shared" ca="1" si="228"/>
        <v>0</v>
      </c>
      <c r="DV76" s="479">
        <f t="shared" si="271"/>
        <v>43854</v>
      </c>
      <c r="DW76" s="497">
        <f t="shared" ca="1" si="229"/>
        <v>43854</v>
      </c>
      <c r="DX76" s="482">
        <f t="shared" ca="1" si="230"/>
        <v>0</v>
      </c>
      <c r="DY76" s="484"/>
      <c r="DZ76" s="497">
        <f t="shared" ca="1" si="231"/>
        <v>43647</v>
      </c>
      <c r="EA76" s="481" t="str">
        <f t="shared" ca="1" si="232"/>
        <v>0</v>
      </c>
      <c r="EB76" s="484">
        <v>43505</v>
      </c>
      <c r="EC76" s="484">
        <f t="shared" ca="1" si="233"/>
        <v>43647</v>
      </c>
      <c r="ED76" s="481">
        <f t="shared" ca="1" si="234"/>
        <v>142</v>
      </c>
      <c r="EE76" s="485"/>
      <c r="EF76" s="485"/>
      <c r="EG76" s="481" t="str">
        <f t="shared" si="235"/>
        <v>0</v>
      </c>
      <c r="EH76" s="484"/>
      <c r="EI76" s="484">
        <f t="shared" ca="1" si="236"/>
        <v>43647</v>
      </c>
      <c r="EJ76" s="481" t="str">
        <f t="shared" ca="1" si="237"/>
        <v>0</v>
      </c>
      <c r="EK76" s="484">
        <v>43582</v>
      </c>
      <c r="EL76" s="484">
        <f t="shared" ca="1" si="238"/>
        <v>43647</v>
      </c>
      <c r="EM76" s="481">
        <f t="shared" ca="1" si="239"/>
        <v>65</v>
      </c>
      <c r="EN76" s="484"/>
      <c r="EO76" s="484"/>
      <c r="EP76" s="484"/>
      <c r="EQ76" s="654">
        <f t="shared" si="240"/>
        <v>44470</v>
      </c>
      <c r="ER76" s="653">
        <f>DATE(YEAR(EQ76),MONTH(EQ76)+4,DAY(EQ76))</f>
        <v>44593</v>
      </c>
      <c r="ES76" s="650">
        <f t="shared" si="241"/>
        <v>4.0999999999999996</v>
      </c>
      <c r="ET76" s="904">
        <f t="shared" ca="1" si="242"/>
        <v>31.533333333333335</v>
      </c>
      <c r="EU76" s="653">
        <f t="shared" ca="1" si="243"/>
        <v>44585</v>
      </c>
      <c r="EV76" s="748"/>
      <c r="EW76" s="737"/>
      <c r="EX76" s="749"/>
      <c r="EY76" s="443"/>
      <c r="EZ76" s="747">
        <f t="shared" si="255"/>
        <v>44501</v>
      </c>
      <c r="FA76" s="653">
        <f t="shared" si="272"/>
        <v>44621</v>
      </c>
      <c r="FB76" s="518"/>
      <c r="FC76" s="647">
        <f t="shared" si="244"/>
        <v>4</v>
      </c>
      <c r="FD76" s="635">
        <v>34578</v>
      </c>
      <c r="FE76" s="192">
        <f t="shared" si="245"/>
        <v>138312</v>
      </c>
      <c r="FF76" s="91"/>
      <c r="FG76" s="502">
        <v>0</v>
      </c>
      <c r="FH76" s="502">
        <v>0</v>
      </c>
      <c r="FI76" s="502"/>
      <c r="FJ76" s="502"/>
      <c r="FK76" s="502"/>
      <c r="FL76" s="664">
        <f t="shared" si="261"/>
        <v>0</v>
      </c>
      <c r="FM76" s="499"/>
      <c r="FN76" s="511"/>
      <c r="FO76" s="511" t="s">
        <v>590</v>
      </c>
      <c r="FP76" s="499" t="s">
        <v>902</v>
      </c>
      <c r="FQ76" s="94"/>
      <c r="FR76" s="94"/>
      <c r="FS76" s="94"/>
      <c r="FT76" s="94"/>
      <c r="FU76" s="94"/>
      <c r="FV76" s="39"/>
      <c r="FW76" s="212">
        <f t="shared" si="246"/>
        <v>44958</v>
      </c>
      <c r="FX76" s="212"/>
      <c r="FY76" s="39"/>
      <c r="FZ76" s="39"/>
      <c r="GA76" s="39"/>
      <c r="GB76" s="39"/>
      <c r="GC76" s="39"/>
      <c r="GD76" s="39"/>
      <c r="GE76" s="39"/>
      <c r="GF76" s="39"/>
      <c r="GG76" s="39"/>
      <c r="GH76" s="39"/>
      <c r="GI76" s="39"/>
      <c r="GJ76" s="39"/>
      <c r="GK76" s="39"/>
      <c r="GL76" s="742"/>
      <c r="GM76" s="979">
        <f t="shared" si="144"/>
        <v>12677323.999999998</v>
      </c>
      <c r="GN76" s="772">
        <f t="shared" si="284"/>
        <v>12677323.999999998</v>
      </c>
      <c r="GO76" s="53">
        <f t="shared" si="273"/>
        <v>12677323.999999998</v>
      </c>
      <c r="GP76" s="909">
        <f t="shared" si="274"/>
        <v>1561645.3922223744</v>
      </c>
      <c r="GQ76" s="35">
        <f t="shared" si="256"/>
        <v>1949.6136858552427</v>
      </c>
      <c r="GR76" s="35">
        <f t="shared" si="275"/>
        <v>150920.52380952379</v>
      </c>
      <c r="GS76" s="934">
        <v>3910620.7634519334</v>
      </c>
      <c r="GT76" s="577"/>
      <c r="GU76" s="71">
        <f t="shared" si="248"/>
        <v>46555.009088713494</v>
      </c>
      <c r="GV76" s="934">
        <f t="shared" si="276"/>
        <v>7205057.8443256905</v>
      </c>
      <c r="GW76" s="936">
        <v>1186900.8370532568</v>
      </c>
      <c r="GX76" s="936">
        <v>6018157.0072724335</v>
      </c>
      <c r="GY76" s="567">
        <f t="shared" si="249"/>
        <v>85774.498146734404</v>
      </c>
      <c r="GZ76" s="935"/>
      <c r="HA76" s="53">
        <v>1512000</v>
      </c>
      <c r="HB76" s="53"/>
      <c r="HC76" s="28">
        <f t="shared" si="257"/>
        <v>0.11926807266265343</v>
      </c>
      <c r="HD76" s="68"/>
      <c r="HE76" s="68"/>
      <c r="HF76" s="53">
        <v>49645.392222374365</v>
      </c>
      <c r="HG76" s="35">
        <f t="shared" si="258"/>
        <v>18000</v>
      </c>
      <c r="HH76" s="35">
        <f t="shared" si="259"/>
        <v>64555.009088713501</v>
      </c>
      <c r="HI76" s="70"/>
      <c r="HJ76" s="70"/>
      <c r="HK76" s="19">
        <f t="shared" si="277"/>
        <v>64555.009088713501</v>
      </c>
      <c r="HL76" s="70"/>
      <c r="HM76" s="35">
        <f t="shared" si="260"/>
        <v>64555.009088713501</v>
      </c>
      <c r="HN76" s="36">
        <f t="shared" si="278"/>
        <v>0.42774175081838522</v>
      </c>
      <c r="HO76" s="70"/>
      <c r="HP76" s="70"/>
      <c r="HQ76" s="53">
        <f t="shared" si="286"/>
        <v>0</v>
      </c>
      <c r="HR76" s="909">
        <v>1253915</v>
      </c>
      <c r="HS76" s="907">
        <f t="shared" si="279"/>
        <v>9.8910069664544367E-2</v>
      </c>
      <c r="HT76" s="898">
        <f t="shared" ref="HT76:HT86" si="287">GN76-HR76</f>
        <v>11423408.999999998</v>
      </c>
      <c r="HU76" s="898">
        <f ca="1">4610000*1.021/ET76*DATEDIF(TODAY(),$HU$1,"M")*0+700000</f>
        <v>700000</v>
      </c>
      <c r="HV76" s="907">
        <f ca="1">(HU76+HR76)/GN76</f>
        <v>0.15412676997132835</v>
      </c>
      <c r="HW76" s="898">
        <f>'[3]GLOBAL OPERATION'!$AG$68</f>
        <v>0</v>
      </c>
      <c r="HX76" s="898">
        <f t="shared" si="280"/>
        <v>1561645.3922223744</v>
      </c>
      <c r="HY76" s="907">
        <f t="shared" si="281"/>
        <v>0</v>
      </c>
      <c r="HZ76" s="963" t="s">
        <v>958</v>
      </c>
      <c r="IA76" s="29" t="e">
        <f>#REF!+HI76</f>
        <v>#REF!</v>
      </c>
      <c r="IB76" s="752"/>
      <c r="IC76" s="73"/>
      <c r="ID76" s="73"/>
      <c r="IE76" s="73"/>
      <c r="IF76" s="73"/>
    </row>
    <row r="77" spans="1:240" ht="30" customHeight="1">
      <c r="A77" s="787" t="s">
        <v>453</v>
      </c>
      <c r="B77" s="787" t="s">
        <v>635</v>
      </c>
      <c r="C77" s="39" t="s">
        <v>31</v>
      </c>
      <c r="D77" s="39" t="s">
        <v>92</v>
      </c>
      <c r="E77" s="39">
        <v>2016</v>
      </c>
      <c r="F77" s="39" t="s">
        <v>239</v>
      </c>
      <c r="G77" s="39" t="s">
        <v>854</v>
      </c>
      <c r="H77" s="8" t="s">
        <v>371</v>
      </c>
      <c r="I77" s="39" t="s">
        <v>192</v>
      </c>
      <c r="J77" s="39"/>
      <c r="K77" s="39" t="s">
        <v>275</v>
      </c>
      <c r="L77" s="199" t="s">
        <v>521</v>
      </c>
      <c r="M77" s="129"/>
      <c r="N77" s="130"/>
      <c r="O77" s="131"/>
      <c r="P77" s="161">
        <v>2307</v>
      </c>
      <c r="Q77" s="161">
        <v>184560</v>
      </c>
      <c r="R77" s="161">
        <v>184560</v>
      </c>
      <c r="S77" s="161">
        <f t="shared" si="283"/>
        <v>10253.333333333334</v>
      </c>
      <c r="T77" s="161">
        <f t="shared" si="262"/>
        <v>80</v>
      </c>
      <c r="U77" s="167">
        <f t="shared" si="263"/>
        <v>80</v>
      </c>
      <c r="V77" s="167">
        <f t="shared" si="264"/>
        <v>132.858222654141</v>
      </c>
      <c r="W77" s="167">
        <f t="shared" si="265"/>
        <v>10253.333333333334</v>
      </c>
      <c r="X77" s="161">
        <f t="shared" si="266"/>
        <v>128.16666666666666</v>
      </c>
      <c r="Y77" s="162"/>
      <c r="Z77" s="736">
        <f t="shared" si="213"/>
        <v>78.023407022106639</v>
      </c>
      <c r="AA77" s="162" t="s">
        <v>873</v>
      </c>
      <c r="AB77" s="162">
        <v>380</v>
      </c>
      <c r="AC77" s="163"/>
      <c r="AD77" s="39" t="s">
        <v>10</v>
      </c>
      <c r="AE77" s="674">
        <f t="shared" si="214"/>
        <v>18</v>
      </c>
      <c r="AF77" s="674">
        <f t="shared" si="215"/>
        <v>18</v>
      </c>
      <c r="AG77" s="50"/>
      <c r="AH77" s="39">
        <v>18</v>
      </c>
      <c r="AI77" s="50"/>
      <c r="AJ77" s="50"/>
      <c r="AK77" s="209">
        <v>1159.8700000000001</v>
      </c>
      <c r="AL77" s="422">
        <v>1389.15</v>
      </c>
      <c r="AM77" s="875">
        <f t="shared" si="216"/>
        <v>64.437222222222232</v>
      </c>
      <c r="AN77" s="10">
        <f t="shared" si="217"/>
        <v>77.175000000000011</v>
      </c>
      <c r="AO77" s="43">
        <v>6.5</v>
      </c>
      <c r="AP77" s="43">
        <v>5.42</v>
      </c>
      <c r="AQ77" s="43">
        <v>418.66</v>
      </c>
      <c r="AR77" s="61">
        <f>2/AE77</f>
        <v>0.1111111111111111</v>
      </c>
      <c r="AS77" s="61">
        <f>6/AE77</f>
        <v>0.33333333333333331</v>
      </c>
      <c r="AT77" s="61">
        <f>7/AE77</f>
        <v>0.3888888888888889</v>
      </c>
      <c r="AU77" s="61">
        <f>3/AE77</f>
        <v>0.16666666666666666</v>
      </c>
      <c r="AV77" s="61"/>
      <c r="AW77" s="43"/>
      <c r="AX77" s="59"/>
      <c r="AY77" s="61"/>
      <c r="AZ77" s="43"/>
      <c r="BA77" s="42" t="s">
        <v>439</v>
      </c>
      <c r="BB77" s="39" t="s">
        <v>100</v>
      </c>
      <c r="BC77" s="39"/>
      <c r="BD77" s="39"/>
      <c r="BE77" s="39"/>
      <c r="BF77" s="39"/>
      <c r="BG77" s="183">
        <v>42396</v>
      </c>
      <c r="BH77" s="183">
        <v>42475</v>
      </c>
      <c r="BI77" s="159">
        <v>42620</v>
      </c>
      <c r="BJ77" s="75">
        <v>42646</v>
      </c>
      <c r="BK77" s="867" t="s">
        <v>250</v>
      </c>
      <c r="BL77" s="622"/>
      <c r="BM77" s="158"/>
      <c r="BN77" s="1007">
        <f t="shared" si="73"/>
        <v>0</v>
      </c>
      <c r="BO77" s="954"/>
      <c r="BP77" s="125">
        <f t="shared" si="282"/>
        <v>91</v>
      </c>
      <c r="BQ77" s="125"/>
      <c r="BR77" s="225"/>
      <c r="BS77" s="224">
        <f t="shared" si="218"/>
        <v>731</v>
      </c>
      <c r="BT77" s="605"/>
      <c r="BU77" s="224" t="str">
        <f t="shared" si="267"/>
        <v>oui</v>
      </c>
      <c r="BV77" s="784">
        <f t="shared" si="268"/>
        <v>-1454.9</v>
      </c>
      <c r="BW77" s="605" t="str">
        <f t="shared" si="269"/>
        <v>0</v>
      </c>
      <c r="BX77" s="605">
        <f t="shared" si="270"/>
        <v>0</v>
      </c>
      <c r="BY77" s="702"/>
      <c r="BZ77" s="708"/>
      <c r="CA77" s="703"/>
      <c r="CB77" s="703"/>
      <c r="CC77" s="703"/>
      <c r="CD77" s="699"/>
      <c r="CE77" s="699"/>
      <c r="CF77" s="699"/>
      <c r="CG77" s="699"/>
      <c r="CH77" s="699"/>
      <c r="CI77" s="699"/>
      <c r="CJ77" s="699"/>
      <c r="CK77" s="699"/>
      <c r="CL77" s="699"/>
      <c r="CM77" s="699"/>
      <c r="CN77" s="699"/>
      <c r="CO77" s="699"/>
      <c r="CP77" s="699"/>
      <c r="CQ77" s="95"/>
      <c r="CR77" s="95"/>
      <c r="CS77" s="95"/>
      <c r="CT77" s="492" t="str">
        <f t="shared" si="219"/>
        <v>0</v>
      </c>
      <c r="CU77" s="95"/>
      <c r="CV77" s="95"/>
      <c r="CW77" s="475" t="str">
        <f t="shared" si="220"/>
        <v>0</v>
      </c>
      <c r="CX77" s="95"/>
      <c r="CY77" s="237"/>
      <c r="CZ77" s="475" t="str">
        <f t="shared" si="221"/>
        <v>0</v>
      </c>
      <c r="DA77" s="95"/>
      <c r="DB77" s="237"/>
      <c r="DC77" s="475" t="str">
        <f t="shared" si="222"/>
        <v>0</v>
      </c>
      <c r="DD77" s="95"/>
      <c r="DE77" s="95"/>
      <c r="DF77" s="475" t="str">
        <f t="shared" si="223"/>
        <v>0</v>
      </c>
      <c r="DG77" s="438"/>
      <c r="DH77" s="495"/>
      <c r="DI77" s="486"/>
      <c r="DJ77" s="484"/>
      <c r="DK77" s="481" t="str">
        <f t="shared" si="285"/>
        <v>0</v>
      </c>
      <c r="DL77" s="486"/>
      <c r="DM77" s="617">
        <v>43770</v>
      </c>
      <c r="DN77" s="326"/>
      <c r="DO77" s="432">
        <f t="shared" si="224"/>
        <v>38.333333333333336</v>
      </c>
      <c r="DP77" s="481" t="str">
        <f t="shared" si="225"/>
        <v>0</v>
      </c>
      <c r="DQ77" s="618">
        <v>16</v>
      </c>
      <c r="DR77" s="188">
        <f t="shared" si="226"/>
        <v>19</v>
      </c>
      <c r="DS77" s="479">
        <v>43784</v>
      </c>
      <c r="DT77" s="484">
        <f t="shared" ca="1" si="227"/>
        <v>43784</v>
      </c>
      <c r="DU77" s="481">
        <f t="shared" ca="1" si="228"/>
        <v>0</v>
      </c>
      <c r="DV77" s="479">
        <f t="shared" si="271"/>
        <v>43845</v>
      </c>
      <c r="DW77" s="497">
        <f t="shared" ca="1" si="229"/>
        <v>43845</v>
      </c>
      <c r="DX77" s="482">
        <f t="shared" ca="1" si="230"/>
        <v>0</v>
      </c>
      <c r="DY77" s="484"/>
      <c r="DZ77" s="497">
        <f t="shared" ca="1" si="231"/>
        <v>43647</v>
      </c>
      <c r="EA77" s="481" t="str">
        <f t="shared" ca="1" si="232"/>
        <v>0</v>
      </c>
      <c r="EB77" s="484">
        <v>43492</v>
      </c>
      <c r="EC77" s="484">
        <f t="shared" ca="1" si="233"/>
        <v>43647</v>
      </c>
      <c r="ED77" s="481">
        <f t="shared" ca="1" si="234"/>
        <v>155</v>
      </c>
      <c r="EE77" s="485"/>
      <c r="EF77" s="485"/>
      <c r="EG77" s="481" t="str">
        <f t="shared" si="235"/>
        <v>0</v>
      </c>
      <c r="EH77" s="484"/>
      <c r="EI77" s="484">
        <f t="shared" ca="1" si="236"/>
        <v>43647</v>
      </c>
      <c r="EJ77" s="481" t="str">
        <f t="shared" ca="1" si="237"/>
        <v>0</v>
      </c>
      <c r="EK77" s="484">
        <v>43569</v>
      </c>
      <c r="EL77" s="484">
        <f t="shared" ca="1" si="238"/>
        <v>43647</v>
      </c>
      <c r="EM77" s="481">
        <f t="shared" ca="1" si="239"/>
        <v>78</v>
      </c>
      <c r="EN77" s="484"/>
      <c r="EO77" s="484"/>
      <c r="EP77" s="484"/>
      <c r="EQ77" s="654">
        <f t="shared" si="240"/>
        <v>44256</v>
      </c>
      <c r="ER77" s="653">
        <f>DATE(YEAR(EQ77),MONTH(EQ77)+3,DAY(EQ77))</f>
        <v>44348</v>
      </c>
      <c r="ES77" s="650">
        <f t="shared" si="241"/>
        <v>3.0666666666666669</v>
      </c>
      <c r="ET77" s="904">
        <f t="shared" ca="1" si="242"/>
        <v>23.366666666666667</v>
      </c>
      <c r="EU77" s="653">
        <f t="shared" ca="1" si="243"/>
        <v>44576</v>
      </c>
      <c r="EV77" s="748"/>
      <c r="EW77" s="737"/>
      <c r="EX77" s="749"/>
      <c r="EY77" s="443"/>
      <c r="EZ77" s="747">
        <f t="shared" si="255"/>
        <v>44287</v>
      </c>
      <c r="FA77" s="653">
        <f t="shared" si="272"/>
        <v>44378</v>
      </c>
      <c r="FB77" s="518"/>
      <c r="FC77" s="647">
        <f t="shared" si="244"/>
        <v>3.0333333333333332</v>
      </c>
      <c r="FD77" s="635">
        <v>7287</v>
      </c>
      <c r="FE77" s="192">
        <f t="shared" si="245"/>
        <v>22103.899999999998</v>
      </c>
      <c r="FF77" s="91"/>
      <c r="FG77" s="502">
        <v>0</v>
      </c>
      <c r="FH77" s="502">
        <v>0</v>
      </c>
      <c r="FI77" s="502"/>
      <c r="FJ77" s="502"/>
      <c r="FK77" s="502"/>
      <c r="FL77" s="664">
        <f t="shared" si="261"/>
        <v>0</v>
      </c>
      <c r="FM77" s="499"/>
      <c r="FN77" s="511"/>
      <c r="FO77" s="511" t="s">
        <v>139</v>
      </c>
      <c r="FP77" s="499" t="s">
        <v>903</v>
      </c>
      <c r="FQ77" s="94"/>
      <c r="FR77" s="94"/>
      <c r="FS77" s="94"/>
      <c r="FT77" s="94"/>
      <c r="FU77" s="94"/>
      <c r="FV77" s="39"/>
      <c r="FW77" s="212">
        <f t="shared" si="246"/>
        <v>44713</v>
      </c>
      <c r="FX77" s="212"/>
      <c r="FY77" s="39"/>
      <c r="FZ77" s="39"/>
      <c r="GA77" s="39"/>
      <c r="GB77" s="39"/>
      <c r="GC77" s="39"/>
      <c r="GD77" s="39"/>
      <c r="GE77" s="39"/>
      <c r="GF77" s="39"/>
      <c r="GG77" s="39"/>
      <c r="GH77" s="39"/>
      <c r="GI77" s="39"/>
      <c r="GJ77" s="39"/>
      <c r="GK77" s="39"/>
      <c r="GL77" s="742"/>
      <c r="GM77" s="979">
        <f t="shared" si="144"/>
        <v>2990819</v>
      </c>
      <c r="GN77" s="772">
        <f t="shared" si="284"/>
        <v>2990819</v>
      </c>
      <c r="GO77" s="683">
        <f t="shared" si="273"/>
        <v>2990819</v>
      </c>
      <c r="GP77" s="909">
        <f t="shared" si="274"/>
        <v>281530</v>
      </c>
      <c r="GQ77" s="35">
        <f t="shared" si="256"/>
        <v>2152.9849188352587</v>
      </c>
      <c r="GR77" s="35">
        <f t="shared" si="275"/>
        <v>166156.61111111112</v>
      </c>
      <c r="GS77" s="53">
        <v>1097604</v>
      </c>
      <c r="GT77" s="577"/>
      <c r="GU77" s="35">
        <f t="shared" si="248"/>
        <v>60978</v>
      </c>
      <c r="GV77" s="53">
        <f t="shared" si="276"/>
        <v>1611685</v>
      </c>
      <c r="GW77" s="67">
        <v>319456</v>
      </c>
      <c r="GX77" s="67">
        <v>1292229</v>
      </c>
      <c r="GY77" s="567">
        <f t="shared" si="249"/>
        <v>89538.055555555562</v>
      </c>
      <c r="GZ77" s="53"/>
      <c r="HA77" s="53">
        <v>270000</v>
      </c>
      <c r="HB77" s="53"/>
      <c r="HC77" s="28">
        <f t="shared" si="257"/>
        <v>9.0276275495106861E-2</v>
      </c>
      <c r="HD77" s="68"/>
      <c r="HE77" s="68"/>
      <c r="HF77" s="53">
        <v>11530</v>
      </c>
      <c r="HG77" s="35">
        <f t="shared" si="258"/>
        <v>15000</v>
      </c>
      <c r="HH77" s="35">
        <f t="shared" si="259"/>
        <v>75978</v>
      </c>
      <c r="HI77" s="70"/>
      <c r="HJ77" s="70"/>
      <c r="HK77" s="19">
        <f t="shared" si="277"/>
        <v>75978</v>
      </c>
      <c r="HL77" s="70"/>
      <c r="HM77" s="35">
        <f t="shared" si="260"/>
        <v>75978</v>
      </c>
      <c r="HN77" s="36">
        <f t="shared" si="278"/>
        <v>0.45726739063781524</v>
      </c>
      <c r="HO77" s="70"/>
      <c r="HP77" s="70"/>
      <c r="HQ77" s="53">
        <f t="shared" si="286"/>
        <v>0</v>
      </c>
      <c r="HR77" s="909">
        <f>(177400+88473)*1.021</f>
        <v>271456.33299999998</v>
      </c>
      <c r="HS77" s="907">
        <f t="shared" si="279"/>
        <v>9.0763210010368398E-2</v>
      </c>
      <c r="HT77" s="898">
        <f t="shared" si="287"/>
        <v>2719362.6669999999</v>
      </c>
      <c r="HU77" s="898">
        <f ca="1">IF(ET77&lt;DATEDIF(TODAY(),$HU$1,"M"),HT77,(HT77/ET77*DATEDIF(TODAY(),$HU$1,"M")))*0+200000</f>
        <v>200000</v>
      </c>
      <c r="HV77" s="907">
        <f ca="1">(HU77+HR77)/GN77</f>
        <v>0.15763452519192903</v>
      </c>
      <c r="HW77" s="898">
        <f>'[3]GLOBAL OPERATION'!$AG$51</f>
        <v>0</v>
      </c>
      <c r="HX77" s="898">
        <f t="shared" si="280"/>
        <v>281530</v>
      </c>
      <c r="HY77" s="907">
        <f t="shared" si="281"/>
        <v>0</v>
      </c>
      <c r="HZ77" s="963" t="s">
        <v>965</v>
      </c>
      <c r="IA77" s="29" t="e">
        <f>#REF!+HI77</f>
        <v>#REF!</v>
      </c>
      <c r="IB77" s="752"/>
      <c r="IC77" s="73"/>
      <c r="ID77" s="73"/>
      <c r="IE77" s="73"/>
      <c r="IF77" s="73"/>
    </row>
    <row r="78" spans="1:240" ht="28.5" customHeight="1">
      <c r="A78" s="74" t="s">
        <v>952</v>
      </c>
      <c r="B78" s="235"/>
      <c r="C78" s="39" t="s">
        <v>21</v>
      </c>
      <c r="D78" s="39" t="s">
        <v>92</v>
      </c>
      <c r="E78" s="39">
        <v>2019</v>
      </c>
      <c r="F78" s="39" t="s">
        <v>823</v>
      </c>
      <c r="G78" s="40" t="s">
        <v>299</v>
      </c>
      <c r="H78" s="40" t="s">
        <v>371</v>
      </c>
      <c r="I78" s="40" t="s">
        <v>190</v>
      </c>
      <c r="J78" s="40"/>
      <c r="K78" s="39" t="s">
        <v>717</v>
      </c>
      <c r="L78" s="199"/>
      <c r="M78" s="129"/>
      <c r="N78" s="130"/>
      <c r="O78" s="131"/>
      <c r="P78" s="161">
        <f>1954/58*AE78</f>
        <v>808.55172413793105</v>
      </c>
      <c r="Q78" s="161">
        <v>445600</v>
      </c>
      <c r="R78" s="161">
        <v>445600</v>
      </c>
      <c r="S78" s="161">
        <f t="shared" si="283"/>
        <v>18566.666666666668</v>
      </c>
      <c r="T78" s="161">
        <f t="shared" si="262"/>
        <v>551.10883657454792</v>
      </c>
      <c r="U78" s="167">
        <f t="shared" si="263"/>
        <v>551.10883657454792</v>
      </c>
      <c r="V78" s="167">
        <f t="shared" si="264"/>
        <v>201.77778180286819</v>
      </c>
      <c r="W78" s="167">
        <f t="shared" si="265"/>
        <v>18566.666666666668</v>
      </c>
      <c r="X78" s="161">
        <f t="shared" si="266"/>
        <v>33.689655172413794</v>
      </c>
      <c r="Y78" s="170"/>
      <c r="Z78" s="736">
        <f t="shared" si="213"/>
        <v>296.82702149437051</v>
      </c>
      <c r="AA78" s="162" t="s">
        <v>170</v>
      </c>
      <c r="AB78" s="162">
        <v>600</v>
      </c>
      <c r="AC78" s="169"/>
      <c r="AD78" s="40" t="s">
        <v>333</v>
      </c>
      <c r="AE78" s="674">
        <f t="shared" si="214"/>
        <v>24</v>
      </c>
      <c r="AF78" s="674">
        <f t="shared" si="215"/>
        <v>24</v>
      </c>
      <c r="AG78" s="50"/>
      <c r="AH78" s="50"/>
      <c r="AI78" s="39">
        <v>24</v>
      </c>
      <c r="AJ78" s="50"/>
      <c r="AK78" s="692">
        <v>1915.33</v>
      </c>
      <c r="AL78" s="422">
        <v>2208.37</v>
      </c>
      <c r="AM78" s="875">
        <f t="shared" si="216"/>
        <v>79.805416666666659</v>
      </c>
      <c r="AN78" s="10">
        <f t="shared" si="217"/>
        <v>92.015416666666667</v>
      </c>
      <c r="AO78" s="43"/>
      <c r="AP78" s="43"/>
      <c r="AQ78" s="43"/>
      <c r="AR78" s="62"/>
      <c r="AS78" s="62"/>
      <c r="AT78" s="62">
        <f>8/AE78</f>
        <v>0.33333333333333331</v>
      </c>
      <c r="AU78" s="62">
        <f>12/AE78</f>
        <v>0.5</v>
      </c>
      <c r="AV78" s="62">
        <f>4/AE78</f>
        <v>0.16666666666666666</v>
      </c>
      <c r="AW78" s="44"/>
      <c r="AX78" s="59" t="s">
        <v>136</v>
      </c>
      <c r="AY78" s="59" t="s">
        <v>136</v>
      </c>
      <c r="AZ78" s="44"/>
      <c r="BA78" s="39" t="s">
        <v>439</v>
      </c>
      <c r="BB78" s="39" t="s">
        <v>100</v>
      </c>
      <c r="BC78" s="179">
        <v>4669073.3601299999</v>
      </c>
      <c r="BD78" s="687">
        <f t="shared" ref="BD78:BD86" si="288">BC78/AK78</f>
        <v>2437.7383323657023</v>
      </c>
      <c r="BE78" s="548">
        <f t="shared" ref="BE78:BE86" si="289">BC78/AL78</f>
        <v>2114.2622658929436</v>
      </c>
      <c r="BF78" s="552">
        <f t="shared" ref="BF78:BF85" si="290">BC78/AE78</f>
        <v>194544.72333874999</v>
      </c>
      <c r="BG78" s="147"/>
      <c r="BH78" s="143" t="s">
        <v>841</v>
      </c>
      <c r="BI78" s="159"/>
      <c r="BJ78" s="75"/>
      <c r="BK78" s="867" t="s">
        <v>250</v>
      </c>
      <c r="BL78" s="125"/>
      <c r="BM78" s="158"/>
      <c r="BN78" s="1007">
        <f t="shared" si="73"/>
        <v>0</v>
      </c>
      <c r="BO78" s="954"/>
      <c r="BP78" s="125"/>
      <c r="BQ78" s="125"/>
      <c r="BR78" s="225"/>
      <c r="BS78" s="224">
        <f t="shared" si="218"/>
        <v>731</v>
      </c>
      <c r="BT78" s="605"/>
      <c r="BU78" s="224" t="str">
        <f t="shared" si="267"/>
        <v>oui</v>
      </c>
      <c r="BV78" s="784">
        <f t="shared" si="268"/>
        <v>-1459.6333333333334</v>
      </c>
      <c r="BW78" s="605">
        <f t="shared" si="269"/>
        <v>0</v>
      </c>
      <c r="BX78" s="605">
        <f t="shared" si="270"/>
        <v>0</v>
      </c>
      <c r="BY78" s="702"/>
      <c r="BZ78" s="702"/>
      <c r="CA78" s="704"/>
      <c r="CB78" s="704"/>
      <c r="CC78" s="704"/>
      <c r="CD78" s="704"/>
      <c r="CE78" s="704"/>
      <c r="CF78" s="704"/>
      <c r="CG78" s="704"/>
      <c r="CH78" s="704"/>
      <c r="CI78" s="704"/>
      <c r="CJ78" s="704"/>
      <c r="CK78" s="704"/>
      <c r="CL78" s="704"/>
      <c r="CM78" s="704"/>
      <c r="CN78" s="704"/>
      <c r="CO78" s="704"/>
      <c r="CP78" s="704"/>
      <c r="CQ78" s="488"/>
      <c r="CR78" s="490"/>
      <c r="CS78" s="490"/>
      <c r="CT78" s="492" t="str">
        <f t="shared" si="219"/>
        <v>0</v>
      </c>
      <c r="CU78" s="490"/>
      <c r="CV78" s="490"/>
      <c r="CW78" s="492" t="str">
        <f t="shared" si="220"/>
        <v>0</v>
      </c>
      <c r="CX78" s="490"/>
      <c r="CY78" s="490"/>
      <c r="CZ78" s="492" t="str">
        <f t="shared" si="221"/>
        <v>0</v>
      </c>
      <c r="DA78" s="490"/>
      <c r="DB78" s="490"/>
      <c r="DC78" s="492" t="str">
        <f t="shared" si="222"/>
        <v>0</v>
      </c>
      <c r="DD78" s="490"/>
      <c r="DE78" s="490"/>
      <c r="DF78" s="492" t="str">
        <f t="shared" si="223"/>
        <v>0</v>
      </c>
      <c r="DG78" s="438"/>
      <c r="DH78" s="491"/>
      <c r="DI78" s="486"/>
      <c r="DJ78" s="484"/>
      <c r="DK78" s="481" t="str">
        <f t="shared" si="285"/>
        <v>0</v>
      </c>
      <c r="DL78" s="486"/>
      <c r="DM78" s="617">
        <v>43881</v>
      </c>
      <c r="DN78" s="326"/>
      <c r="DO78" s="432">
        <f t="shared" si="224"/>
        <v>1462.7</v>
      </c>
      <c r="DP78" s="481" t="str">
        <f t="shared" si="225"/>
        <v>0</v>
      </c>
      <c r="DQ78" s="618">
        <v>19</v>
      </c>
      <c r="DR78" s="188">
        <f t="shared" si="226"/>
        <v>20</v>
      </c>
      <c r="DS78" s="484"/>
      <c r="DT78" s="484">
        <f t="shared" ca="1" si="227"/>
        <v>43647</v>
      </c>
      <c r="DU78" s="481" t="str">
        <f t="shared" ca="1" si="228"/>
        <v>0</v>
      </c>
      <c r="DV78" s="479"/>
      <c r="DW78" s="497">
        <f t="shared" ca="1" si="229"/>
        <v>43647</v>
      </c>
      <c r="DX78" s="482" t="str">
        <f t="shared" ca="1" si="230"/>
        <v>0</v>
      </c>
      <c r="DY78" s="484"/>
      <c r="DZ78" s="497">
        <f t="shared" ca="1" si="231"/>
        <v>43647</v>
      </c>
      <c r="EA78" s="481" t="str">
        <f t="shared" ca="1" si="232"/>
        <v>0</v>
      </c>
      <c r="EB78" s="484"/>
      <c r="EC78" s="484">
        <f t="shared" ca="1" si="233"/>
        <v>43647</v>
      </c>
      <c r="ED78" s="481" t="str">
        <f t="shared" ca="1" si="234"/>
        <v>0</v>
      </c>
      <c r="EE78" s="485"/>
      <c r="EF78" s="485"/>
      <c r="EG78" s="481" t="str">
        <f t="shared" si="235"/>
        <v>0</v>
      </c>
      <c r="EH78" s="484"/>
      <c r="EI78" s="484">
        <f t="shared" ca="1" si="236"/>
        <v>43647</v>
      </c>
      <c r="EJ78" s="481" t="str">
        <f t="shared" ca="1" si="237"/>
        <v>0</v>
      </c>
      <c r="EK78" s="484"/>
      <c r="EL78" s="484">
        <f t="shared" ca="1" si="238"/>
        <v>43647</v>
      </c>
      <c r="EM78" s="481" t="str">
        <f t="shared" ca="1" si="239"/>
        <v>0</v>
      </c>
      <c r="EN78" s="484"/>
      <c r="EO78" s="484"/>
      <c r="EP78" s="484"/>
      <c r="EQ78" s="654">
        <f t="shared" si="240"/>
        <v>44459</v>
      </c>
      <c r="ER78" s="653">
        <f t="shared" ref="ER78:ER85" si="291">DATE(YEAR(EQ78),MONTH(EQ78)+1,DAY(EQ78))</f>
        <v>44489</v>
      </c>
      <c r="ES78" s="650">
        <f t="shared" si="241"/>
        <v>1</v>
      </c>
      <c r="ET78" s="904">
        <f t="shared" ca="1" si="242"/>
        <v>28.066666666666666</v>
      </c>
      <c r="EU78" s="653">
        <f t="shared" ca="1" si="243"/>
        <v>44378</v>
      </c>
      <c r="EV78" s="748"/>
      <c r="EW78" s="737"/>
      <c r="EX78" s="749"/>
      <c r="EY78" s="443"/>
      <c r="EZ78" s="747">
        <f t="shared" si="255"/>
        <v>44489</v>
      </c>
      <c r="FA78" s="653">
        <f t="shared" si="272"/>
        <v>44520</v>
      </c>
      <c r="FB78" s="518"/>
      <c r="FC78" s="647">
        <f t="shared" si="244"/>
        <v>1.0333333333333334</v>
      </c>
      <c r="FD78" s="635"/>
      <c r="FE78" s="192">
        <f t="shared" si="245"/>
        <v>0</v>
      </c>
      <c r="FF78" s="91"/>
      <c r="FG78" s="502"/>
      <c r="FH78" s="502">
        <v>0</v>
      </c>
      <c r="FI78" s="502"/>
      <c r="FJ78" s="502"/>
      <c r="FK78" s="502"/>
      <c r="FL78" s="664">
        <f t="shared" si="261"/>
        <v>0</v>
      </c>
      <c r="FM78" s="499"/>
      <c r="FN78" s="511"/>
      <c r="FO78" s="511"/>
      <c r="FP78" s="499"/>
      <c r="FQ78" s="96"/>
      <c r="FR78" s="96"/>
      <c r="FS78" s="96"/>
      <c r="FT78" s="96"/>
      <c r="FU78" s="96"/>
      <c r="FV78" s="40"/>
      <c r="FW78" s="212">
        <f t="shared" si="246"/>
        <v>44854</v>
      </c>
      <c r="FX78" s="212"/>
      <c r="FY78" s="40"/>
      <c r="FZ78" s="40"/>
      <c r="GA78" s="40"/>
      <c r="GB78" s="40"/>
      <c r="GC78" s="40"/>
      <c r="GD78" s="40"/>
      <c r="GE78" s="40"/>
      <c r="GF78" s="40"/>
      <c r="GG78" s="40"/>
      <c r="GH78" s="40"/>
      <c r="GI78" s="40"/>
      <c r="GJ78" s="40"/>
      <c r="GK78" s="40"/>
      <c r="GL78" s="742"/>
      <c r="GM78" s="979">
        <f t="shared" si="144"/>
        <v>4896954.6867592027</v>
      </c>
      <c r="GN78" s="772">
        <f t="shared" si="284"/>
        <v>4896954.6867592027</v>
      </c>
      <c r="GO78" s="53">
        <f t="shared" si="273"/>
        <v>4896954.6867592027</v>
      </c>
      <c r="GP78" s="898">
        <f t="shared" ref="GP78:GP86" si="292">HA78+HB78+HF78+HJ78</f>
        <v>0</v>
      </c>
      <c r="GQ78" s="35">
        <f t="shared" si="256"/>
        <v>2217.4520966863356</v>
      </c>
      <c r="GR78" s="35">
        <f t="shared" si="275"/>
        <v>204039.77861496678</v>
      </c>
      <c r="GS78" s="57">
        <v>1780093.4395553619</v>
      </c>
      <c r="GT78" s="577"/>
      <c r="GU78" s="19">
        <f t="shared" si="248"/>
        <v>74170.559981473416</v>
      </c>
      <c r="GV78" s="57">
        <f t="shared" si="276"/>
        <v>3116861.2472038409</v>
      </c>
      <c r="GW78" s="220">
        <v>561004.41689658829</v>
      </c>
      <c r="GX78" s="220">
        <v>2555856.8303072527</v>
      </c>
      <c r="GY78" s="567">
        <f t="shared" si="249"/>
        <v>129869.21863349336</v>
      </c>
      <c r="GZ78" s="935"/>
      <c r="HA78" s="57">
        <v>0</v>
      </c>
      <c r="HB78" s="57"/>
      <c r="HC78" s="28">
        <f t="shared" si="257"/>
        <v>0</v>
      </c>
      <c r="HD78" s="53"/>
      <c r="HE78" s="53"/>
      <c r="HF78" s="57"/>
      <c r="HG78" s="35">
        <f t="shared" si="258"/>
        <v>0</v>
      </c>
      <c r="HH78" s="35">
        <f t="shared" si="259"/>
        <v>74170.559981473416</v>
      </c>
      <c r="HI78" s="423"/>
      <c r="HJ78" s="423"/>
      <c r="HK78" s="19">
        <f t="shared" si="277"/>
        <v>74170.559981473416</v>
      </c>
      <c r="HL78" s="423"/>
      <c r="HM78" s="35">
        <f t="shared" si="260"/>
        <v>74170.559981473416</v>
      </c>
      <c r="HN78" s="36">
        <f t="shared" si="278"/>
        <v>0.36351029434038423</v>
      </c>
      <c r="HO78" s="423"/>
      <c r="HP78" s="423"/>
      <c r="HQ78" s="53">
        <f t="shared" si="286"/>
        <v>0</v>
      </c>
      <c r="HR78" s="898">
        <v>97815</v>
      </c>
      <c r="HS78" s="907">
        <f t="shared" si="279"/>
        <v>1.9974658998679406E-2</v>
      </c>
      <c r="HT78" s="898">
        <f t="shared" si="287"/>
        <v>4799139.6867592027</v>
      </c>
      <c r="HU78" s="898">
        <f t="shared" ref="HU78:HU85" ca="1" si="293">IF(ET78&lt;DATEDIF(TODAY(),$HU$1,"M"),HT78,(HT78/ET78*DATEDIF(TODAY(),$HU$1,"M")))*0</f>
        <v>0</v>
      </c>
      <c r="HV78" s="907">
        <f t="shared" ref="HV78:HV85" ca="1" si="294">(HR78+HU78)/GN78</f>
        <v>1.9974658998679406E-2</v>
      </c>
      <c r="HW78" s="898"/>
      <c r="HX78" s="898">
        <f t="shared" si="280"/>
        <v>0</v>
      </c>
      <c r="HY78" s="898" t="e">
        <f t="shared" si="281"/>
        <v>#DIV/0!</v>
      </c>
      <c r="HZ78" s="898"/>
      <c r="IA78" s="29" t="e">
        <f>#REF!+HI78</f>
        <v>#REF!</v>
      </c>
      <c r="IB78" s="752"/>
      <c r="IC78" s="73"/>
      <c r="ID78" s="73"/>
      <c r="IE78" s="73"/>
      <c r="IF78" s="73"/>
    </row>
    <row r="79" spans="1:240" ht="31.5" customHeight="1">
      <c r="A79" s="74" t="s">
        <v>969</v>
      </c>
      <c r="B79" s="66" t="s">
        <v>107</v>
      </c>
      <c r="C79" s="39" t="s">
        <v>21</v>
      </c>
      <c r="D79" s="39" t="s">
        <v>92</v>
      </c>
      <c r="E79" s="39">
        <v>2019</v>
      </c>
      <c r="F79" s="39" t="s">
        <v>823</v>
      </c>
      <c r="G79" s="39"/>
      <c r="H79" s="88"/>
      <c r="I79" s="41" t="s">
        <v>190</v>
      </c>
      <c r="J79" s="39"/>
      <c r="K79" s="39" t="s">
        <v>717</v>
      </c>
      <c r="L79" s="199"/>
      <c r="M79" s="129"/>
      <c r="N79" s="130"/>
      <c r="O79" s="131"/>
      <c r="P79" s="161">
        <f>1954/58*AE79</f>
        <v>1145.4482758620691</v>
      </c>
      <c r="Q79" s="161">
        <v>533000</v>
      </c>
      <c r="R79" s="161">
        <v>533000</v>
      </c>
      <c r="S79" s="161">
        <f t="shared" si="283"/>
        <v>15676.470588235294</v>
      </c>
      <c r="T79" s="161">
        <f t="shared" si="262"/>
        <v>465.32000722499845</v>
      </c>
      <c r="U79" s="167">
        <f t="shared" si="263"/>
        <v>465.32000722499845</v>
      </c>
      <c r="V79" s="167">
        <f t="shared" si="264"/>
        <v>200.08709231785693</v>
      </c>
      <c r="W79" s="167">
        <f t="shared" si="265"/>
        <v>15676.470588235294</v>
      </c>
      <c r="X79" s="161">
        <f t="shared" si="266"/>
        <v>33.689655172413794</v>
      </c>
      <c r="Y79" s="162"/>
      <c r="Z79" s="736">
        <f t="shared" si="213"/>
        <v>296.82702149437051</v>
      </c>
      <c r="AA79" s="162" t="s">
        <v>170</v>
      </c>
      <c r="AB79" s="162">
        <v>600</v>
      </c>
      <c r="AC79" s="163"/>
      <c r="AD79" s="39" t="s">
        <v>9</v>
      </c>
      <c r="AE79" s="674">
        <f t="shared" si="214"/>
        <v>34</v>
      </c>
      <c r="AF79" s="674">
        <f t="shared" si="215"/>
        <v>34</v>
      </c>
      <c r="AG79" s="39">
        <v>34</v>
      </c>
      <c r="AH79" s="50"/>
      <c r="AI79" s="50"/>
      <c r="AJ79" s="50"/>
      <c r="AK79" s="692">
        <v>2181.4899999999998</v>
      </c>
      <c r="AL79" s="422">
        <v>2663.84</v>
      </c>
      <c r="AM79" s="875">
        <f t="shared" si="216"/>
        <v>64.161470588235289</v>
      </c>
      <c r="AN79" s="10">
        <f t="shared" si="217"/>
        <v>78.348235294117657</v>
      </c>
      <c r="AO79" s="43"/>
      <c r="AP79" s="43"/>
      <c r="AQ79" s="43"/>
      <c r="AR79" s="61">
        <f>7/AE79</f>
        <v>0.20588235294117646</v>
      </c>
      <c r="AS79" s="61">
        <f>3/AE79</f>
        <v>8.8235294117647065E-2</v>
      </c>
      <c r="AT79" s="61">
        <f>10/AE79</f>
        <v>0.29411764705882354</v>
      </c>
      <c r="AU79" s="61">
        <f>14/AE79</f>
        <v>0.41176470588235292</v>
      </c>
      <c r="AV79" s="61"/>
      <c r="AW79" s="43"/>
      <c r="AX79" s="59" t="s">
        <v>136</v>
      </c>
      <c r="AY79" s="59" t="s">
        <v>136</v>
      </c>
      <c r="AZ79" s="43"/>
      <c r="BA79" s="39" t="s">
        <v>439</v>
      </c>
      <c r="BB79" s="39" t="s">
        <v>100</v>
      </c>
      <c r="BC79" s="179">
        <v>5591520.2517590132</v>
      </c>
      <c r="BD79" s="687">
        <f t="shared" si="288"/>
        <v>2563.1656582239725</v>
      </c>
      <c r="BE79" s="548">
        <f t="shared" si="289"/>
        <v>2099.0450821967584</v>
      </c>
      <c r="BF79" s="552">
        <f t="shared" si="290"/>
        <v>164456.47799291214</v>
      </c>
      <c r="BG79" s="184"/>
      <c r="BH79" s="143" t="s">
        <v>841</v>
      </c>
      <c r="BI79" s="159"/>
      <c r="BJ79" s="75"/>
      <c r="BK79" s="867" t="s">
        <v>250</v>
      </c>
      <c r="BL79" s="125"/>
      <c r="BM79" s="158"/>
      <c r="BN79" s="1007">
        <f t="shared" si="73"/>
        <v>0</v>
      </c>
      <c r="BO79" s="954"/>
      <c r="BP79" s="125"/>
      <c r="BQ79" s="125"/>
      <c r="BR79" s="225"/>
      <c r="BS79" s="224">
        <f t="shared" si="218"/>
        <v>731</v>
      </c>
      <c r="BT79" s="605"/>
      <c r="BU79" s="224" t="str">
        <f t="shared" si="267"/>
        <v>oui</v>
      </c>
      <c r="BV79" s="784">
        <f t="shared" si="268"/>
        <v>-1459.6333333333334</v>
      </c>
      <c r="BW79" s="605">
        <f t="shared" si="269"/>
        <v>0</v>
      </c>
      <c r="BX79" s="605">
        <f t="shared" si="270"/>
        <v>0</v>
      </c>
      <c r="BY79" s="702"/>
      <c r="BZ79" s="708"/>
      <c r="CA79" s="703"/>
      <c r="CB79" s="703"/>
      <c r="CC79" s="703"/>
      <c r="CD79" s="699"/>
      <c r="CE79" s="699"/>
      <c r="CF79" s="699"/>
      <c r="CG79" s="699"/>
      <c r="CH79" s="699"/>
      <c r="CI79" s="699"/>
      <c r="CJ79" s="699"/>
      <c r="CK79" s="699"/>
      <c r="CL79" s="699"/>
      <c r="CM79" s="699"/>
      <c r="CN79" s="699"/>
      <c r="CO79" s="699"/>
      <c r="CP79" s="699"/>
      <c r="CQ79" s="488"/>
      <c r="CR79" s="490"/>
      <c r="CS79" s="490"/>
      <c r="CT79" s="492" t="str">
        <f t="shared" si="219"/>
        <v>0</v>
      </c>
      <c r="CU79" s="490"/>
      <c r="CV79" s="490"/>
      <c r="CW79" s="492" t="str">
        <f t="shared" si="220"/>
        <v>0</v>
      </c>
      <c r="CX79" s="490"/>
      <c r="CY79" s="490"/>
      <c r="CZ79" s="492" t="str">
        <f t="shared" si="221"/>
        <v>0</v>
      </c>
      <c r="DA79" s="490"/>
      <c r="DB79" s="490"/>
      <c r="DC79" s="492" t="str">
        <f t="shared" si="222"/>
        <v>0</v>
      </c>
      <c r="DD79" s="493"/>
      <c r="DE79" s="490"/>
      <c r="DF79" s="492" t="str">
        <f t="shared" si="223"/>
        <v>0</v>
      </c>
      <c r="DG79" s="438"/>
      <c r="DH79" s="494"/>
      <c r="DI79" s="479"/>
      <c r="DJ79" s="480"/>
      <c r="DK79" s="481" t="str">
        <f t="shared" si="285"/>
        <v>0</v>
      </c>
      <c r="DL79" s="479"/>
      <c r="DM79" s="617">
        <v>43881</v>
      </c>
      <c r="DN79" s="326"/>
      <c r="DO79" s="432">
        <f t="shared" si="224"/>
        <v>1462.7</v>
      </c>
      <c r="DP79" s="481" t="str">
        <f t="shared" si="225"/>
        <v>0</v>
      </c>
      <c r="DQ79" s="618">
        <v>19</v>
      </c>
      <c r="DR79" s="188">
        <f t="shared" si="226"/>
        <v>20</v>
      </c>
      <c r="DS79" s="479"/>
      <c r="DT79" s="484">
        <f t="shared" ca="1" si="227"/>
        <v>43647</v>
      </c>
      <c r="DU79" s="481" t="str">
        <f t="shared" ca="1" si="228"/>
        <v>0</v>
      </c>
      <c r="DV79" s="479"/>
      <c r="DW79" s="497">
        <f t="shared" ca="1" si="229"/>
        <v>43647</v>
      </c>
      <c r="DX79" s="482" t="str">
        <f t="shared" ca="1" si="230"/>
        <v>0</v>
      </c>
      <c r="DY79" s="483"/>
      <c r="DZ79" s="497">
        <f t="shared" ca="1" si="231"/>
        <v>43647</v>
      </c>
      <c r="EA79" s="481" t="str">
        <f t="shared" ca="1" si="232"/>
        <v>0</v>
      </c>
      <c r="EB79" s="484"/>
      <c r="EC79" s="484">
        <f t="shared" ca="1" si="233"/>
        <v>43647</v>
      </c>
      <c r="ED79" s="481" t="str">
        <f t="shared" ca="1" si="234"/>
        <v>0</v>
      </c>
      <c r="EE79" s="485"/>
      <c r="EF79" s="485"/>
      <c r="EG79" s="481" t="str">
        <f t="shared" si="235"/>
        <v>0</v>
      </c>
      <c r="EH79" s="484"/>
      <c r="EI79" s="484">
        <f t="shared" ca="1" si="236"/>
        <v>43647</v>
      </c>
      <c r="EJ79" s="481" t="str">
        <f t="shared" ca="1" si="237"/>
        <v>0</v>
      </c>
      <c r="EK79" s="484"/>
      <c r="EL79" s="484">
        <f t="shared" ca="1" si="238"/>
        <v>43647</v>
      </c>
      <c r="EM79" s="481" t="str">
        <f t="shared" ca="1" si="239"/>
        <v>0</v>
      </c>
      <c r="EN79" s="484"/>
      <c r="EO79" s="484"/>
      <c r="EP79" s="484"/>
      <c r="EQ79" s="654">
        <f t="shared" si="240"/>
        <v>44459</v>
      </c>
      <c r="ER79" s="653">
        <f t="shared" si="291"/>
        <v>44489</v>
      </c>
      <c r="ES79" s="650">
        <f t="shared" si="241"/>
        <v>1</v>
      </c>
      <c r="ET79" s="904">
        <f t="shared" ca="1" si="242"/>
        <v>28.066666666666666</v>
      </c>
      <c r="EU79" s="653">
        <f t="shared" ca="1" si="243"/>
        <v>44378</v>
      </c>
      <c r="EV79" s="748"/>
      <c r="EW79" s="737"/>
      <c r="EX79" s="749"/>
      <c r="EY79" s="443"/>
      <c r="EZ79" s="747">
        <f t="shared" si="255"/>
        <v>44489</v>
      </c>
      <c r="FA79" s="653">
        <f t="shared" si="272"/>
        <v>44520</v>
      </c>
      <c r="FB79" s="518"/>
      <c r="FC79" s="647">
        <f t="shared" si="244"/>
        <v>1.0333333333333334</v>
      </c>
      <c r="FD79" s="635"/>
      <c r="FE79" s="192">
        <f t="shared" si="245"/>
        <v>0</v>
      </c>
      <c r="FF79" s="91"/>
      <c r="FG79" s="502"/>
      <c r="FH79" s="502"/>
      <c r="FI79" s="502"/>
      <c r="FJ79" s="502"/>
      <c r="FK79" s="502"/>
      <c r="FL79" s="664">
        <f t="shared" si="261"/>
        <v>0</v>
      </c>
      <c r="FM79" s="499"/>
      <c r="FN79" s="511"/>
      <c r="FO79" s="499"/>
      <c r="FP79" s="499"/>
      <c r="FQ79" s="94"/>
      <c r="FR79" s="94"/>
      <c r="FS79" s="94"/>
      <c r="FT79" s="94"/>
      <c r="FU79" s="94"/>
      <c r="FV79" s="39"/>
      <c r="FW79" s="212">
        <f t="shared" si="246"/>
        <v>44854</v>
      </c>
      <c r="FX79" s="212"/>
      <c r="FY79" s="39"/>
      <c r="FZ79" s="39"/>
      <c r="GA79" s="39"/>
      <c r="GB79" s="39"/>
      <c r="GC79" s="39"/>
      <c r="GD79" s="39"/>
      <c r="GE79" s="39"/>
      <c r="GF79" s="39"/>
      <c r="GG79" s="39"/>
      <c r="GH79" s="39"/>
      <c r="GI79" s="39"/>
      <c r="GJ79" s="39"/>
      <c r="GK79" s="39"/>
      <c r="GL79" s="742"/>
      <c r="GM79" s="979">
        <f t="shared" si="144"/>
        <v>5866669.3039263962</v>
      </c>
      <c r="GN79" s="772">
        <f t="shared" si="284"/>
        <v>5866669.3039263962</v>
      </c>
      <c r="GO79" s="53">
        <f t="shared" si="273"/>
        <v>5866669.3039263962</v>
      </c>
      <c r="GP79" s="898">
        <f t="shared" si="292"/>
        <v>680000</v>
      </c>
      <c r="GQ79" s="35">
        <f t="shared" si="256"/>
        <v>2202.3354645648374</v>
      </c>
      <c r="GR79" s="35">
        <f t="shared" si="275"/>
        <v>172549.09717430576</v>
      </c>
      <c r="GS79" s="57">
        <v>1880767.7657972611</v>
      </c>
      <c r="GT79" s="577"/>
      <c r="GU79" s="35">
        <f t="shared" si="248"/>
        <v>55316.698994037091</v>
      </c>
      <c r="GV79" s="57">
        <f t="shared" si="276"/>
        <v>3305901.538129135</v>
      </c>
      <c r="GW79" s="220">
        <v>591449.37046365719</v>
      </c>
      <c r="GX79" s="220">
        <v>2714452.1676654778</v>
      </c>
      <c r="GY79" s="567">
        <f t="shared" si="249"/>
        <v>97232.398180268676</v>
      </c>
      <c r="GZ79" s="934"/>
      <c r="HA79" s="53">
        <v>680000</v>
      </c>
      <c r="HB79" s="53"/>
      <c r="HC79" s="28">
        <f t="shared" si="257"/>
        <v>0.11590903880416357</v>
      </c>
      <c r="HD79" s="53"/>
      <c r="HE79" s="53"/>
      <c r="HF79" s="53"/>
      <c r="HG79" s="35">
        <f t="shared" si="258"/>
        <v>20000</v>
      </c>
      <c r="HH79" s="35">
        <f t="shared" si="259"/>
        <v>75316.698994037099</v>
      </c>
      <c r="HI79" s="70"/>
      <c r="HJ79" s="70"/>
      <c r="HK79" s="19">
        <f t="shared" si="277"/>
        <v>75316.698994037099</v>
      </c>
      <c r="HL79" s="70"/>
      <c r="HM79" s="35">
        <f t="shared" si="260"/>
        <v>75316.698994037099</v>
      </c>
      <c r="HN79" s="36">
        <f t="shared" si="278"/>
        <v>0.43649430931506766</v>
      </c>
      <c r="HO79" s="70"/>
      <c r="HP79" s="70"/>
      <c r="HQ79" s="53"/>
      <c r="HR79" s="609"/>
      <c r="HS79" s="907">
        <f t="shared" si="279"/>
        <v>0</v>
      </c>
      <c r="HT79" s="898">
        <f t="shared" si="287"/>
        <v>5866669.3039263962</v>
      </c>
      <c r="HU79" s="898">
        <f t="shared" ca="1" si="293"/>
        <v>0</v>
      </c>
      <c r="HV79" s="907">
        <f t="shared" ca="1" si="294"/>
        <v>0</v>
      </c>
      <c r="HW79" s="898"/>
      <c r="HX79" s="898">
        <f t="shared" si="280"/>
        <v>680000</v>
      </c>
      <c r="HY79" s="898">
        <f t="shared" si="281"/>
        <v>0</v>
      </c>
      <c r="HZ79" s="898"/>
      <c r="IA79" s="73" t="e">
        <f>#REF!+HI79</f>
        <v>#REF!</v>
      </c>
      <c r="IB79" s="752"/>
      <c r="IC79" s="73"/>
      <c r="ID79" s="73"/>
      <c r="IE79" s="73"/>
      <c r="IF79" s="73"/>
    </row>
    <row r="80" spans="1:240" ht="72.75" customHeight="1">
      <c r="A80" s="676" t="s">
        <v>970</v>
      </c>
      <c r="B80" s="66" t="s">
        <v>107</v>
      </c>
      <c r="C80" s="39" t="s">
        <v>21</v>
      </c>
      <c r="D80" s="39" t="s">
        <v>92</v>
      </c>
      <c r="E80" s="39">
        <v>2019</v>
      </c>
      <c r="F80" s="39" t="s">
        <v>827</v>
      </c>
      <c r="G80" s="39" t="s">
        <v>40</v>
      </c>
      <c r="H80" s="39" t="s">
        <v>147</v>
      </c>
      <c r="I80" s="41" t="s">
        <v>657</v>
      </c>
      <c r="J80" s="39"/>
      <c r="K80" s="39" t="s">
        <v>716</v>
      </c>
      <c r="L80" s="199"/>
      <c r="M80" s="129"/>
      <c r="N80" s="130"/>
      <c r="O80" s="131"/>
      <c r="P80" s="161">
        <f>4764/66*AE80</f>
        <v>3320.3636363636365</v>
      </c>
      <c r="Q80" s="161">
        <f>860000/66*AE80</f>
        <v>599393.93939393933</v>
      </c>
      <c r="R80" s="161">
        <f>860000/66*AE80</f>
        <v>599393.93939393933</v>
      </c>
      <c r="S80" s="161">
        <f t="shared" si="283"/>
        <v>13030.303030303028</v>
      </c>
      <c r="T80" s="161">
        <f t="shared" si="262"/>
        <v>180.52057094878251</v>
      </c>
      <c r="U80" s="167">
        <f t="shared" si="263"/>
        <v>180.52057094878251</v>
      </c>
      <c r="V80" s="167">
        <f t="shared" si="264"/>
        <v>144.6051037852323</v>
      </c>
      <c r="W80" s="167">
        <f t="shared" si="265"/>
        <v>13030.303030303028</v>
      </c>
      <c r="X80" s="161">
        <f t="shared" si="266"/>
        <v>72.181818181818187</v>
      </c>
      <c r="Y80" s="162"/>
      <c r="Z80" s="736">
        <f t="shared" si="213"/>
        <v>138.53904282115869</v>
      </c>
      <c r="AA80" s="162" t="s">
        <v>158</v>
      </c>
      <c r="AB80" s="162">
        <v>580</v>
      </c>
      <c r="AC80" s="163"/>
      <c r="AD80" s="39" t="s">
        <v>9</v>
      </c>
      <c r="AE80" s="674">
        <f t="shared" si="214"/>
        <v>46</v>
      </c>
      <c r="AF80" s="674">
        <f t="shared" si="215"/>
        <v>46</v>
      </c>
      <c r="AG80" s="39">
        <v>46</v>
      </c>
      <c r="AH80" s="50"/>
      <c r="AI80" s="50"/>
      <c r="AJ80" s="50"/>
      <c r="AK80" s="692">
        <v>3552.52</v>
      </c>
      <c r="AL80" s="422">
        <v>4145.04</v>
      </c>
      <c r="AM80" s="875">
        <f t="shared" si="216"/>
        <v>77.228695652173911</v>
      </c>
      <c r="AN80" s="10">
        <f t="shared" si="217"/>
        <v>90.109565217391307</v>
      </c>
      <c r="AO80" s="43">
        <v>7.58</v>
      </c>
      <c r="AP80" s="43">
        <v>6.5</v>
      </c>
      <c r="AQ80" s="43">
        <v>585.70000000000005</v>
      </c>
      <c r="AR80" s="61"/>
      <c r="AS80" s="61"/>
      <c r="AT80" s="61">
        <f>30/AE80</f>
        <v>0.65217391304347827</v>
      </c>
      <c r="AU80" s="61">
        <f>16/AE80</f>
        <v>0.34782608695652173</v>
      </c>
      <c r="AV80" s="61"/>
      <c r="AW80" s="43"/>
      <c r="AX80" s="59" t="s">
        <v>136</v>
      </c>
      <c r="AY80" s="59" t="s">
        <v>136</v>
      </c>
      <c r="AZ80" s="43"/>
      <c r="BA80" s="42" t="s">
        <v>439</v>
      </c>
      <c r="BB80" s="39" t="s">
        <v>100</v>
      </c>
      <c r="BC80" s="179">
        <v>8484480.0359200016</v>
      </c>
      <c r="BD80" s="687">
        <f t="shared" si="288"/>
        <v>2388.2990203911595</v>
      </c>
      <c r="BE80" s="548">
        <f t="shared" si="289"/>
        <v>2046.899435450563</v>
      </c>
      <c r="BF80" s="552">
        <f t="shared" si="290"/>
        <v>184445.21817217395</v>
      </c>
      <c r="BG80" s="184">
        <v>43426</v>
      </c>
      <c r="BH80" s="143" t="s">
        <v>841</v>
      </c>
      <c r="BI80" s="159"/>
      <c r="BJ80" s="75"/>
      <c r="BK80" s="867" t="s">
        <v>250</v>
      </c>
      <c r="BL80" s="125"/>
      <c r="BM80" s="158"/>
      <c r="BN80" s="1007">
        <f t="shared" si="73"/>
        <v>0</v>
      </c>
      <c r="BO80" s="954"/>
      <c r="BP80" s="125"/>
      <c r="BQ80" s="125"/>
      <c r="BR80" s="225"/>
      <c r="BS80" s="224">
        <f t="shared" si="218"/>
        <v>731</v>
      </c>
      <c r="BT80" s="605"/>
      <c r="BU80" s="224" t="str">
        <f t="shared" si="267"/>
        <v>oui</v>
      </c>
      <c r="BV80" s="784">
        <f t="shared" si="268"/>
        <v>-1461.6666666666667</v>
      </c>
      <c r="BW80" s="605">
        <f t="shared" si="269"/>
        <v>0</v>
      </c>
      <c r="BX80" s="605">
        <f t="shared" si="270"/>
        <v>0</v>
      </c>
      <c r="BY80" s="702"/>
      <c r="BZ80" s="708"/>
      <c r="CA80" s="703"/>
      <c r="CB80" s="703"/>
      <c r="CC80" s="703"/>
      <c r="CD80" s="699"/>
      <c r="CE80" s="699"/>
      <c r="CF80" s="699"/>
      <c r="CG80" s="699"/>
      <c r="CH80" s="699"/>
      <c r="CI80" s="699"/>
      <c r="CJ80" s="699"/>
      <c r="CK80" s="699"/>
      <c r="CL80" s="699"/>
      <c r="CM80" s="699"/>
      <c r="CN80" s="699"/>
      <c r="CO80" s="699"/>
      <c r="CP80" s="699"/>
      <c r="CQ80" s="488"/>
      <c r="CR80" s="490"/>
      <c r="CS80" s="490"/>
      <c r="CT80" s="492" t="str">
        <f t="shared" si="219"/>
        <v>0</v>
      </c>
      <c r="CU80" s="490"/>
      <c r="CV80" s="490"/>
      <c r="CW80" s="492" t="str">
        <f t="shared" si="220"/>
        <v>0</v>
      </c>
      <c r="CX80" s="490"/>
      <c r="CY80" s="490"/>
      <c r="CZ80" s="492" t="str">
        <f t="shared" si="221"/>
        <v>0</v>
      </c>
      <c r="DA80" s="490"/>
      <c r="DB80" s="490"/>
      <c r="DC80" s="492" t="str">
        <f t="shared" si="222"/>
        <v>0</v>
      </c>
      <c r="DD80" s="493"/>
      <c r="DE80" s="490"/>
      <c r="DF80" s="492" t="str">
        <f t="shared" si="223"/>
        <v>0</v>
      </c>
      <c r="DG80" s="438"/>
      <c r="DH80" s="494"/>
      <c r="DI80" s="479"/>
      <c r="DJ80" s="480"/>
      <c r="DK80" s="481" t="str">
        <f t="shared" si="285"/>
        <v>0</v>
      </c>
      <c r="DL80" s="479"/>
      <c r="DM80" s="617">
        <v>43881</v>
      </c>
      <c r="DN80" s="326"/>
      <c r="DO80" s="432">
        <f t="shared" si="224"/>
        <v>1462.7</v>
      </c>
      <c r="DP80" s="481" t="str">
        <f t="shared" si="225"/>
        <v>0</v>
      </c>
      <c r="DQ80" s="618">
        <v>21</v>
      </c>
      <c r="DR80" s="188">
        <f t="shared" si="226"/>
        <v>22</v>
      </c>
      <c r="DS80" s="479"/>
      <c r="DT80" s="484">
        <f t="shared" ca="1" si="227"/>
        <v>43647</v>
      </c>
      <c r="DU80" s="481" t="str">
        <f t="shared" ca="1" si="228"/>
        <v>0</v>
      </c>
      <c r="DV80" s="479"/>
      <c r="DW80" s="497">
        <f t="shared" ca="1" si="229"/>
        <v>43647</v>
      </c>
      <c r="DX80" s="482" t="str">
        <f t="shared" ca="1" si="230"/>
        <v>0</v>
      </c>
      <c r="DY80" s="483"/>
      <c r="DZ80" s="497">
        <f t="shared" ca="1" si="231"/>
        <v>43647</v>
      </c>
      <c r="EA80" s="481" t="str">
        <f t="shared" ca="1" si="232"/>
        <v>0</v>
      </c>
      <c r="EB80" s="484"/>
      <c r="EC80" s="484">
        <f t="shared" ca="1" si="233"/>
        <v>43647</v>
      </c>
      <c r="ED80" s="481" t="str">
        <f t="shared" ca="1" si="234"/>
        <v>0</v>
      </c>
      <c r="EE80" s="485"/>
      <c r="EF80" s="485"/>
      <c r="EG80" s="481" t="str">
        <f t="shared" si="235"/>
        <v>0</v>
      </c>
      <c r="EH80" s="484"/>
      <c r="EI80" s="484">
        <f t="shared" ca="1" si="236"/>
        <v>43647</v>
      </c>
      <c r="EJ80" s="481" t="str">
        <f t="shared" ca="1" si="237"/>
        <v>0</v>
      </c>
      <c r="EK80" s="484"/>
      <c r="EL80" s="484">
        <f t="shared" ca="1" si="238"/>
        <v>43647</v>
      </c>
      <c r="EM80" s="481" t="str">
        <f t="shared" ca="1" si="239"/>
        <v>0</v>
      </c>
      <c r="EN80" s="484"/>
      <c r="EO80" s="484"/>
      <c r="EP80" s="484"/>
      <c r="EQ80" s="654">
        <f t="shared" si="240"/>
        <v>44520</v>
      </c>
      <c r="ER80" s="653">
        <f t="shared" si="291"/>
        <v>44550</v>
      </c>
      <c r="ES80" s="650">
        <f t="shared" si="241"/>
        <v>1</v>
      </c>
      <c r="ET80" s="904">
        <f t="shared" ca="1" si="242"/>
        <v>30.1</v>
      </c>
      <c r="EU80" s="653">
        <f t="shared" ca="1" si="243"/>
        <v>44378</v>
      </c>
      <c r="EV80" s="748"/>
      <c r="EW80" s="737"/>
      <c r="EX80" s="749"/>
      <c r="EY80" s="443"/>
      <c r="EZ80" s="747">
        <f t="shared" si="255"/>
        <v>44550</v>
      </c>
      <c r="FA80" s="653">
        <f t="shared" si="272"/>
        <v>44581</v>
      </c>
      <c r="FB80" s="518"/>
      <c r="FC80" s="647">
        <f t="shared" si="244"/>
        <v>1.0333333333333334</v>
      </c>
      <c r="FD80" s="635"/>
      <c r="FE80" s="192">
        <f t="shared" si="245"/>
        <v>0</v>
      </c>
      <c r="FF80" s="91"/>
      <c r="FG80" s="502"/>
      <c r="FH80" s="502">
        <v>0</v>
      </c>
      <c r="FI80" s="502"/>
      <c r="FJ80" s="502"/>
      <c r="FK80" s="502"/>
      <c r="FL80" s="664">
        <f t="shared" si="261"/>
        <v>0</v>
      </c>
      <c r="FM80" s="499"/>
      <c r="FN80" s="511"/>
      <c r="FO80" s="499"/>
      <c r="FP80" s="499"/>
      <c r="FQ80" s="94"/>
      <c r="FR80" s="94"/>
      <c r="FS80" s="94"/>
      <c r="FT80" s="94"/>
      <c r="FU80" s="94"/>
      <c r="FV80" s="39"/>
      <c r="FW80" s="212">
        <f t="shared" si="246"/>
        <v>44915</v>
      </c>
      <c r="FX80" s="212"/>
      <c r="FY80" s="39"/>
      <c r="FZ80" s="39"/>
      <c r="GA80" s="39"/>
      <c r="GB80" s="39"/>
      <c r="GC80" s="39"/>
      <c r="GD80" s="39"/>
      <c r="GE80" s="39"/>
      <c r="GF80" s="39"/>
      <c r="GG80" s="39"/>
      <c r="GH80" s="39"/>
      <c r="GI80" s="39"/>
      <c r="GJ80" s="39"/>
      <c r="GK80" s="39"/>
      <c r="GL80" s="742"/>
      <c r="GM80" s="979">
        <f t="shared" si="144"/>
        <v>8895103.3508167807</v>
      </c>
      <c r="GN80" s="772">
        <f t="shared" si="284"/>
        <v>8895103.3508167807</v>
      </c>
      <c r="GO80" s="53">
        <f t="shared" si="273"/>
        <v>8895103.3508167807</v>
      </c>
      <c r="GP80" s="898">
        <f t="shared" si="292"/>
        <v>1150000</v>
      </c>
      <c r="GQ80" s="35">
        <f t="shared" si="256"/>
        <v>2145.9632116497742</v>
      </c>
      <c r="GR80" s="35">
        <f t="shared" si="275"/>
        <v>193371.81197427784</v>
      </c>
      <c r="GS80" s="57">
        <v>2703600.4813463944</v>
      </c>
      <c r="GT80" s="577"/>
      <c r="GU80" s="35">
        <f t="shared" si="248"/>
        <v>58773.923507530315</v>
      </c>
      <c r="GV80" s="57">
        <f t="shared" si="276"/>
        <v>5041502.8694703858</v>
      </c>
      <c r="GW80" s="220">
        <v>908634.83638869505</v>
      </c>
      <c r="GX80" s="220">
        <v>4132868.0330816912</v>
      </c>
      <c r="GY80" s="567">
        <f t="shared" si="249"/>
        <v>109597.88846674752</v>
      </c>
      <c r="GZ80" s="934"/>
      <c r="HA80" s="53">
        <v>1150000</v>
      </c>
      <c r="HB80" s="53"/>
      <c r="HC80" s="28">
        <f t="shared" si="257"/>
        <v>0.12928461364020047</v>
      </c>
      <c r="HD80" s="53"/>
      <c r="HE80" s="53"/>
      <c r="HF80" s="53"/>
      <c r="HG80" s="35">
        <f t="shared" si="258"/>
        <v>25000</v>
      </c>
      <c r="HH80" s="35">
        <f t="shared" si="259"/>
        <v>83773.923507530315</v>
      </c>
      <c r="HI80" s="70"/>
      <c r="HJ80" s="70"/>
      <c r="HK80" s="19">
        <f t="shared" si="277"/>
        <v>83773.923507530315</v>
      </c>
      <c r="HL80" s="70"/>
      <c r="HM80" s="35">
        <f t="shared" si="260"/>
        <v>83773.923507530315</v>
      </c>
      <c r="HN80" s="36">
        <f t="shared" si="278"/>
        <v>0.43322717335179056</v>
      </c>
      <c r="HO80" s="70"/>
      <c r="HP80" s="70"/>
      <c r="HQ80" s="53">
        <f>FH80</f>
        <v>0</v>
      </c>
      <c r="HR80" s="898">
        <v>95905</v>
      </c>
      <c r="HS80" s="907">
        <f t="shared" si="279"/>
        <v>1.0781774670576892E-2</v>
      </c>
      <c r="HT80" s="898">
        <f t="shared" si="287"/>
        <v>8799198.3508167807</v>
      </c>
      <c r="HU80" s="898">
        <f t="shared" ca="1" si="293"/>
        <v>0</v>
      </c>
      <c r="HV80" s="907">
        <f t="shared" ca="1" si="294"/>
        <v>1.0781774670576892E-2</v>
      </c>
      <c r="HW80" s="898"/>
      <c r="HX80" s="898">
        <f t="shared" si="280"/>
        <v>1150000</v>
      </c>
      <c r="HY80" s="898">
        <f t="shared" si="281"/>
        <v>0</v>
      </c>
      <c r="HZ80" s="898"/>
      <c r="IA80" s="29" t="e">
        <f>#REF!+HI80</f>
        <v>#REF!</v>
      </c>
      <c r="IB80" s="752"/>
      <c r="IC80" s="73"/>
      <c r="ID80" s="73"/>
      <c r="IE80" s="73"/>
      <c r="IF80" s="73"/>
    </row>
    <row r="81" spans="1:240" ht="30" customHeight="1">
      <c r="A81" s="676" t="s">
        <v>971</v>
      </c>
      <c r="B81" s="235"/>
      <c r="C81" s="39" t="s">
        <v>21</v>
      </c>
      <c r="D81" s="39" t="s">
        <v>92</v>
      </c>
      <c r="E81" s="39">
        <v>2019</v>
      </c>
      <c r="F81" s="39" t="s">
        <v>827</v>
      </c>
      <c r="G81" s="39" t="s">
        <v>40</v>
      </c>
      <c r="H81" s="88"/>
      <c r="I81" s="41" t="s">
        <v>657</v>
      </c>
      <c r="J81" s="39"/>
      <c r="K81" s="39" t="s">
        <v>716</v>
      </c>
      <c r="L81" s="199"/>
      <c r="M81" s="129"/>
      <c r="N81" s="130"/>
      <c r="O81" s="131"/>
      <c r="P81" s="161">
        <f>4764/66*AE81</f>
        <v>1443.6363636363637</v>
      </c>
      <c r="Q81" s="161">
        <f>860000/66*AE81</f>
        <v>260606.06060606061</v>
      </c>
      <c r="R81" s="161">
        <f>860000/66*AE81</f>
        <v>260606.06060606061</v>
      </c>
      <c r="S81" s="161">
        <f t="shared" si="283"/>
        <v>13030.30303030303</v>
      </c>
      <c r="T81" s="161">
        <f t="shared" si="262"/>
        <v>180.52057094878253</v>
      </c>
      <c r="U81" s="167">
        <f t="shared" si="263"/>
        <v>180.52057094878253</v>
      </c>
      <c r="V81" s="167">
        <f t="shared" si="264"/>
        <v>207.98568284601805</v>
      </c>
      <c r="W81" s="167">
        <f t="shared" si="265"/>
        <v>13030.30303030303</v>
      </c>
      <c r="X81" s="161">
        <f t="shared" si="266"/>
        <v>72.181818181818187</v>
      </c>
      <c r="Y81" s="162"/>
      <c r="Z81" s="736">
        <f t="shared" si="213"/>
        <v>138.53904282115869</v>
      </c>
      <c r="AA81" s="162" t="s">
        <v>158</v>
      </c>
      <c r="AB81" s="162">
        <v>580</v>
      </c>
      <c r="AC81" s="163"/>
      <c r="AD81" s="39" t="s">
        <v>10</v>
      </c>
      <c r="AE81" s="674">
        <f t="shared" si="214"/>
        <v>20</v>
      </c>
      <c r="AF81" s="675">
        <f t="shared" si="215"/>
        <v>20</v>
      </c>
      <c r="AG81" s="50"/>
      <c r="AH81" s="39">
        <v>20</v>
      </c>
      <c r="AI81" s="50"/>
      <c r="AJ81" s="50"/>
      <c r="AK81" s="692">
        <v>920.8</v>
      </c>
      <c r="AL81" s="422">
        <v>1253</v>
      </c>
      <c r="AM81" s="875">
        <f t="shared" si="216"/>
        <v>46.04</v>
      </c>
      <c r="AN81" s="10">
        <f t="shared" si="217"/>
        <v>62.65</v>
      </c>
      <c r="AO81" s="43">
        <v>7.87</v>
      </c>
      <c r="AP81" s="43">
        <v>5.78</v>
      </c>
      <c r="AQ81" s="43">
        <v>362.32</v>
      </c>
      <c r="AR81" s="61"/>
      <c r="AS81" s="61">
        <f>20/AE81</f>
        <v>1</v>
      </c>
      <c r="AT81" s="61"/>
      <c r="AU81" s="61"/>
      <c r="AV81" s="61"/>
      <c r="AW81" s="43"/>
      <c r="AX81" s="59" t="s">
        <v>136</v>
      </c>
      <c r="AY81" s="59" t="s">
        <v>136</v>
      </c>
      <c r="AZ81" s="43"/>
      <c r="BA81" s="42" t="s">
        <v>439</v>
      </c>
      <c r="BB81" s="39" t="s">
        <v>100</v>
      </c>
      <c r="BC81" s="179">
        <v>2121120.0089800004</v>
      </c>
      <c r="BD81" s="687">
        <f t="shared" si="288"/>
        <v>2303.5621296481327</v>
      </c>
      <c r="BE81" s="548">
        <f t="shared" si="289"/>
        <v>1692.8332074860339</v>
      </c>
      <c r="BF81" s="552">
        <f t="shared" si="290"/>
        <v>106056.00044900001</v>
      </c>
      <c r="BG81" s="184">
        <v>43426</v>
      </c>
      <c r="BH81" s="143" t="s">
        <v>841</v>
      </c>
      <c r="BI81" s="159"/>
      <c r="BJ81" s="75"/>
      <c r="BK81" s="867" t="s">
        <v>250</v>
      </c>
      <c r="BL81" s="125"/>
      <c r="BM81" s="158"/>
      <c r="BN81" s="1007">
        <f t="shared" si="73"/>
        <v>0</v>
      </c>
      <c r="BO81" s="954"/>
      <c r="BP81" s="125"/>
      <c r="BQ81" s="125"/>
      <c r="BR81" s="225"/>
      <c r="BS81" s="224">
        <f t="shared" si="218"/>
        <v>731</v>
      </c>
      <c r="BT81" s="605"/>
      <c r="BU81" s="224" t="str">
        <f t="shared" si="267"/>
        <v>oui</v>
      </c>
      <c r="BV81" s="784">
        <f t="shared" si="268"/>
        <v>-1461.6666666666667</v>
      </c>
      <c r="BW81" s="605">
        <f t="shared" si="269"/>
        <v>0</v>
      </c>
      <c r="BX81" s="605">
        <f t="shared" si="270"/>
        <v>0</v>
      </c>
      <c r="BY81" s="702"/>
      <c r="BZ81" s="708"/>
      <c r="CA81" s="703"/>
      <c r="CB81" s="703"/>
      <c r="CC81" s="703"/>
      <c r="CD81" s="699"/>
      <c r="CE81" s="699"/>
      <c r="CF81" s="699"/>
      <c r="CG81" s="699"/>
      <c r="CH81" s="699"/>
      <c r="CI81" s="699"/>
      <c r="CJ81" s="699"/>
      <c r="CK81" s="699"/>
      <c r="CL81" s="699"/>
      <c r="CM81" s="699"/>
      <c r="CN81" s="699"/>
      <c r="CO81" s="699"/>
      <c r="CP81" s="699"/>
      <c r="CQ81" s="488"/>
      <c r="CR81" s="490"/>
      <c r="CS81" s="490"/>
      <c r="CT81" s="492" t="str">
        <f t="shared" si="219"/>
        <v>0</v>
      </c>
      <c r="CU81" s="490"/>
      <c r="CV81" s="490"/>
      <c r="CW81" s="492" t="str">
        <f t="shared" si="220"/>
        <v>0</v>
      </c>
      <c r="CX81" s="490"/>
      <c r="CY81" s="490"/>
      <c r="CZ81" s="492" t="str">
        <f t="shared" si="221"/>
        <v>0</v>
      </c>
      <c r="DA81" s="490"/>
      <c r="DB81" s="490"/>
      <c r="DC81" s="492" t="str">
        <f t="shared" si="222"/>
        <v>0</v>
      </c>
      <c r="DD81" s="493"/>
      <c r="DE81" s="490"/>
      <c r="DF81" s="492" t="str">
        <f t="shared" si="223"/>
        <v>0</v>
      </c>
      <c r="DG81" s="438"/>
      <c r="DH81" s="494"/>
      <c r="DI81" s="479"/>
      <c r="DJ81" s="480"/>
      <c r="DK81" s="481" t="str">
        <f t="shared" si="285"/>
        <v>0</v>
      </c>
      <c r="DL81" s="479"/>
      <c r="DM81" s="617">
        <v>43881</v>
      </c>
      <c r="DN81" s="326"/>
      <c r="DO81" s="432">
        <f t="shared" si="224"/>
        <v>1462.7</v>
      </c>
      <c r="DP81" s="481" t="str">
        <f t="shared" si="225"/>
        <v>0</v>
      </c>
      <c r="DQ81" s="618">
        <v>21</v>
      </c>
      <c r="DR81" s="188">
        <f t="shared" si="226"/>
        <v>22</v>
      </c>
      <c r="DS81" s="479"/>
      <c r="DT81" s="484">
        <f t="shared" ca="1" si="227"/>
        <v>43647</v>
      </c>
      <c r="DU81" s="481" t="str">
        <f t="shared" ca="1" si="228"/>
        <v>0</v>
      </c>
      <c r="DV81" s="479"/>
      <c r="DW81" s="497">
        <f t="shared" ca="1" si="229"/>
        <v>43647</v>
      </c>
      <c r="DX81" s="482" t="str">
        <f t="shared" ca="1" si="230"/>
        <v>0</v>
      </c>
      <c r="DY81" s="483"/>
      <c r="DZ81" s="497">
        <f t="shared" ca="1" si="231"/>
        <v>43647</v>
      </c>
      <c r="EA81" s="481" t="str">
        <f t="shared" ca="1" si="232"/>
        <v>0</v>
      </c>
      <c r="EB81" s="484"/>
      <c r="EC81" s="484">
        <f t="shared" ca="1" si="233"/>
        <v>43647</v>
      </c>
      <c r="ED81" s="481" t="str">
        <f t="shared" ca="1" si="234"/>
        <v>0</v>
      </c>
      <c r="EE81" s="485"/>
      <c r="EF81" s="485"/>
      <c r="EG81" s="481" t="str">
        <f t="shared" si="235"/>
        <v>0</v>
      </c>
      <c r="EH81" s="484"/>
      <c r="EI81" s="484">
        <f t="shared" ca="1" si="236"/>
        <v>43647</v>
      </c>
      <c r="EJ81" s="481" t="str">
        <f t="shared" ca="1" si="237"/>
        <v>0</v>
      </c>
      <c r="EK81" s="484"/>
      <c r="EL81" s="484">
        <f t="shared" ca="1" si="238"/>
        <v>43647</v>
      </c>
      <c r="EM81" s="481" t="str">
        <f t="shared" ca="1" si="239"/>
        <v>0</v>
      </c>
      <c r="EN81" s="484"/>
      <c r="EO81" s="484"/>
      <c r="EP81" s="484"/>
      <c r="EQ81" s="654">
        <f t="shared" si="240"/>
        <v>44520</v>
      </c>
      <c r="ER81" s="653">
        <f t="shared" si="291"/>
        <v>44550</v>
      </c>
      <c r="ES81" s="650">
        <f t="shared" si="241"/>
        <v>1</v>
      </c>
      <c r="ET81" s="904">
        <f t="shared" ca="1" si="242"/>
        <v>30.1</v>
      </c>
      <c r="EU81" s="653">
        <f t="shared" ca="1" si="243"/>
        <v>44378</v>
      </c>
      <c r="EV81" s="748"/>
      <c r="EW81" s="737"/>
      <c r="EX81" s="749"/>
      <c r="EY81" s="443"/>
      <c r="EZ81" s="747">
        <f t="shared" si="255"/>
        <v>44550</v>
      </c>
      <c r="FA81" s="653">
        <f t="shared" si="272"/>
        <v>44581</v>
      </c>
      <c r="FB81" s="518"/>
      <c r="FC81" s="647">
        <f t="shared" si="244"/>
        <v>1.0333333333333334</v>
      </c>
      <c r="FD81" s="635"/>
      <c r="FE81" s="192">
        <f t="shared" si="245"/>
        <v>0</v>
      </c>
      <c r="FF81" s="91"/>
      <c r="FG81" s="502"/>
      <c r="FH81" s="502">
        <v>0</v>
      </c>
      <c r="FI81" s="502"/>
      <c r="FJ81" s="502"/>
      <c r="FK81" s="502"/>
      <c r="FL81" s="664">
        <f t="shared" si="261"/>
        <v>0</v>
      </c>
      <c r="FM81" s="499"/>
      <c r="FN81" s="511"/>
      <c r="FO81" s="499"/>
      <c r="FP81" s="499"/>
      <c r="FQ81" s="94"/>
      <c r="FR81" s="94"/>
      <c r="FS81" s="94"/>
      <c r="FT81" s="94"/>
      <c r="FU81" s="94"/>
      <c r="FV81" s="39"/>
      <c r="FW81" s="212">
        <f t="shared" si="246"/>
        <v>44915</v>
      </c>
      <c r="FX81" s="212"/>
      <c r="FY81" s="39"/>
      <c r="FZ81" s="39"/>
      <c r="GA81" s="39"/>
      <c r="GB81" s="39"/>
      <c r="GC81" s="39"/>
      <c r="GD81" s="39"/>
      <c r="GE81" s="39"/>
      <c r="GF81" s="39"/>
      <c r="GG81" s="39"/>
      <c r="GH81" s="39"/>
      <c r="GI81" s="39"/>
      <c r="GJ81" s="39"/>
      <c r="GK81" s="39"/>
      <c r="GL81" s="742"/>
      <c r="GM81" s="979">
        <f t="shared" si="144"/>
        <v>2229076.595757118</v>
      </c>
      <c r="GN81" s="772">
        <f t="shared" si="284"/>
        <v>2229076.595757118</v>
      </c>
      <c r="GO81" s="53">
        <f t="shared" si="273"/>
        <v>2229076.595757118</v>
      </c>
      <c r="GP81" s="898">
        <f t="shared" si="292"/>
        <v>600000</v>
      </c>
      <c r="GQ81" s="35">
        <f t="shared" si="256"/>
        <v>1778.9916965340128</v>
      </c>
      <c r="GR81" s="35">
        <f t="shared" si="275"/>
        <v>111453.8297878559</v>
      </c>
      <c r="GS81" s="57">
        <v>564878.50114207214</v>
      </c>
      <c r="GT81" s="577"/>
      <c r="GU81" s="35">
        <f t="shared" si="248"/>
        <v>28243.925057103606</v>
      </c>
      <c r="GV81" s="57">
        <f t="shared" si="276"/>
        <v>1064198.0946150457</v>
      </c>
      <c r="GW81" s="220">
        <v>191345.32537319505</v>
      </c>
      <c r="GX81" s="220">
        <v>872852.76924185071</v>
      </c>
      <c r="GY81" s="567">
        <f t="shared" si="249"/>
        <v>53209.904730752285</v>
      </c>
      <c r="GZ81" s="934"/>
      <c r="HA81" s="53">
        <v>600000</v>
      </c>
      <c r="HB81" s="53"/>
      <c r="HC81" s="28">
        <f t="shared" si="257"/>
        <v>0.26916975448131997</v>
      </c>
      <c r="HD81" s="68"/>
      <c r="HE81" s="68"/>
      <c r="HF81" s="53"/>
      <c r="HG81" s="35">
        <f t="shared" si="258"/>
        <v>30000</v>
      </c>
      <c r="HH81" s="35">
        <f t="shared" si="259"/>
        <v>58243.925057103603</v>
      </c>
      <c r="HI81" s="70"/>
      <c r="HJ81" s="70"/>
      <c r="HK81" s="19">
        <f t="shared" si="277"/>
        <v>58243.925057103603</v>
      </c>
      <c r="HL81" s="70"/>
      <c r="HM81" s="35">
        <f t="shared" si="260"/>
        <v>58243.925057103603</v>
      </c>
      <c r="HN81" s="36">
        <f t="shared" si="278"/>
        <v>0.52258343358829928</v>
      </c>
      <c r="HO81" s="70"/>
      <c r="HP81" s="70"/>
      <c r="HQ81" s="53">
        <f>FH81</f>
        <v>0</v>
      </c>
      <c r="HR81" s="609"/>
      <c r="HS81" s="907">
        <f t="shared" si="279"/>
        <v>0</v>
      </c>
      <c r="HT81" s="898">
        <f t="shared" si="287"/>
        <v>2229076.595757118</v>
      </c>
      <c r="HU81" s="898">
        <f t="shared" ca="1" si="293"/>
        <v>0</v>
      </c>
      <c r="HV81" s="907">
        <f t="shared" ca="1" si="294"/>
        <v>0</v>
      </c>
      <c r="HW81" s="898"/>
      <c r="HX81" s="898">
        <f t="shared" si="280"/>
        <v>600000</v>
      </c>
      <c r="HY81" s="898">
        <f t="shared" si="281"/>
        <v>0</v>
      </c>
      <c r="HZ81" s="898"/>
      <c r="IA81" s="73" t="e">
        <f>#REF!+HI81</f>
        <v>#REF!</v>
      </c>
      <c r="IB81" s="752"/>
      <c r="IC81" s="73"/>
      <c r="ID81" s="73"/>
      <c r="IE81" s="73"/>
      <c r="IF81" s="73"/>
    </row>
    <row r="82" spans="1:240" ht="33.75" customHeight="1">
      <c r="A82" s="66" t="s">
        <v>953</v>
      </c>
      <c r="B82" s="66" t="s">
        <v>107</v>
      </c>
      <c r="C82" s="39" t="s">
        <v>21</v>
      </c>
      <c r="D82" s="39" t="s">
        <v>92</v>
      </c>
      <c r="E82" s="39">
        <v>2019</v>
      </c>
      <c r="F82" s="39" t="s">
        <v>826</v>
      </c>
      <c r="G82" s="39" t="s">
        <v>299</v>
      </c>
      <c r="H82" s="39" t="s">
        <v>705</v>
      </c>
      <c r="I82" s="39" t="s">
        <v>190</v>
      </c>
      <c r="J82" s="39"/>
      <c r="K82" s="39" t="s">
        <v>713</v>
      </c>
      <c r="L82" s="199"/>
      <c r="M82" s="129"/>
      <c r="N82" s="130"/>
      <c r="O82" s="131"/>
      <c r="P82" s="161">
        <v>1048</v>
      </c>
      <c r="Q82" s="161"/>
      <c r="R82" s="161"/>
      <c r="S82" s="161">
        <f t="shared" si="283"/>
        <v>0</v>
      </c>
      <c r="T82" s="161">
        <f t="shared" si="262"/>
        <v>0</v>
      </c>
      <c r="U82" s="167">
        <f t="shared" si="263"/>
        <v>0</v>
      </c>
      <c r="V82" s="167">
        <f t="shared" si="264"/>
        <v>0</v>
      </c>
      <c r="W82" s="167">
        <f t="shared" si="265"/>
        <v>0</v>
      </c>
      <c r="X82" s="161">
        <f t="shared" si="266"/>
        <v>47.636363636363633</v>
      </c>
      <c r="Y82" s="162"/>
      <c r="Z82" s="736">
        <f t="shared" si="213"/>
        <v>209.92366412213741</v>
      </c>
      <c r="AA82" s="162" t="s">
        <v>170</v>
      </c>
      <c r="AB82" s="162">
        <v>520</v>
      </c>
      <c r="AC82" s="163"/>
      <c r="AD82" s="40" t="s">
        <v>9</v>
      </c>
      <c r="AE82" s="674">
        <f t="shared" si="214"/>
        <v>22</v>
      </c>
      <c r="AF82" s="674">
        <f t="shared" si="215"/>
        <v>22</v>
      </c>
      <c r="AG82" s="39">
        <v>22</v>
      </c>
      <c r="AH82" s="50"/>
      <c r="AI82" s="50"/>
      <c r="AJ82" s="50"/>
      <c r="AK82" s="692">
        <v>1604.27</v>
      </c>
      <c r="AL82" s="422">
        <v>1879.27</v>
      </c>
      <c r="AM82" s="875">
        <f t="shared" si="216"/>
        <v>72.921363636363637</v>
      </c>
      <c r="AN82" s="10">
        <f t="shared" si="217"/>
        <v>85.421363636363637</v>
      </c>
      <c r="AO82" s="43"/>
      <c r="AP82" s="43"/>
      <c r="AQ82" s="43"/>
      <c r="AR82" s="61"/>
      <c r="AS82" s="61"/>
      <c r="AT82" s="61">
        <f>14/AE82</f>
        <v>0.63636363636363635</v>
      </c>
      <c r="AU82" s="61">
        <f>8/AE82</f>
        <v>0.36363636363636365</v>
      </c>
      <c r="AV82" s="61"/>
      <c r="AW82" s="43"/>
      <c r="AX82" s="59" t="s">
        <v>136</v>
      </c>
      <c r="AY82" s="59" t="s">
        <v>136</v>
      </c>
      <c r="AZ82" s="43">
        <v>5</v>
      </c>
      <c r="BA82" s="39" t="s">
        <v>439</v>
      </c>
      <c r="BB82" s="39" t="s">
        <v>100</v>
      </c>
      <c r="BC82" s="179">
        <v>3818851.9754001913</v>
      </c>
      <c r="BD82" s="687">
        <f t="shared" si="288"/>
        <v>2380.4297128290073</v>
      </c>
      <c r="BE82" s="548">
        <f t="shared" si="289"/>
        <v>2032.0932997388302</v>
      </c>
      <c r="BF82" s="552">
        <f t="shared" si="290"/>
        <v>173584.1807000087</v>
      </c>
      <c r="BG82" s="184">
        <v>43426</v>
      </c>
      <c r="BH82" s="39"/>
      <c r="BI82" s="159"/>
      <c r="BJ82" s="75"/>
      <c r="BK82" s="867" t="s">
        <v>250</v>
      </c>
      <c r="BL82" s="125"/>
      <c r="BM82" s="158"/>
      <c r="BN82" s="1007">
        <f t="shared" si="73"/>
        <v>0</v>
      </c>
      <c r="BO82" s="954"/>
      <c r="BP82" s="125"/>
      <c r="BQ82" s="125"/>
      <c r="BR82" s="225"/>
      <c r="BS82" s="224">
        <f t="shared" si="218"/>
        <v>731</v>
      </c>
      <c r="BT82" s="605"/>
      <c r="BU82" s="224" t="str">
        <f t="shared" si="267"/>
        <v>oui</v>
      </c>
      <c r="BV82" s="784">
        <f t="shared" si="268"/>
        <v>-1461.6666666666667</v>
      </c>
      <c r="BW82" s="605">
        <f t="shared" si="269"/>
        <v>0</v>
      </c>
      <c r="BX82" s="605">
        <f t="shared" si="270"/>
        <v>0</v>
      </c>
      <c r="BY82" s="702"/>
      <c r="BZ82" s="708"/>
      <c r="CA82" s="703"/>
      <c r="CB82" s="703"/>
      <c r="CC82" s="703"/>
      <c r="CD82" s="699"/>
      <c r="CE82" s="699"/>
      <c r="CF82" s="699"/>
      <c r="CG82" s="699"/>
      <c r="CH82" s="699"/>
      <c r="CI82" s="699"/>
      <c r="CJ82" s="699"/>
      <c r="CK82" s="699"/>
      <c r="CL82" s="699"/>
      <c r="CM82" s="699"/>
      <c r="CN82" s="699"/>
      <c r="CO82" s="699"/>
      <c r="CP82" s="699"/>
      <c r="CQ82" s="490"/>
      <c r="CR82" s="490"/>
      <c r="CS82" s="490"/>
      <c r="CT82" s="492" t="str">
        <f t="shared" si="219"/>
        <v>0</v>
      </c>
      <c r="CU82" s="490"/>
      <c r="CV82" s="490"/>
      <c r="CW82" s="492" t="str">
        <f t="shared" si="220"/>
        <v>0</v>
      </c>
      <c r="CX82" s="490"/>
      <c r="CY82" s="490"/>
      <c r="CZ82" s="492" t="str">
        <f t="shared" si="221"/>
        <v>0</v>
      </c>
      <c r="DA82" s="490"/>
      <c r="DB82" s="490"/>
      <c r="DC82" s="492" t="str">
        <f t="shared" si="222"/>
        <v>0</v>
      </c>
      <c r="DD82" s="493"/>
      <c r="DE82" s="490"/>
      <c r="DF82" s="492" t="str">
        <f t="shared" si="223"/>
        <v>0</v>
      </c>
      <c r="DG82" s="438"/>
      <c r="DH82" s="491"/>
      <c r="DI82" s="479"/>
      <c r="DJ82" s="480"/>
      <c r="DK82" s="481" t="str">
        <f t="shared" si="285"/>
        <v>0</v>
      </c>
      <c r="DL82" s="479"/>
      <c r="DM82" s="617">
        <v>43881</v>
      </c>
      <c r="DN82" s="326"/>
      <c r="DO82" s="432">
        <f t="shared" si="224"/>
        <v>1462.7</v>
      </c>
      <c r="DP82" s="481" t="str">
        <f t="shared" si="225"/>
        <v>0</v>
      </c>
      <c r="DQ82" s="618">
        <v>21</v>
      </c>
      <c r="DR82" s="188">
        <f t="shared" si="226"/>
        <v>22</v>
      </c>
      <c r="DS82" s="479"/>
      <c r="DT82" s="484">
        <f t="shared" ca="1" si="227"/>
        <v>43647</v>
      </c>
      <c r="DU82" s="481" t="str">
        <f t="shared" ca="1" si="228"/>
        <v>0</v>
      </c>
      <c r="DV82" s="479"/>
      <c r="DW82" s="497">
        <f t="shared" ca="1" si="229"/>
        <v>43647</v>
      </c>
      <c r="DX82" s="482" t="str">
        <f t="shared" ca="1" si="230"/>
        <v>0</v>
      </c>
      <c r="DY82" s="483"/>
      <c r="DZ82" s="497">
        <f t="shared" ca="1" si="231"/>
        <v>43647</v>
      </c>
      <c r="EA82" s="481" t="str">
        <f t="shared" ca="1" si="232"/>
        <v>0</v>
      </c>
      <c r="EB82" s="484"/>
      <c r="EC82" s="484">
        <f t="shared" ca="1" si="233"/>
        <v>43647</v>
      </c>
      <c r="ED82" s="481" t="str">
        <f t="shared" ca="1" si="234"/>
        <v>0</v>
      </c>
      <c r="EE82" s="485"/>
      <c r="EF82" s="485"/>
      <c r="EG82" s="481" t="str">
        <f t="shared" si="235"/>
        <v>0</v>
      </c>
      <c r="EH82" s="484"/>
      <c r="EI82" s="484">
        <f t="shared" ca="1" si="236"/>
        <v>43647</v>
      </c>
      <c r="EJ82" s="481" t="str">
        <f t="shared" ca="1" si="237"/>
        <v>0</v>
      </c>
      <c r="EK82" s="484"/>
      <c r="EL82" s="484">
        <f t="shared" ca="1" si="238"/>
        <v>43647</v>
      </c>
      <c r="EM82" s="481" t="str">
        <f t="shared" ca="1" si="239"/>
        <v>0</v>
      </c>
      <c r="EN82" s="484"/>
      <c r="EO82" s="484"/>
      <c r="EP82" s="484"/>
      <c r="EQ82" s="654">
        <f t="shared" si="240"/>
        <v>44520</v>
      </c>
      <c r="ER82" s="653">
        <f t="shared" si="291"/>
        <v>44550</v>
      </c>
      <c r="ES82" s="650">
        <f t="shared" si="241"/>
        <v>1</v>
      </c>
      <c r="ET82" s="904">
        <f t="shared" ca="1" si="242"/>
        <v>30.1</v>
      </c>
      <c r="EU82" s="653">
        <f t="shared" ca="1" si="243"/>
        <v>44378</v>
      </c>
      <c r="EV82" s="748"/>
      <c r="EW82" s="737"/>
      <c r="EX82" s="749"/>
      <c r="EY82" s="443"/>
      <c r="EZ82" s="747">
        <f t="shared" si="255"/>
        <v>44550</v>
      </c>
      <c r="FA82" s="653">
        <f t="shared" si="272"/>
        <v>44581</v>
      </c>
      <c r="FB82" s="518"/>
      <c r="FC82" s="647">
        <f t="shared" si="244"/>
        <v>1.0333333333333334</v>
      </c>
      <c r="FD82" s="635"/>
      <c r="FE82" s="192">
        <f t="shared" si="245"/>
        <v>0</v>
      </c>
      <c r="FF82" s="91"/>
      <c r="FG82" s="502"/>
      <c r="FH82" s="502"/>
      <c r="FI82" s="502"/>
      <c r="FJ82" s="502"/>
      <c r="FK82" s="502"/>
      <c r="FL82" s="664">
        <f t="shared" si="261"/>
        <v>0</v>
      </c>
      <c r="FM82" s="499"/>
      <c r="FN82" s="511"/>
      <c r="FO82" s="499"/>
      <c r="FP82" s="499"/>
      <c r="FQ82" s="94"/>
      <c r="FR82" s="94"/>
      <c r="FS82" s="94"/>
      <c r="FT82" s="94"/>
      <c r="FU82" s="94"/>
      <c r="FV82" s="39"/>
      <c r="FW82" s="212">
        <f t="shared" si="246"/>
        <v>44915</v>
      </c>
      <c r="FX82" s="212"/>
      <c r="FY82" s="39"/>
      <c r="FZ82" s="39"/>
      <c r="GA82" s="39"/>
      <c r="GB82" s="39"/>
      <c r="GC82" s="39"/>
      <c r="GD82" s="39"/>
      <c r="GE82" s="39"/>
      <c r="GF82" s="39"/>
      <c r="GG82" s="39"/>
      <c r="GH82" s="39"/>
      <c r="GI82" s="39"/>
      <c r="GJ82" s="39"/>
      <c r="GK82" s="39"/>
      <c r="GL82" s="742"/>
      <c r="GM82" s="979">
        <f t="shared" si="144"/>
        <v>4002398</v>
      </c>
      <c r="GN82" s="772">
        <f t="shared" si="284"/>
        <v>4002398</v>
      </c>
      <c r="GO82" s="53">
        <f t="shared" si="273"/>
        <v>4002398</v>
      </c>
      <c r="GP82" s="898">
        <f t="shared" si="292"/>
        <v>440000</v>
      </c>
      <c r="GQ82" s="35">
        <f t="shared" si="256"/>
        <v>2129.7620884705229</v>
      </c>
      <c r="GR82" s="35">
        <f t="shared" si="275"/>
        <v>181927.18181818182</v>
      </c>
      <c r="GS82" s="57">
        <v>1274049</v>
      </c>
      <c r="GT82" s="577"/>
      <c r="GU82" s="35">
        <f t="shared" si="248"/>
        <v>57911.318181818184</v>
      </c>
      <c r="GV82" s="57">
        <f t="shared" si="276"/>
        <v>2288349</v>
      </c>
      <c r="GW82" s="220">
        <v>380067</v>
      </c>
      <c r="GX82" s="220">
        <v>1908282</v>
      </c>
      <c r="GY82" s="567">
        <f t="shared" si="249"/>
        <v>104015.86363636363</v>
      </c>
      <c r="GZ82" s="934"/>
      <c r="HA82" s="53">
        <v>440000</v>
      </c>
      <c r="HB82" s="53"/>
      <c r="HC82" s="28">
        <f t="shared" si="257"/>
        <v>0.10993409451034106</v>
      </c>
      <c r="HD82" s="68"/>
      <c r="HE82" s="68"/>
      <c r="HF82" s="53"/>
      <c r="HG82" s="35">
        <f t="shared" si="258"/>
        <v>20000</v>
      </c>
      <c r="HH82" s="35">
        <f t="shared" si="259"/>
        <v>77911.318181818177</v>
      </c>
      <c r="HI82" s="70"/>
      <c r="HJ82" s="70"/>
      <c r="HK82" s="19">
        <f t="shared" si="277"/>
        <v>77911.318181818177</v>
      </c>
      <c r="HL82" s="70"/>
      <c r="HM82" s="35">
        <f t="shared" si="260"/>
        <v>77911.318181818177</v>
      </c>
      <c r="HN82" s="36">
        <f t="shared" si="278"/>
        <v>0.42825551082126267</v>
      </c>
      <c r="HO82" s="70"/>
      <c r="HP82" s="70"/>
      <c r="HQ82" s="53"/>
      <c r="HR82" s="898">
        <v>48605</v>
      </c>
      <c r="HS82" s="907">
        <f t="shared" si="279"/>
        <v>1.2143969690170743E-2</v>
      </c>
      <c r="HT82" s="898">
        <f t="shared" si="287"/>
        <v>3953793</v>
      </c>
      <c r="HU82" s="898">
        <f t="shared" ca="1" si="293"/>
        <v>0</v>
      </c>
      <c r="HV82" s="907">
        <f t="shared" ca="1" si="294"/>
        <v>1.2143969690170743E-2</v>
      </c>
      <c r="HW82" s="898"/>
      <c r="HX82" s="898">
        <f t="shared" si="280"/>
        <v>440000</v>
      </c>
      <c r="HY82" s="898">
        <f t="shared" si="281"/>
        <v>0</v>
      </c>
      <c r="HZ82" s="898"/>
      <c r="IA82" s="29" t="e">
        <f>#REF!+HI82</f>
        <v>#REF!</v>
      </c>
      <c r="IB82" s="752"/>
      <c r="IC82" s="73"/>
      <c r="ID82" s="73"/>
      <c r="IE82" s="73"/>
      <c r="IF82" s="73"/>
    </row>
    <row r="83" spans="1:240" ht="31.5" customHeight="1">
      <c r="A83" s="66" t="s">
        <v>954</v>
      </c>
      <c r="B83" s="235"/>
      <c r="C83" s="39" t="s">
        <v>21</v>
      </c>
      <c r="D83" s="39" t="s">
        <v>92</v>
      </c>
      <c r="E83" s="39">
        <v>2019</v>
      </c>
      <c r="F83" s="39" t="s">
        <v>826</v>
      </c>
      <c r="G83" s="39" t="s">
        <v>299</v>
      </c>
      <c r="H83" s="88"/>
      <c r="I83" s="39"/>
      <c r="J83" s="39"/>
      <c r="K83" s="39"/>
      <c r="L83" s="199"/>
      <c r="M83" s="129"/>
      <c r="N83" s="130"/>
      <c r="O83" s="131"/>
      <c r="P83" s="161">
        <v>1048</v>
      </c>
      <c r="Q83" s="161"/>
      <c r="R83" s="161"/>
      <c r="S83" s="161">
        <f t="shared" si="283"/>
        <v>0</v>
      </c>
      <c r="T83" s="161">
        <f t="shared" si="262"/>
        <v>0</v>
      </c>
      <c r="U83" s="167">
        <f t="shared" si="263"/>
        <v>0</v>
      </c>
      <c r="V83" s="167">
        <f t="shared" si="264"/>
        <v>0</v>
      </c>
      <c r="W83" s="167">
        <f t="shared" si="265"/>
        <v>0</v>
      </c>
      <c r="X83" s="161">
        <f t="shared" si="266"/>
        <v>80.615384615384613</v>
      </c>
      <c r="Y83" s="162"/>
      <c r="Z83" s="736">
        <f t="shared" si="213"/>
        <v>124.04580152671755</v>
      </c>
      <c r="AA83" s="162" t="s">
        <v>170</v>
      </c>
      <c r="AB83" s="162">
        <v>520</v>
      </c>
      <c r="AC83" s="163"/>
      <c r="AD83" s="40" t="s">
        <v>10</v>
      </c>
      <c r="AE83" s="674">
        <f t="shared" si="214"/>
        <v>13</v>
      </c>
      <c r="AF83" s="674">
        <f t="shared" si="215"/>
        <v>13</v>
      </c>
      <c r="AG83" s="50"/>
      <c r="AH83" s="39">
        <v>13</v>
      </c>
      <c r="AI83" s="50"/>
      <c r="AJ83" s="50"/>
      <c r="AK83" s="692">
        <v>612.77</v>
      </c>
      <c r="AL83" s="422">
        <v>815.16</v>
      </c>
      <c r="AM83" s="875">
        <f t="shared" si="216"/>
        <v>47.136153846153846</v>
      </c>
      <c r="AN83" s="10">
        <f t="shared" si="217"/>
        <v>62.70461538461538</v>
      </c>
      <c r="AO83" s="43"/>
      <c r="AP83" s="43"/>
      <c r="AQ83" s="43"/>
      <c r="AR83" s="61"/>
      <c r="AS83" s="61">
        <f>13/AE83</f>
        <v>1</v>
      </c>
      <c r="AT83" s="61"/>
      <c r="AU83" s="61"/>
      <c r="AV83" s="61"/>
      <c r="AW83" s="43"/>
      <c r="AX83" s="59" t="s">
        <v>136</v>
      </c>
      <c r="AY83" s="59" t="s">
        <v>136</v>
      </c>
      <c r="AZ83" s="43">
        <v>5</v>
      </c>
      <c r="BA83" s="39" t="s">
        <v>439</v>
      </c>
      <c r="BB83" s="39" t="s">
        <v>100</v>
      </c>
      <c r="BC83" s="179">
        <v>1552984.0245998099</v>
      </c>
      <c r="BD83" s="687">
        <f t="shared" si="288"/>
        <v>2534.3669314747949</v>
      </c>
      <c r="BE83" s="548">
        <f t="shared" si="289"/>
        <v>1905.1278578436256</v>
      </c>
      <c r="BF83" s="552">
        <f t="shared" si="290"/>
        <v>119460.30958460076</v>
      </c>
      <c r="BG83" s="184"/>
      <c r="BH83" s="39"/>
      <c r="BI83" s="159"/>
      <c r="BJ83" s="75"/>
      <c r="BK83" s="867" t="s">
        <v>250</v>
      </c>
      <c r="BL83" s="125"/>
      <c r="BM83" s="158"/>
      <c r="BN83" s="1007">
        <f t="shared" si="73"/>
        <v>0</v>
      </c>
      <c r="BO83" s="954"/>
      <c r="BP83" s="125"/>
      <c r="BQ83" s="125"/>
      <c r="BR83" s="225"/>
      <c r="BS83" s="224">
        <f t="shared" si="218"/>
        <v>731</v>
      </c>
      <c r="BT83" s="605"/>
      <c r="BU83" s="224" t="str">
        <f t="shared" si="267"/>
        <v>oui</v>
      </c>
      <c r="BV83" s="784">
        <f t="shared" si="268"/>
        <v>-1461.6666666666667</v>
      </c>
      <c r="BW83" s="605">
        <f t="shared" si="269"/>
        <v>0</v>
      </c>
      <c r="BX83" s="605">
        <f t="shared" si="270"/>
        <v>0</v>
      </c>
      <c r="BY83" s="702"/>
      <c r="BZ83" s="708"/>
      <c r="CA83" s="703"/>
      <c r="CB83" s="703"/>
      <c r="CC83" s="703"/>
      <c r="CD83" s="699"/>
      <c r="CE83" s="699"/>
      <c r="CF83" s="699"/>
      <c r="CG83" s="699"/>
      <c r="CH83" s="699"/>
      <c r="CI83" s="699"/>
      <c r="CJ83" s="699"/>
      <c r="CK83" s="699"/>
      <c r="CL83" s="699"/>
      <c r="CM83" s="699"/>
      <c r="CN83" s="699"/>
      <c r="CO83" s="699"/>
      <c r="CP83" s="699"/>
      <c r="CQ83" s="490"/>
      <c r="CR83" s="490"/>
      <c r="CS83" s="490"/>
      <c r="CT83" s="492" t="str">
        <f t="shared" si="219"/>
        <v>0</v>
      </c>
      <c r="CU83" s="490"/>
      <c r="CV83" s="490"/>
      <c r="CW83" s="492" t="str">
        <f t="shared" si="220"/>
        <v>0</v>
      </c>
      <c r="CX83" s="490"/>
      <c r="CY83" s="490"/>
      <c r="CZ83" s="492" t="str">
        <f t="shared" si="221"/>
        <v>0</v>
      </c>
      <c r="DA83" s="490"/>
      <c r="DB83" s="490"/>
      <c r="DC83" s="492" t="str">
        <f t="shared" si="222"/>
        <v>0</v>
      </c>
      <c r="DD83" s="493"/>
      <c r="DE83" s="490"/>
      <c r="DF83" s="492" t="str">
        <f t="shared" si="223"/>
        <v>0</v>
      </c>
      <c r="DG83" s="438"/>
      <c r="DH83" s="491"/>
      <c r="DI83" s="479"/>
      <c r="DJ83" s="480"/>
      <c r="DK83" s="481" t="str">
        <f t="shared" si="285"/>
        <v>0</v>
      </c>
      <c r="DL83" s="479"/>
      <c r="DM83" s="617">
        <v>43881</v>
      </c>
      <c r="DN83" s="326"/>
      <c r="DO83" s="432">
        <f t="shared" si="224"/>
        <v>1462.7</v>
      </c>
      <c r="DP83" s="481" t="str">
        <f t="shared" si="225"/>
        <v>0</v>
      </c>
      <c r="DQ83" s="618">
        <v>21</v>
      </c>
      <c r="DR83" s="188">
        <f t="shared" si="226"/>
        <v>22</v>
      </c>
      <c r="DS83" s="479"/>
      <c r="DT83" s="484">
        <f t="shared" ca="1" si="227"/>
        <v>43647</v>
      </c>
      <c r="DU83" s="481" t="str">
        <f t="shared" ca="1" si="228"/>
        <v>0</v>
      </c>
      <c r="DV83" s="479"/>
      <c r="DW83" s="497">
        <f t="shared" ca="1" si="229"/>
        <v>43647</v>
      </c>
      <c r="DX83" s="482" t="str">
        <f t="shared" ca="1" si="230"/>
        <v>0</v>
      </c>
      <c r="DY83" s="483"/>
      <c r="DZ83" s="497">
        <f t="shared" ca="1" si="231"/>
        <v>43647</v>
      </c>
      <c r="EA83" s="481"/>
      <c r="EB83" s="484"/>
      <c r="EC83" s="484">
        <f t="shared" ca="1" si="233"/>
        <v>43647</v>
      </c>
      <c r="ED83" s="481" t="str">
        <f t="shared" ca="1" si="234"/>
        <v>0</v>
      </c>
      <c r="EE83" s="485"/>
      <c r="EF83" s="485"/>
      <c r="EG83" s="481" t="str">
        <f t="shared" si="235"/>
        <v>0</v>
      </c>
      <c r="EH83" s="484"/>
      <c r="EI83" s="484">
        <f t="shared" ca="1" si="236"/>
        <v>43647</v>
      </c>
      <c r="EJ83" s="481" t="str">
        <f t="shared" ca="1" si="237"/>
        <v>0</v>
      </c>
      <c r="EK83" s="484"/>
      <c r="EL83" s="484">
        <f t="shared" ca="1" si="238"/>
        <v>43647</v>
      </c>
      <c r="EM83" s="481" t="str">
        <f t="shared" ca="1" si="239"/>
        <v>0</v>
      </c>
      <c r="EN83" s="484"/>
      <c r="EO83" s="484"/>
      <c r="EP83" s="484"/>
      <c r="EQ83" s="654">
        <f t="shared" si="240"/>
        <v>44520</v>
      </c>
      <c r="ER83" s="653">
        <f t="shared" si="291"/>
        <v>44550</v>
      </c>
      <c r="ES83" s="650">
        <f t="shared" si="241"/>
        <v>1</v>
      </c>
      <c r="ET83" s="904">
        <f t="shared" ca="1" si="242"/>
        <v>30.1</v>
      </c>
      <c r="EU83" s="653">
        <f t="shared" ca="1" si="243"/>
        <v>44378</v>
      </c>
      <c r="EV83" s="748"/>
      <c r="EW83" s="737"/>
      <c r="EX83" s="749"/>
      <c r="EY83" s="443"/>
      <c r="EZ83" s="747">
        <f t="shared" si="255"/>
        <v>44550</v>
      </c>
      <c r="FA83" s="653">
        <f t="shared" si="272"/>
        <v>44581</v>
      </c>
      <c r="FB83" s="518"/>
      <c r="FC83" s="647">
        <f t="shared" si="244"/>
        <v>1.0333333333333334</v>
      </c>
      <c r="FD83" s="635"/>
      <c r="FE83" s="192">
        <f t="shared" si="245"/>
        <v>0</v>
      </c>
      <c r="FF83" s="91"/>
      <c r="FG83" s="502"/>
      <c r="FH83" s="502"/>
      <c r="FI83" s="502"/>
      <c r="FJ83" s="502"/>
      <c r="FK83" s="502"/>
      <c r="FL83" s="664">
        <f t="shared" si="261"/>
        <v>0</v>
      </c>
      <c r="FM83" s="499"/>
      <c r="FN83" s="511"/>
      <c r="FO83" s="499"/>
      <c r="FP83" s="499"/>
      <c r="FQ83" s="94"/>
      <c r="FR83" s="94"/>
      <c r="FS83" s="94"/>
      <c r="FT83" s="94"/>
      <c r="FU83" s="94"/>
      <c r="FV83" s="39"/>
      <c r="FW83" s="212">
        <f t="shared" si="246"/>
        <v>44915</v>
      </c>
      <c r="FX83" s="212"/>
      <c r="FY83" s="39"/>
      <c r="FZ83" s="39"/>
      <c r="GA83" s="39"/>
      <c r="GB83" s="39"/>
      <c r="GC83" s="39"/>
      <c r="GD83" s="39"/>
      <c r="GE83" s="39"/>
      <c r="GF83" s="39"/>
      <c r="GG83" s="39"/>
      <c r="GH83" s="39"/>
      <c r="GI83" s="39"/>
      <c r="GJ83" s="39"/>
      <c r="GK83" s="39"/>
      <c r="GL83" s="742"/>
      <c r="GM83" s="979">
        <f t="shared" si="144"/>
        <v>1639513</v>
      </c>
      <c r="GN83" s="772">
        <f t="shared" si="284"/>
        <v>1639513</v>
      </c>
      <c r="GO83" s="53">
        <f t="shared" si="273"/>
        <v>1639513</v>
      </c>
      <c r="GP83" s="898">
        <f t="shared" si="292"/>
        <v>325000</v>
      </c>
      <c r="GQ83" s="35">
        <f t="shared" si="256"/>
        <v>2011.2775406055255</v>
      </c>
      <c r="GR83" s="35">
        <f t="shared" si="275"/>
        <v>126116.38461538461</v>
      </c>
      <c r="GS83" s="57">
        <v>467856</v>
      </c>
      <c r="GT83" s="577"/>
      <c r="GU83" s="35">
        <f t="shared" si="248"/>
        <v>35988.923076923078</v>
      </c>
      <c r="GV83" s="57">
        <f t="shared" si="276"/>
        <v>846657</v>
      </c>
      <c r="GW83" s="220">
        <v>140403</v>
      </c>
      <c r="GX83" s="220">
        <v>706254</v>
      </c>
      <c r="GY83" s="567">
        <f t="shared" si="249"/>
        <v>65127.461538461539</v>
      </c>
      <c r="GZ83" s="934"/>
      <c r="HA83" s="53">
        <v>325000</v>
      </c>
      <c r="HB83" s="53"/>
      <c r="HC83" s="28">
        <f t="shared" si="257"/>
        <v>0.19822959622766029</v>
      </c>
      <c r="HD83" s="68"/>
      <c r="HE83" s="68"/>
      <c r="HF83" s="53"/>
      <c r="HG83" s="35">
        <f t="shared" si="258"/>
        <v>25000</v>
      </c>
      <c r="HH83" s="35">
        <f t="shared" si="259"/>
        <v>60988.923076923078</v>
      </c>
      <c r="HI83" s="70"/>
      <c r="HJ83" s="70"/>
      <c r="HK83" s="19">
        <f t="shared" si="277"/>
        <v>60988.923076923078</v>
      </c>
      <c r="HL83" s="70"/>
      <c r="HM83" s="35">
        <f t="shared" si="260"/>
        <v>60988.923076923078</v>
      </c>
      <c r="HN83" s="36">
        <f t="shared" si="278"/>
        <v>0.48359238383593178</v>
      </c>
      <c r="HO83" s="70"/>
      <c r="HP83" s="70"/>
      <c r="HQ83" s="53"/>
      <c r="HR83" s="609"/>
      <c r="HS83" s="907">
        <f t="shared" si="279"/>
        <v>0</v>
      </c>
      <c r="HT83" s="898">
        <f t="shared" si="287"/>
        <v>1639513</v>
      </c>
      <c r="HU83" s="898">
        <f t="shared" ca="1" si="293"/>
        <v>0</v>
      </c>
      <c r="HV83" s="907">
        <f t="shared" ca="1" si="294"/>
        <v>0</v>
      </c>
      <c r="HW83" s="898"/>
      <c r="HX83" s="898">
        <f t="shared" si="280"/>
        <v>325000</v>
      </c>
      <c r="HY83" s="898">
        <f t="shared" si="281"/>
        <v>0</v>
      </c>
      <c r="HZ83" s="898"/>
      <c r="IA83" s="73" t="e">
        <f>#REF!+HI83</f>
        <v>#REF!</v>
      </c>
      <c r="IB83" s="752"/>
      <c r="IC83" s="73"/>
      <c r="ID83" s="73"/>
      <c r="IE83" s="73"/>
      <c r="IF83" s="73"/>
    </row>
    <row r="84" spans="1:240" ht="20.100000000000001" customHeight="1">
      <c r="A84" s="66" t="s">
        <v>972</v>
      </c>
      <c r="B84" s="66" t="s">
        <v>107</v>
      </c>
      <c r="C84" s="39" t="s">
        <v>21</v>
      </c>
      <c r="D84" s="39" t="s">
        <v>92</v>
      </c>
      <c r="E84" s="39">
        <v>2019</v>
      </c>
      <c r="F84" s="39" t="s">
        <v>825</v>
      </c>
      <c r="G84" s="39" t="s">
        <v>16</v>
      </c>
      <c r="H84" s="39" t="s">
        <v>704</v>
      </c>
      <c r="I84" s="39" t="s">
        <v>190</v>
      </c>
      <c r="J84" s="39"/>
      <c r="K84" s="39" t="s">
        <v>743</v>
      </c>
      <c r="L84" s="199"/>
      <c r="M84" s="129"/>
      <c r="N84" s="130"/>
      <c r="O84" s="131"/>
      <c r="P84" s="161">
        <v>1278</v>
      </c>
      <c r="Q84" s="161"/>
      <c r="R84" s="161"/>
      <c r="S84" s="161">
        <f t="shared" si="283"/>
        <v>0</v>
      </c>
      <c r="T84" s="161">
        <f t="shared" si="262"/>
        <v>0</v>
      </c>
      <c r="U84" s="167">
        <f t="shared" si="263"/>
        <v>0</v>
      </c>
      <c r="V84" s="167">
        <f t="shared" si="264"/>
        <v>0</v>
      </c>
      <c r="W84" s="167">
        <f t="shared" si="265"/>
        <v>0</v>
      </c>
      <c r="X84" s="161">
        <f t="shared" si="266"/>
        <v>31.170731707317074</v>
      </c>
      <c r="Y84" s="162"/>
      <c r="Z84" s="736">
        <f t="shared" si="213"/>
        <v>320.81377151799688</v>
      </c>
      <c r="AA84" s="162" t="s">
        <v>170</v>
      </c>
      <c r="AB84" s="162"/>
      <c r="AC84" s="163"/>
      <c r="AD84" s="40" t="s">
        <v>10</v>
      </c>
      <c r="AE84" s="674">
        <f t="shared" si="214"/>
        <v>41</v>
      </c>
      <c r="AF84" s="674">
        <f t="shared" si="215"/>
        <v>41</v>
      </c>
      <c r="AG84" s="50"/>
      <c r="AH84" s="39">
        <v>41</v>
      </c>
      <c r="AI84" s="50"/>
      <c r="AJ84" s="50"/>
      <c r="AK84" s="692">
        <v>2615.13</v>
      </c>
      <c r="AL84" s="422">
        <v>3127.87</v>
      </c>
      <c r="AM84" s="875">
        <f t="shared" si="216"/>
        <v>63.783658536585371</v>
      </c>
      <c r="AN84" s="10">
        <f t="shared" si="217"/>
        <v>76.289512195121944</v>
      </c>
      <c r="AO84" s="43"/>
      <c r="AP84" s="43"/>
      <c r="AQ84" s="43"/>
      <c r="AR84" s="61"/>
      <c r="AS84" s="61">
        <f>16/AE84</f>
        <v>0.3902439024390244</v>
      </c>
      <c r="AT84" s="61">
        <f>19/AE84</f>
        <v>0.46341463414634149</v>
      </c>
      <c r="AU84" s="61">
        <f>6/AE84</f>
        <v>0.14634146341463414</v>
      </c>
      <c r="AV84" s="61"/>
      <c r="AW84" s="43"/>
      <c r="AX84" s="59" t="s">
        <v>136</v>
      </c>
      <c r="AY84" s="59" t="s">
        <v>136</v>
      </c>
      <c r="AZ84" s="43"/>
      <c r="BA84" s="39" t="s">
        <v>439</v>
      </c>
      <c r="BB84" s="39" t="s">
        <v>100</v>
      </c>
      <c r="BC84" s="179">
        <v>6200000</v>
      </c>
      <c r="BD84" s="687">
        <f t="shared" si="288"/>
        <v>2370.8190415008048</v>
      </c>
      <c r="BE84" s="548">
        <f t="shared" si="289"/>
        <v>1982.1795662863226</v>
      </c>
      <c r="BF84" s="552">
        <f t="shared" si="290"/>
        <v>151219.51219512196</v>
      </c>
      <c r="BG84" s="143"/>
      <c r="BH84" s="39"/>
      <c r="BI84" s="159"/>
      <c r="BJ84" s="75"/>
      <c r="BK84" s="867" t="s">
        <v>250</v>
      </c>
      <c r="BL84" s="125"/>
      <c r="BM84" s="158"/>
      <c r="BN84" s="1007">
        <f t="shared" si="73"/>
        <v>0</v>
      </c>
      <c r="BO84" s="954"/>
      <c r="BP84" s="125"/>
      <c r="BQ84" s="125"/>
      <c r="BR84" s="225"/>
      <c r="BS84" s="224">
        <f t="shared" si="218"/>
        <v>731</v>
      </c>
      <c r="BT84" s="605"/>
      <c r="BU84" s="224" t="str">
        <f t="shared" si="267"/>
        <v>oui</v>
      </c>
      <c r="BV84" s="784">
        <f t="shared" si="268"/>
        <v>-1461.6666666666667</v>
      </c>
      <c r="BW84" s="605">
        <f t="shared" si="269"/>
        <v>0</v>
      </c>
      <c r="BX84" s="605">
        <f t="shared" si="270"/>
        <v>0</v>
      </c>
      <c r="BY84" s="702"/>
      <c r="BZ84" s="708"/>
      <c r="CA84" s="703"/>
      <c r="CB84" s="703"/>
      <c r="CC84" s="703"/>
      <c r="CD84" s="699"/>
      <c r="CE84" s="699"/>
      <c r="CF84" s="699"/>
      <c r="CG84" s="699"/>
      <c r="CH84" s="699"/>
      <c r="CI84" s="699"/>
      <c r="CJ84" s="699"/>
      <c r="CK84" s="699"/>
      <c r="CL84" s="699"/>
      <c r="CM84" s="699"/>
      <c r="CN84" s="699"/>
      <c r="CO84" s="699"/>
      <c r="CP84" s="699"/>
      <c r="CQ84" s="490"/>
      <c r="CR84" s="490"/>
      <c r="CS84" s="490"/>
      <c r="CT84" s="492" t="str">
        <f t="shared" si="219"/>
        <v>0</v>
      </c>
      <c r="CU84" s="490"/>
      <c r="CV84" s="490"/>
      <c r="CW84" s="492" t="str">
        <f t="shared" si="220"/>
        <v>0</v>
      </c>
      <c r="CX84" s="490"/>
      <c r="CY84" s="490"/>
      <c r="CZ84" s="492" t="str">
        <f t="shared" si="221"/>
        <v>0</v>
      </c>
      <c r="DA84" s="490"/>
      <c r="DB84" s="490"/>
      <c r="DC84" s="492" t="str">
        <f t="shared" si="222"/>
        <v>0</v>
      </c>
      <c r="DD84" s="493"/>
      <c r="DE84" s="490"/>
      <c r="DF84" s="492" t="str">
        <f t="shared" si="223"/>
        <v>0</v>
      </c>
      <c r="DG84" s="438"/>
      <c r="DH84" s="491"/>
      <c r="DI84" s="479"/>
      <c r="DJ84" s="480"/>
      <c r="DK84" s="481" t="str">
        <f t="shared" si="285"/>
        <v>0</v>
      </c>
      <c r="DL84" s="479"/>
      <c r="DM84" s="617">
        <v>43881</v>
      </c>
      <c r="DN84" s="326"/>
      <c r="DO84" s="432">
        <f t="shared" si="224"/>
        <v>1462.7</v>
      </c>
      <c r="DP84" s="481" t="str">
        <f t="shared" si="225"/>
        <v>0</v>
      </c>
      <c r="DQ84" s="618">
        <v>21</v>
      </c>
      <c r="DR84" s="188">
        <f t="shared" si="226"/>
        <v>22</v>
      </c>
      <c r="DS84" s="479"/>
      <c r="DT84" s="484">
        <f t="shared" ca="1" si="227"/>
        <v>43647</v>
      </c>
      <c r="DU84" s="481" t="str">
        <f t="shared" ca="1" si="228"/>
        <v>0</v>
      </c>
      <c r="DV84" s="479"/>
      <c r="DW84" s="497">
        <f t="shared" ca="1" si="229"/>
        <v>43647</v>
      </c>
      <c r="DX84" s="482" t="str">
        <f t="shared" ca="1" si="230"/>
        <v>0</v>
      </c>
      <c r="DY84" s="483"/>
      <c r="DZ84" s="497">
        <f t="shared" ca="1" si="231"/>
        <v>43647</v>
      </c>
      <c r="EA84" s="481" t="str">
        <f t="shared" ref="EA84:EA104" ca="1" si="295">IF(AND(DY84&gt;0,DZ84&gt;0),DZ84-DY84,"0")</f>
        <v>0</v>
      </c>
      <c r="EB84" s="484"/>
      <c r="EC84" s="484">
        <f t="shared" ca="1" si="233"/>
        <v>43647</v>
      </c>
      <c r="ED84" s="481" t="str">
        <f t="shared" ca="1" si="234"/>
        <v>0</v>
      </c>
      <c r="EE84" s="485"/>
      <c r="EF84" s="485"/>
      <c r="EG84" s="481" t="str">
        <f t="shared" si="235"/>
        <v>0</v>
      </c>
      <c r="EH84" s="484"/>
      <c r="EI84" s="484">
        <f t="shared" ca="1" si="236"/>
        <v>43647</v>
      </c>
      <c r="EJ84" s="481" t="str">
        <f t="shared" ca="1" si="237"/>
        <v>0</v>
      </c>
      <c r="EK84" s="484"/>
      <c r="EL84" s="484">
        <f t="shared" ca="1" si="238"/>
        <v>43647</v>
      </c>
      <c r="EM84" s="481" t="str">
        <f t="shared" ca="1" si="239"/>
        <v>0</v>
      </c>
      <c r="EN84" s="484"/>
      <c r="EO84" s="484"/>
      <c r="EP84" s="484"/>
      <c r="EQ84" s="654">
        <f t="shared" si="240"/>
        <v>44520</v>
      </c>
      <c r="ER84" s="653">
        <f t="shared" si="291"/>
        <v>44550</v>
      </c>
      <c r="ES84" s="650">
        <f t="shared" si="241"/>
        <v>1</v>
      </c>
      <c r="ET84" s="904">
        <f t="shared" ca="1" si="242"/>
        <v>30.1</v>
      </c>
      <c r="EU84" s="653">
        <f t="shared" ca="1" si="243"/>
        <v>44378</v>
      </c>
      <c r="EV84" s="748"/>
      <c r="EW84" s="737"/>
      <c r="EX84" s="749"/>
      <c r="EY84" s="443"/>
      <c r="EZ84" s="747">
        <f t="shared" si="255"/>
        <v>44550</v>
      </c>
      <c r="FA84" s="653">
        <f t="shared" si="272"/>
        <v>44581</v>
      </c>
      <c r="FB84" s="518"/>
      <c r="FC84" s="647">
        <f t="shared" si="244"/>
        <v>1.0333333333333334</v>
      </c>
      <c r="FD84" s="635"/>
      <c r="FE84" s="192">
        <f t="shared" si="245"/>
        <v>0</v>
      </c>
      <c r="FF84" s="91"/>
      <c r="FG84" s="502"/>
      <c r="FH84" s="502"/>
      <c r="FI84" s="502"/>
      <c r="FJ84" s="502"/>
      <c r="FK84" s="502"/>
      <c r="FL84" s="664">
        <f t="shared" si="261"/>
        <v>0</v>
      </c>
      <c r="FM84" s="499"/>
      <c r="FN84" s="511"/>
      <c r="FO84" s="499"/>
      <c r="FP84" s="499"/>
      <c r="FQ84" s="94"/>
      <c r="FR84" s="94"/>
      <c r="FS84" s="94"/>
      <c r="FT84" s="94"/>
      <c r="FU84" s="94"/>
      <c r="FV84" s="39"/>
      <c r="FW84" s="212">
        <f t="shared" si="246"/>
        <v>44915</v>
      </c>
      <c r="FX84" s="212"/>
      <c r="FY84" s="39"/>
      <c r="FZ84" s="39"/>
      <c r="GA84" s="39"/>
      <c r="GB84" s="39"/>
      <c r="GC84" s="39"/>
      <c r="GD84" s="39"/>
      <c r="GE84" s="39"/>
      <c r="GF84" s="39"/>
      <c r="GG84" s="39"/>
      <c r="GH84" s="39"/>
      <c r="GI84" s="39"/>
      <c r="GJ84" s="39"/>
      <c r="GK84" s="39"/>
      <c r="GL84" s="742"/>
      <c r="GM84" s="979">
        <f t="shared" si="144"/>
        <v>6488469.7325947993</v>
      </c>
      <c r="GN84" s="772">
        <f t="shared" si="284"/>
        <v>6488469.7325947993</v>
      </c>
      <c r="GO84" s="53">
        <f t="shared" si="273"/>
        <v>6488469.7325947993</v>
      </c>
      <c r="GP84" s="898">
        <f t="shared" si="292"/>
        <v>1230000</v>
      </c>
      <c r="GQ84" s="35">
        <f t="shared" si="256"/>
        <v>2074.4051807123697</v>
      </c>
      <c r="GR84" s="35">
        <f t="shared" ref="GR84:GR85" si="296">GN84/AE84</f>
        <v>158255.35933158046</v>
      </c>
      <c r="GS84" s="57">
        <v>1818290.8517983221</v>
      </c>
      <c r="GT84" s="577"/>
      <c r="GU84" s="35">
        <f t="shared" si="248"/>
        <v>44348.557360934683</v>
      </c>
      <c r="GV84" s="57">
        <f>GX84+GW84</f>
        <v>3440178.8807964772</v>
      </c>
      <c r="GW84" s="220">
        <v>687027.33458103053</v>
      </c>
      <c r="GX84" s="220">
        <v>2753151.5462154467</v>
      </c>
      <c r="GY84" s="567">
        <f t="shared" si="249"/>
        <v>83906.801970645785</v>
      </c>
      <c r="GZ84" s="934"/>
      <c r="HA84" s="53">
        <v>1230000</v>
      </c>
      <c r="HB84" s="53"/>
      <c r="HC84" s="28">
        <f t="shared" si="257"/>
        <v>0.18956703979385162</v>
      </c>
      <c r="HD84" s="68"/>
      <c r="HE84" s="68"/>
      <c r="HF84" s="53"/>
      <c r="HG84" s="35">
        <f t="shared" si="258"/>
        <v>30000</v>
      </c>
      <c r="HH84" s="35">
        <f t="shared" si="259"/>
        <v>74348.55736093469</v>
      </c>
      <c r="HI84" s="70"/>
      <c r="HJ84" s="70"/>
      <c r="HK84" s="19">
        <f t="shared" si="277"/>
        <v>74348.55736093469</v>
      </c>
      <c r="HL84" s="70"/>
      <c r="HM84" s="35">
        <f t="shared" si="260"/>
        <v>74348.55736093469</v>
      </c>
      <c r="HN84" s="36">
        <f t="shared" si="278"/>
        <v>0.46980119772852547</v>
      </c>
      <c r="HO84" s="70"/>
      <c r="HP84" s="70"/>
      <c r="HQ84" s="53"/>
      <c r="HR84" s="898">
        <v>56255</v>
      </c>
      <c r="HS84" s="907">
        <f t="shared" si="279"/>
        <v>8.6699949785391233E-3</v>
      </c>
      <c r="HT84" s="898">
        <f t="shared" si="287"/>
        <v>6432214.7325947993</v>
      </c>
      <c r="HU84" s="898">
        <f t="shared" ca="1" si="293"/>
        <v>0</v>
      </c>
      <c r="HV84" s="907">
        <f t="shared" ca="1" si="294"/>
        <v>8.6699949785391233E-3</v>
      </c>
      <c r="HW84" s="898"/>
      <c r="HX84" s="898">
        <f t="shared" si="280"/>
        <v>1230000</v>
      </c>
      <c r="HY84" s="898">
        <f t="shared" si="281"/>
        <v>0</v>
      </c>
      <c r="HZ84" s="898"/>
      <c r="IA84" s="73" t="e">
        <f>#REF!+HI84</f>
        <v>#REF!</v>
      </c>
      <c r="IB84" s="752"/>
      <c r="IC84" s="73"/>
      <c r="ID84" s="73"/>
      <c r="IE84" s="73"/>
      <c r="IF84" s="73"/>
    </row>
    <row r="85" spans="1:240" ht="20.100000000000001" customHeight="1">
      <c r="A85" s="66" t="s">
        <v>955</v>
      </c>
      <c r="B85" s="66" t="s">
        <v>107</v>
      </c>
      <c r="C85" s="39" t="s">
        <v>336</v>
      </c>
      <c r="D85" s="39" t="s">
        <v>93</v>
      </c>
      <c r="E85" s="39">
        <v>2019</v>
      </c>
      <c r="F85" s="39" t="s">
        <v>828</v>
      </c>
      <c r="G85" s="39" t="s">
        <v>854</v>
      </c>
      <c r="H85" s="39" t="s">
        <v>537</v>
      </c>
      <c r="I85" s="41" t="s">
        <v>657</v>
      </c>
      <c r="J85" s="39"/>
      <c r="K85" s="39" t="s">
        <v>797</v>
      </c>
      <c r="L85" s="199"/>
      <c r="M85" s="129" t="s">
        <v>798</v>
      </c>
      <c r="N85" s="130"/>
      <c r="O85" s="131"/>
      <c r="P85" s="161">
        <v>6860</v>
      </c>
      <c r="Q85" s="161">
        <v>1500000</v>
      </c>
      <c r="R85" s="161">
        <v>1500000</v>
      </c>
      <c r="S85" s="161">
        <f t="shared" si="283"/>
        <v>25000</v>
      </c>
      <c r="T85" s="161">
        <f t="shared" si="262"/>
        <v>218.65889212827989</v>
      </c>
      <c r="U85" s="167">
        <f t="shared" si="263"/>
        <v>218.65889212827989</v>
      </c>
      <c r="V85" s="167">
        <f t="shared" si="264"/>
        <v>281.6367224244791</v>
      </c>
      <c r="W85" s="167">
        <f t="shared" si="265"/>
        <v>25000</v>
      </c>
      <c r="X85" s="161">
        <f t="shared" si="266"/>
        <v>114.33333333333333</v>
      </c>
      <c r="Y85" s="162"/>
      <c r="Z85" s="736">
        <f t="shared" si="213"/>
        <v>87.463556851311949</v>
      </c>
      <c r="AA85" s="162"/>
      <c r="AB85" s="162"/>
      <c r="AC85" s="163"/>
      <c r="AD85" s="39" t="s">
        <v>333</v>
      </c>
      <c r="AE85" s="674">
        <f t="shared" si="214"/>
        <v>60</v>
      </c>
      <c r="AF85" s="674">
        <f t="shared" si="215"/>
        <v>60</v>
      </c>
      <c r="AG85" s="50"/>
      <c r="AH85" s="50"/>
      <c r="AI85" s="39">
        <v>60</v>
      </c>
      <c r="AJ85" s="39"/>
      <c r="AK85" s="209">
        <v>4547.8599999999997</v>
      </c>
      <c r="AL85" s="422">
        <v>5326.01</v>
      </c>
      <c r="AM85" s="875">
        <f t="shared" si="216"/>
        <v>75.797666666666657</v>
      </c>
      <c r="AN85" s="10">
        <f t="shared" si="217"/>
        <v>88.766833333333338</v>
      </c>
      <c r="AO85" s="43">
        <v>11.65</v>
      </c>
      <c r="AP85" s="43">
        <v>9.7899999999999991</v>
      </c>
      <c r="AQ85" s="43">
        <v>868.81</v>
      </c>
      <c r="AR85" s="61"/>
      <c r="AS85" s="61"/>
      <c r="AT85" s="61"/>
      <c r="AU85" s="61"/>
      <c r="AV85" s="61"/>
      <c r="AW85" s="43"/>
      <c r="AX85" s="59" t="s">
        <v>136</v>
      </c>
      <c r="AY85" s="61" t="s">
        <v>136</v>
      </c>
      <c r="AZ85" s="43"/>
      <c r="BA85" s="39" t="s">
        <v>439</v>
      </c>
      <c r="BB85" s="39" t="s">
        <v>100</v>
      </c>
      <c r="BC85" s="688">
        <f>11010000</f>
        <v>11010000</v>
      </c>
      <c r="BD85" s="687">
        <f t="shared" si="288"/>
        <v>2420.9188497447153</v>
      </c>
      <c r="BE85" s="689">
        <f t="shared" si="289"/>
        <v>2067.2135425956767</v>
      </c>
      <c r="BF85" s="552">
        <f t="shared" si="290"/>
        <v>183500</v>
      </c>
      <c r="BG85" s="184">
        <v>43208</v>
      </c>
      <c r="BH85" s="143" t="s">
        <v>837</v>
      </c>
      <c r="BI85" s="159">
        <v>43627</v>
      </c>
      <c r="BJ85" s="75"/>
      <c r="BK85" s="867" t="s">
        <v>250</v>
      </c>
      <c r="BL85" s="125"/>
      <c r="BM85" s="158"/>
      <c r="BN85" s="1007">
        <f t="shared" si="73"/>
        <v>0</v>
      </c>
      <c r="BO85" s="954"/>
      <c r="BP85" s="125"/>
      <c r="BQ85" s="125"/>
      <c r="BR85" s="225"/>
      <c r="BS85" s="224">
        <f t="shared" si="218"/>
        <v>731</v>
      </c>
      <c r="BT85" s="605"/>
      <c r="BU85" s="224" t="str">
        <f t="shared" si="267"/>
        <v>oui</v>
      </c>
      <c r="BV85" s="784">
        <f t="shared" si="268"/>
        <v>-1462.7</v>
      </c>
      <c r="BW85" s="605">
        <f t="shared" si="269"/>
        <v>0</v>
      </c>
      <c r="BX85" s="605">
        <f t="shared" si="270"/>
        <v>0</v>
      </c>
      <c r="BY85" s="702"/>
      <c r="BZ85" s="708"/>
      <c r="CA85" s="703"/>
      <c r="CB85" s="703"/>
      <c r="CC85" s="703"/>
      <c r="CD85" s="699"/>
      <c r="CE85" s="699"/>
      <c r="CF85" s="699"/>
      <c r="CG85" s="699"/>
      <c r="CH85" s="699"/>
      <c r="CI85" s="699"/>
      <c r="CJ85" s="699"/>
      <c r="CK85" s="699"/>
      <c r="CL85" s="699"/>
      <c r="CM85" s="699"/>
      <c r="CN85" s="699"/>
      <c r="CO85" s="699"/>
      <c r="CP85" s="699"/>
      <c r="CQ85" s="488"/>
      <c r="CR85" s="490"/>
      <c r="CS85" s="490"/>
      <c r="CT85" s="492" t="str">
        <f t="shared" si="219"/>
        <v>0</v>
      </c>
      <c r="CU85" s="490"/>
      <c r="CV85" s="490"/>
      <c r="CW85" s="492" t="str">
        <f t="shared" si="220"/>
        <v>0</v>
      </c>
      <c r="CX85" s="490"/>
      <c r="CY85" s="490"/>
      <c r="CZ85" s="492" t="str">
        <f t="shared" si="221"/>
        <v>0</v>
      </c>
      <c r="DA85" s="490"/>
      <c r="DB85" s="490"/>
      <c r="DC85" s="492" t="str">
        <f t="shared" si="222"/>
        <v>0</v>
      </c>
      <c r="DD85" s="493"/>
      <c r="DE85" s="490"/>
      <c r="DF85" s="492" t="str">
        <f t="shared" si="223"/>
        <v>0</v>
      </c>
      <c r="DG85" s="438"/>
      <c r="DH85" s="494"/>
      <c r="DI85" s="479"/>
      <c r="DJ85" s="480"/>
      <c r="DK85" s="481" t="str">
        <f t="shared" si="285"/>
        <v>0</v>
      </c>
      <c r="DL85" s="479"/>
      <c r="DM85" s="617">
        <v>43881</v>
      </c>
      <c r="DN85" s="326"/>
      <c r="DO85" s="432">
        <f t="shared" si="224"/>
        <v>8.4666666666666668</v>
      </c>
      <c r="DP85" s="481" t="str">
        <f t="shared" si="225"/>
        <v>0</v>
      </c>
      <c r="DQ85" s="618">
        <v>22</v>
      </c>
      <c r="DR85" s="188">
        <f t="shared" si="226"/>
        <v>23</v>
      </c>
      <c r="DS85" s="479"/>
      <c r="DT85" s="484">
        <f t="shared" ca="1" si="227"/>
        <v>43647</v>
      </c>
      <c r="DU85" s="481" t="str">
        <f t="shared" ca="1" si="228"/>
        <v>0</v>
      </c>
      <c r="DV85" s="479"/>
      <c r="DW85" s="497">
        <f t="shared" ca="1" si="229"/>
        <v>43647</v>
      </c>
      <c r="DX85" s="482" t="str">
        <f t="shared" ca="1" si="230"/>
        <v>0</v>
      </c>
      <c r="DY85" s="483"/>
      <c r="DZ85" s="497">
        <f t="shared" ca="1" si="231"/>
        <v>43647</v>
      </c>
      <c r="EA85" s="481" t="str">
        <f t="shared" ca="1" si="295"/>
        <v>0</v>
      </c>
      <c r="EB85" s="484"/>
      <c r="EC85" s="484">
        <f t="shared" ca="1" si="233"/>
        <v>43647</v>
      </c>
      <c r="ED85" s="481" t="str">
        <f t="shared" ca="1" si="234"/>
        <v>0</v>
      </c>
      <c r="EE85" s="485"/>
      <c r="EF85" s="485"/>
      <c r="EG85" s="481" t="str">
        <f t="shared" si="235"/>
        <v>0</v>
      </c>
      <c r="EH85" s="484"/>
      <c r="EI85" s="484">
        <f t="shared" ca="1" si="236"/>
        <v>43647</v>
      </c>
      <c r="EJ85" s="481" t="str">
        <f t="shared" ca="1" si="237"/>
        <v>0</v>
      </c>
      <c r="EK85" s="484"/>
      <c r="EL85" s="484">
        <f t="shared" ca="1" si="238"/>
        <v>43647</v>
      </c>
      <c r="EM85" s="481" t="str">
        <f t="shared" ca="1" si="239"/>
        <v>0</v>
      </c>
      <c r="EN85" s="484"/>
      <c r="EO85" s="484"/>
      <c r="EP85" s="484"/>
      <c r="EQ85" s="654">
        <f t="shared" si="240"/>
        <v>44550</v>
      </c>
      <c r="ER85" s="653">
        <f t="shared" si="291"/>
        <v>44581</v>
      </c>
      <c r="ES85" s="650">
        <f t="shared" si="241"/>
        <v>1.0333333333333334</v>
      </c>
      <c r="ET85" s="904">
        <f t="shared" ca="1" si="242"/>
        <v>31.133333333333333</v>
      </c>
      <c r="EU85" s="653">
        <f t="shared" ca="1" si="243"/>
        <v>44378</v>
      </c>
      <c r="EV85" s="748"/>
      <c r="EW85" s="737"/>
      <c r="EX85" s="749"/>
      <c r="EY85" s="443"/>
      <c r="EZ85" s="747">
        <f t="shared" si="255"/>
        <v>44581</v>
      </c>
      <c r="FA85" s="653">
        <f t="shared" si="272"/>
        <v>44612</v>
      </c>
      <c r="FB85" s="518"/>
      <c r="FC85" s="647">
        <f t="shared" si="244"/>
        <v>1.0333333333333334</v>
      </c>
      <c r="FD85" s="635"/>
      <c r="FE85" s="192">
        <f t="shared" si="245"/>
        <v>0</v>
      </c>
      <c r="FF85" s="91"/>
      <c r="FG85" s="502"/>
      <c r="FH85" s="502">
        <v>0</v>
      </c>
      <c r="FI85" s="502"/>
      <c r="FJ85" s="502"/>
      <c r="FK85" s="502"/>
      <c r="FL85" s="664">
        <f t="shared" si="261"/>
        <v>0</v>
      </c>
      <c r="FM85" s="499"/>
      <c r="FN85" s="511"/>
      <c r="FO85" s="499"/>
      <c r="FP85" s="499"/>
      <c r="FQ85" s="94"/>
      <c r="FR85" s="94"/>
      <c r="FS85" s="94"/>
      <c r="FT85" s="94"/>
      <c r="FU85" s="94"/>
      <c r="FV85" s="39"/>
      <c r="FW85" s="212">
        <f t="shared" si="246"/>
        <v>44946</v>
      </c>
      <c r="FX85" s="212"/>
      <c r="FY85" s="39"/>
      <c r="FZ85" s="39"/>
      <c r="GA85" s="39"/>
      <c r="GB85" s="39"/>
      <c r="GC85" s="39"/>
      <c r="GD85" s="39"/>
      <c r="GE85" s="39"/>
      <c r="GF85" s="39"/>
      <c r="GG85" s="39"/>
      <c r="GH85" s="39"/>
      <c r="GI85" s="39"/>
      <c r="GJ85" s="39"/>
      <c r="GK85" s="39"/>
      <c r="GL85" s="742"/>
      <c r="GM85" s="979">
        <f t="shared" si="144"/>
        <v>11489240.455435846</v>
      </c>
      <c r="GN85" s="772">
        <f t="shared" si="284"/>
        <v>11489240.455435846</v>
      </c>
      <c r="GO85" s="53">
        <f t="shared" si="273"/>
        <v>11489240.455435846</v>
      </c>
      <c r="GP85" s="898">
        <f t="shared" si="292"/>
        <v>0</v>
      </c>
      <c r="GQ85" s="35">
        <f t="shared" si="256"/>
        <v>2157.1946833437873</v>
      </c>
      <c r="GR85" s="35">
        <f t="shared" si="296"/>
        <v>191487.34092393078</v>
      </c>
      <c r="GS85" s="57">
        <v>4147421.0200009714</v>
      </c>
      <c r="GT85" s="577"/>
      <c r="GU85" s="35">
        <f t="shared" si="248"/>
        <v>69123.68366668286</v>
      </c>
      <c r="GV85" s="57">
        <v>7341819.4354348741</v>
      </c>
      <c r="GW85" s="220"/>
      <c r="GX85" s="220"/>
      <c r="GY85" s="567">
        <f t="shared" si="249"/>
        <v>122363.65725724791</v>
      </c>
      <c r="GZ85" s="934"/>
      <c r="HA85" s="53">
        <v>0</v>
      </c>
      <c r="HB85" s="53"/>
      <c r="HC85" s="28">
        <f t="shared" si="257"/>
        <v>0</v>
      </c>
      <c r="HD85" s="53"/>
      <c r="HE85" s="53"/>
      <c r="HF85" s="53"/>
      <c r="HG85" s="35">
        <f t="shared" si="258"/>
        <v>0</v>
      </c>
      <c r="HH85" s="35">
        <f t="shared" si="259"/>
        <v>69123.68366668286</v>
      </c>
      <c r="HI85" s="70"/>
      <c r="HJ85" s="70"/>
      <c r="HK85" s="19">
        <f t="shared" si="277"/>
        <v>69123.68366668286</v>
      </c>
      <c r="HL85" s="70"/>
      <c r="HM85" s="35">
        <f t="shared" si="260"/>
        <v>69123.68366668286</v>
      </c>
      <c r="HN85" s="36">
        <f t="shared" si="278"/>
        <v>0.3609830463630625</v>
      </c>
      <c r="HO85" s="70"/>
      <c r="HP85" s="70"/>
      <c r="HQ85" s="53">
        <f t="shared" ref="HQ85:HQ91" si="297">FH85</f>
        <v>0</v>
      </c>
      <c r="HR85" s="898">
        <v>99590</v>
      </c>
      <c r="HS85" s="907">
        <f t="shared" si="279"/>
        <v>8.6681099926741879E-3</v>
      </c>
      <c r="HT85" s="898">
        <f t="shared" si="287"/>
        <v>11389650.455435846</v>
      </c>
      <c r="HU85" s="898">
        <f t="shared" ca="1" si="293"/>
        <v>0</v>
      </c>
      <c r="HV85" s="907">
        <f t="shared" ca="1" si="294"/>
        <v>8.6681099926741879E-3</v>
      </c>
      <c r="HW85" s="898"/>
      <c r="HX85" s="898">
        <f t="shared" si="280"/>
        <v>0</v>
      </c>
      <c r="HY85" s="898" t="e">
        <f t="shared" si="281"/>
        <v>#DIV/0!</v>
      </c>
      <c r="HZ85" s="898"/>
      <c r="IA85" s="73" t="e">
        <f>#REF!+HI85</f>
        <v>#REF!</v>
      </c>
      <c r="IB85" s="752"/>
      <c r="IC85" s="73"/>
      <c r="ID85" s="73"/>
      <c r="IE85" s="73"/>
      <c r="IF85" s="73"/>
    </row>
    <row r="86" spans="1:240" ht="20.100000000000001" customHeight="1">
      <c r="A86" s="74" t="s">
        <v>789</v>
      </c>
      <c r="B86" s="732" t="s">
        <v>805</v>
      </c>
      <c r="C86" s="39" t="s">
        <v>14</v>
      </c>
      <c r="D86" s="39" t="s">
        <v>92</v>
      </c>
      <c r="E86" s="40">
        <v>2017</v>
      </c>
      <c r="F86" s="39"/>
      <c r="G86" s="40" t="s">
        <v>40</v>
      </c>
      <c r="H86" s="40" t="s">
        <v>704</v>
      </c>
      <c r="I86" s="42" t="s">
        <v>893</v>
      </c>
      <c r="J86" s="40"/>
      <c r="K86" s="39" t="s">
        <v>338</v>
      </c>
      <c r="L86" s="199"/>
      <c r="M86" s="129"/>
      <c r="N86" s="130"/>
      <c r="O86" s="131"/>
      <c r="P86" s="167">
        <v>10895</v>
      </c>
      <c r="Q86" s="167">
        <v>949780</v>
      </c>
      <c r="R86" s="171">
        <f>Q86</f>
        <v>949780</v>
      </c>
      <c r="S86" s="161">
        <f t="shared" si="283"/>
        <v>25669.72972972973</v>
      </c>
      <c r="T86" s="167">
        <f t="shared" si="262"/>
        <v>87.175768701239107</v>
      </c>
      <c r="U86" s="171">
        <f t="shared" si="263"/>
        <v>87.175768701239107</v>
      </c>
      <c r="V86" s="171">
        <f t="shared" si="264"/>
        <v>296.99372729035201</v>
      </c>
      <c r="W86" s="171">
        <f t="shared" si="265"/>
        <v>25669.72972972973</v>
      </c>
      <c r="X86" s="161">
        <f t="shared" si="266"/>
        <v>294.45945945945948</v>
      </c>
      <c r="Y86" s="170"/>
      <c r="Z86" s="734">
        <f t="shared" si="213"/>
        <v>33.960532354290962</v>
      </c>
      <c r="AA86" s="170"/>
      <c r="AB86" s="172">
        <v>650</v>
      </c>
      <c r="AC86" s="169"/>
      <c r="AD86" s="40" t="s">
        <v>10</v>
      </c>
      <c r="AE86" s="674">
        <f t="shared" si="214"/>
        <v>37</v>
      </c>
      <c r="AF86" s="674">
        <f t="shared" si="215"/>
        <v>37</v>
      </c>
      <c r="AG86" s="50"/>
      <c r="AH86" s="39">
        <f>37</f>
        <v>37</v>
      </c>
      <c r="AI86" s="50"/>
      <c r="AJ86" s="50"/>
      <c r="AK86" s="209">
        <v>3032.98</v>
      </c>
      <c r="AL86" s="422">
        <v>3197.98</v>
      </c>
      <c r="AM86" s="875">
        <f t="shared" si="216"/>
        <v>81.972432432432427</v>
      </c>
      <c r="AN86" s="10">
        <f t="shared" si="217"/>
        <v>86.431891891891894</v>
      </c>
      <c r="AO86" s="43"/>
      <c r="AP86" s="43"/>
      <c r="AQ86" s="43"/>
      <c r="AR86" s="46"/>
      <c r="AS86" s="46"/>
      <c r="AT86" s="46"/>
      <c r="AU86" s="46"/>
      <c r="AV86" s="46"/>
      <c r="AW86" s="44"/>
      <c r="AX86" s="60"/>
      <c r="AY86" s="62"/>
      <c r="AZ86" s="44"/>
      <c r="BA86" s="40" t="s">
        <v>438</v>
      </c>
      <c r="BB86" s="40" t="s">
        <v>100</v>
      </c>
      <c r="BC86" s="46">
        <v>6377000</v>
      </c>
      <c r="BD86" s="687">
        <f t="shared" si="288"/>
        <v>2102.5526050287176</v>
      </c>
      <c r="BE86" s="548">
        <f t="shared" si="289"/>
        <v>1994.0712574812851</v>
      </c>
      <c r="BF86" s="548"/>
      <c r="BG86" s="238">
        <v>42761</v>
      </c>
      <c r="BH86" s="238">
        <v>42761</v>
      </c>
      <c r="BI86" s="159">
        <v>42998</v>
      </c>
      <c r="BJ86" s="75"/>
      <c r="BK86" s="867" t="s">
        <v>250</v>
      </c>
      <c r="BL86" s="622"/>
      <c r="BM86" s="777"/>
      <c r="BN86" s="1007">
        <f t="shared" si="73"/>
        <v>0</v>
      </c>
      <c r="BO86" s="955"/>
      <c r="BP86" s="622">
        <f>DATE(YEAR(BM86),MONTH(BM86)+3,DAY(BM86))</f>
        <v>91</v>
      </c>
      <c r="BQ86" s="125"/>
      <c r="BR86" s="225"/>
      <c r="BS86" s="224">
        <f t="shared" si="218"/>
        <v>731</v>
      </c>
      <c r="BT86" s="605"/>
      <c r="BU86" s="224" t="str">
        <f t="shared" si="267"/>
        <v>non</v>
      </c>
      <c r="BV86" s="605">
        <f t="shared" si="268"/>
        <v>24.366666666666667</v>
      </c>
      <c r="BW86" s="605">
        <f t="shared" si="269"/>
        <v>0</v>
      </c>
      <c r="BX86" s="605">
        <f t="shared" si="270"/>
        <v>0</v>
      </c>
      <c r="BY86" s="702"/>
      <c r="BZ86" s="702"/>
      <c r="CA86" s="704"/>
      <c r="CB86" s="704"/>
      <c r="CC86" s="704"/>
      <c r="CD86" s="704"/>
      <c r="CE86" s="704"/>
      <c r="CF86" s="704"/>
      <c r="CG86" s="704"/>
      <c r="CH86" s="704"/>
      <c r="CI86" s="704"/>
      <c r="CJ86" s="704"/>
      <c r="CK86" s="704"/>
      <c r="CL86" s="704"/>
      <c r="CM86" s="704"/>
      <c r="CN86" s="704"/>
      <c r="CO86" s="704"/>
      <c r="CP86" s="704"/>
      <c r="CQ86" s="95"/>
      <c r="CR86" s="95"/>
      <c r="CS86" s="95"/>
      <c r="CT86" s="492" t="str">
        <f t="shared" si="219"/>
        <v>0</v>
      </c>
      <c r="CU86" s="95"/>
      <c r="CV86" s="95"/>
      <c r="CW86" s="475" t="str">
        <f t="shared" si="220"/>
        <v>0</v>
      </c>
      <c r="CX86" s="237"/>
      <c r="CY86" s="237"/>
      <c r="CZ86" s="475" t="str">
        <f t="shared" si="221"/>
        <v>0</v>
      </c>
      <c r="DA86" s="490"/>
      <c r="DB86" s="490"/>
      <c r="DC86" s="475" t="str">
        <f t="shared" si="222"/>
        <v>0</v>
      </c>
      <c r="DD86" s="490"/>
      <c r="DE86" s="490">
        <f t="shared" ref="DE86:DE96" ca="1" si="298">IF(DD86&lt;TODAY(),TODAY(),DD86)</f>
        <v>43647</v>
      </c>
      <c r="DF86" s="475" t="str">
        <f t="shared" ca="1" si="223"/>
        <v>0</v>
      </c>
      <c r="DG86" s="440"/>
      <c r="DH86" s="490"/>
      <c r="DI86" s="486"/>
      <c r="DJ86" s="484">
        <f ca="1">IF(DI86&lt;TODAY(),TODAY(),DI86)</f>
        <v>43647</v>
      </c>
      <c r="DK86" s="481" t="str">
        <f t="shared" ca="1" si="285"/>
        <v>0</v>
      </c>
      <c r="DL86" s="486"/>
      <c r="DM86" s="617"/>
      <c r="DN86" s="326"/>
      <c r="DO86" s="432"/>
      <c r="DP86" s="481" t="str">
        <f t="shared" si="225"/>
        <v>0</v>
      </c>
      <c r="DQ86" s="618">
        <v>18</v>
      </c>
      <c r="DR86" s="188">
        <f t="shared" si="226"/>
        <v>0</v>
      </c>
      <c r="DS86" s="484"/>
      <c r="DT86" s="484">
        <f t="shared" ca="1" si="227"/>
        <v>43647</v>
      </c>
      <c r="DU86" s="481" t="str">
        <f t="shared" ca="1" si="228"/>
        <v>0</v>
      </c>
      <c r="DV86" s="484"/>
      <c r="DW86" s="497">
        <f t="shared" ca="1" si="229"/>
        <v>43647</v>
      </c>
      <c r="DX86" s="482" t="str">
        <f t="shared" ca="1" si="230"/>
        <v>0</v>
      </c>
      <c r="DY86" s="484"/>
      <c r="DZ86" s="497">
        <f t="shared" ca="1" si="231"/>
        <v>43647</v>
      </c>
      <c r="EA86" s="481" t="str">
        <f t="shared" ca="1" si="295"/>
        <v>0</v>
      </c>
      <c r="EB86" s="484">
        <v>43493</v>
      </c>
      <c r="EC86" s="484">
        <f t="shared" ca="1" si="233"/>
        <v>43647</v>
      </c>
      <c r="ED86" s="481">
        <f t="shared" ca="1" si="234"/>
        <v>154</v>
      </c>
      <c r="EE86" s="485"/>
      <c r="EF86" s="485"/>
      <c r="EG86" s="481" t="str">
        <f t="shared" si="235"/>
        <v>0</v>
      </c>
      <c r="EH86" s="484"/>
      <c r="EI86" s="484">
        <f t="shared" ca="1" si="236"/>
        <v>43647</v>
      </c>
      <c r="EJ86" s="481" t="str">
        <f t="shared" ca="1" si="237"/>
        <v>0</v>
      </c>
      <c r="EK86" s="484">
        <v>43570</v>
      </c>
      <c r="EL86" s="484">
        <f t="shared" ca="1" si="238"/>
        <v>43647</v>
      </c>
      <c r="EM86" s="481">
        <f t="shared" ca="1" si="239"/>
        <v>77</v>
      </c>
      <c r="EN86" s="484"/>
      <c r="EO86" s="484"/>
      <c r="EP86" s="484"/>
      <c r="EQ86" s="654"/>
      <c r="ER86" s="653"/>
      <c r="ES86" s="650"/>
      <c r="ET86" s="904"/>
      <c r="EU86" s="653">
        <f t="shared" ca="1" si="243"/>
        <v>44378</v>
      </c>
      <c r="EV86" s="748"/>
      <c r="EW86" s="737"/>
      <c r="EX86" s="749">
        <f>DATE(YEAR(ER86),MONTH(ER86)+4,DAY(ER86)+2)</f>
        <v>123</v>
      </c>
      <c r="EY86" s="443"/>
      <c r="EZ86" s="747"/>
      <c r="FA86" s="653"/>
      <c r="FB86" s="518"/>
      <c r="FC86" s="648">
        <f t="shared" si="244"/>
        <v>0</v>
      </c>
      <c r="FD86" s="635"/>
      <c r="FE86" s="192">
        <f t="shared" si="245"/>
        <v>0</v>
      </c>
      <c r="FF86" s="91"/>
      <c r="FG86" s="502">
        <v>0</v>
      </c>
      <c r="FH86" s="502">
        <v>0</v>
      </c>
      <c r="FI86" s="502"/>
      <c r="FJ86" s="502"/>
      <c r="FK86" s="502"/>
      <c r="FL86" s="664">
        <f t="shared" si="261"/>
        <v>0</v>
      </c>
      <c r="FM86" s="499"/>
      <c r="FN86" s="511"/>
      <c r="FO86" s="511" t="s">
        <v>622</v>
      </c>
      <c r="FP86" s="499"/>
      <c r="FQ86" s="96"/>
      <c r="FR86" s="96"/>
      <c r="FS86" s="96"/>
      <c r="FT86" s="96"/>
      <c r="FU86" s="96"/>
      <c r="FV86" s="40"/>
      <c r="FW86" s="212">
        <f t="shared" si="246"/>
        <v>366</v>
      </c>
      <c r="FX86" s="212"/>
      <c r="FY86" s="40"/>
      <c r="FZ86" s="40"/>
      <c r="GA86" s="40"/>
      <c r="GB86" s="40"/>
      <c r="GC86" s="40"/>
      <c r="GD86" s="40"/>
      <c r="GE86" s="40"/>
      <c r="GF86" s="40"/>
      <c r="GG86" s="40"/>
      <c r="GH86" s="40"/>
      <c r="GI86" s="40"/>
      <c r="GJ86" s="40"/>
      <c r="GK86" s="40"/>
      <c r="GL86" s="742"/>
      <c r="GM86" s="979">
        <f t="shared" si="144"/>
        <v>6863538.2000000002</v>
      </c>
      <c r="GN86" s="772">
        <f t="shared" si="284"/>
        <v>6863538.2000000002</v>
      </c>
      <c r="GO86" s="53">
        <f t="shared" si="273"/>
        <v>6863538.2000000002</v>
      </c>
      <c r="GP86" s="898">
        <f t="shared" si="292"/>
        <v>660000</v>
      </c>
      <c r="GQ86" s="35">
        <f t="shared" si="256"/>
        <v>2146.21048286731</v>
      </c>
      <c r="GR86" s="35">
        <f t="shared" ref="GR86:GR95" si="299">GN86/AE86</f>
        <v>185501.03243243243</v>
      </c>
      <c r="GS86" s="53">
        <v>2271739</v>
      </c>
      <c r="GT86" s="577"/>
      <c r="GU86" s="35">
        <f t="shared" si="248"/>
        <v>61398.351351351354</v>
      </c>
      <c r="GV86" s="53">
        <f>GW86+GX86</f>
        <v>3931799.2</v>
      </c>
      <c r="GW86" s="220">
        <v>1087640.28</v>
      </c>
      <c r="GX86" s="220">
        <v>2844158.92</v>
      </c>
      <c r="GY86" s="567">
        <f t="shared" si="249"/>
        <v>106264.84324324325</v>
      </c>
      <c r="GZ86" s="934"/>
      <c r="HA86" s="57">
        <v>660000</v>
      </c>
      <c r="HB86" s="53"/>
      <c r="HC86" s="28">
        <f t="shared" si="257"/>
        <v>9.6160315680912212E-2</v>
      </c>
      <c r="HD86" s="53"/>
      <c r="HE86" s="53"/>
      <c r="HF86" s="57"/>
      <c r="HG86" s="35">
        <f t="shared" si="258"/>
        <v>17837.837837837837</v>
      </c>
      <c r="HH86" s="35">
        <f t="shared" si="259"/>
        <v>79236.189189189186</v>
      </c>
      <c r="HI86" s="423"/>
      <c r="HJ86" s="423"/>
      <c r="HK86" s="19" t="e">
        <f>(#REF!+#REF!+HJ86)/AE86</f>
        <v>#REF!</v>
      </c>
      <c r="HL86" s="423"/>
      <c r="HM86" s="35">
        <f t="shared" si="260"/>
        <v>79236.189189189186</v>
      </c>
      <c r="HN86" s="36" t="e">
        <f>(#REF!+#REF!+HJ86+HL86)/(HI86+#REF!-HO86)</f>
        <v>#REF!</v>
      </c>
      <c r="HO86" s="423"/>
      <c r="HP86" s="423"/>
      <c r="HQ86" s="53">
        <f t="shared" si="297"/>
        <v>0</v>
      </c>
      <c r="HR86" s="898"/>
      <c r="HS86" s="907">
        <f t="shared" si="279"/>
        <v>0</v>
      </c>
      <c r="HT86" s="898">
        <f t="shared" si="287"/>
        <v>6863538.2000000002</v>
      </c>
      <c r="HU86" s="898">
        <f ca="1">IF(ET86&lt;DATEDIF(TODAY(),$HU$1,"M"),HT86,(HT86/ET86*DATEDIF(TODAY(),$HU$1,"M")))</f>
        <v>6863538.2000000002</v>
      </c>
      <c r="HV86" s="898"/>
      <c r="HW86" s="898">
        <f>'[3]GLOBAL OPERATION'!$AG$89</f>
        <v>0</v>
      </c>
      <c r="HX86" s="898">
        <f t="shared" si="280"/>
        <v>660000</v>
      </c>
      <c r="HY86" s="898">
        <f t="shared" si="281"/>
        <v>0</v>
      </c>
      <c r="HZ86" s="898"/>
      <c r="IA86" s="29" t="e">
        <f>#REF!+HI86</f>
        <v>#REF!</v>
      </c>
      <c r="IB86" s="752"/>
      <c r="IC86" s="73"/>
      <c r="ID86" s="73"/>
      <c r="IE86" s="73"/>
      <c r="IF86" s="73"/>
    </row>
    <row r="87" spans="1:240" ht="27" customHeight="1">
      <c r="A87" s="221" t="s">
        <v>360</v>
      </c>
      <c r="B87" s="221"/>
      <c r="C87" s="39" t="s">
        <v>31</v>
      </c>
      <c r="D87" s="39" t="s">
        <v>92</v>
      </c>
      <c r="E87" s="39">
        <v>2020</v>
      </c>
      <c r="F87" s="39"/>
      <c r="G87" s="39" t="s">
        <v>926</v>
      </c>
      <c r="H87" s="39" t="s">
        <v>146</v>
      </c>
      <c r="I87" s="39" t="s">
        <v>318</v>
      </c>
      <c r="J87" s="39"/>
      <c r="K87" s="39" t="s">
        <v>369</v>
      </c>
      <c r="L87" s="199" t="s">
        <v>381</v>
      </c>
      <c r="M87" s="129" t="s">
        <v>31</v>
      </c>
      <c r="N87" s="130" t="s">
        <v>382</v>
      </c>
      <c r="O87" s="131">
        <v>39798</v>
      </c>
      <c r="P87" s="178"/>
      <c r="Q87" s="178"/>
      <c r="R87" s="178"/>
      <c r="S87" s="178"/>
      <c r="T87" s="178"/>
      <c r="U87" s="546"/>
      <c r="V87" s="546"/>
      <c r="W87" s="546"/>
      <c r="X87" s="178"/>
      <c r="Y87" s="162"/>
      <c r="Z87" s="736" t="e">
        <f t="shared" si="213"/>
        <v>#DIV/0!</v>
      </c>
      <c r="AA87" s="162"/>
      <c r="AB87" s="162"/>
      <c r="AC87" s="163"/>
      <c r="AD87" s="39" t="s">
        <v>340</v>
      </c>
      <c r="AE87" s="674">
        <f t="shared" si="214"/>
        <v>16</v>
      </c>
      <c r="AF87" s="674">
        <f t="shared" si="215"/>
        <v>0</v>
      </c>
      <c r="AG87" s="50"/>
      <c r="AH87" s="50"/>
      <c r="AI87" s="50"/>
      <c r="AJ87" s="39">
        <v>16</v>
      </c>
      <c r="AK87" s="209"/>
      <c r="AL87" s="422"/>
      <c r="AM87" s="875">
        <f t="shared" si="216"/>
        <v>0</v>
      </c>
      <c r="AN87" s="10">
        <f t="shared" si="217"/>
        <v>0</v>
      </c>
      <c r="AO87" s="43"/>
      <c r="AP87" s="43"/>
      <c r="AQ87" s="43"/>
      <c r="AR87" s="61"/>
      <c r="AS87" s="61"/>
      <c r="AT87" s="61"/>
      <c r="AU87" s="61"/>
      <c r="AV87" s="61"/>
      <c r="AW87" s="43"/>
      <c r="AX87" s="59"/>
      <c r="AY87" s="61"/>
      <c r="AZ87" s="43"/>
      <c r="BA87" s="39"/>
      <c r="BB87" s="39"/>
      <c r="BC87" s="39"/>
      <c r="BD87" s="39"/>
      <c r="BE87" s="39"/>
      <c r="BF87" s="39"/>
      <c r="BG87" s="39"/>
      <c r="BH87" s="39"/>
      <c r="BI87" s="159"/>
      <c r="BJ87" s="75"/>
      <c r="BK87" s="867"/>
      <c r="BL87" s="622"/>
      <c r="BM87" s="777"/>
      <c r="BN87" s="1007">
        <f t="shared" si="73"/>
        <v>0</v>
      </c>
      <c r="BO87" s="955"/>
      <c r="BP87" s="622"/>
      <c r="BQ87" s="125"/>
      <c r="BR87" s="225"/>
      <c r="BS87" s="224">
        <f t="shared" si="218"/>
        <v>731</v>
      </c>
      <c r="BT87" s="605"/>
      <c r="BU87" s="782"/>
      <c r="BV87" s="783"/>
      <c r="BW87" s="783"/>
      <c r="BX87" s="783"/>
      <c r="BY87" s="702"/>
      <c r="BZ87" s="708"/>
      <c r="CA87" s="703"/>
      <c r="CB87" s="703"/>
      <c r="CC87" s="703"/>
      <c r="CD87" s="699"/>
      <c r="CE87" s="699"/>
      <c r="CF87" s="699"/>
      <c r="CG87" s="699"/>
      <c r="CH87" s="699"/>
      <c r="CI87" s="699"/>
      <c r="CJ87" s="699"/>
      <c r="CK87" s="699"/>
      <c r="CL87" s="699"/>
      <c r="CM87" s="699"/>
      <c r="CN87" s="699"/>
      <c r="CO87" s="699"/>
      <c r="CP87" s="699"/>
      <c r="CQ87" s="490"/>
      <c r="CR87" s="490"/>
      <c r="CS87" s="490"/>
      <c r="CT87" s="492" t="str">
        <f t="shared" si="219"/>
        <v>0</v>
      </c>
      <c r="CU87" s="490"/>
      <c r="CV87" s="490"/>
      <c r="CW87" s="492" t="str">
        <f t="shared" si="220"/>
        <v>0</v>
      </c>
      <c r="CX87" s="490"/>
      <c r="CY87" s="490">
        <f t="shared" ref="CY87:CY96" ca="1" si="300">IF(CX87&lt;TODAY(),TODAY(),CX87)</f>
        <v>43647</v>
      </c>
      <c r="CZ87" s="492" t="str">
        <f t="shared" ca="1" si="221"/>
        <v>0</v>
      </c>
      <c r="DA87" s="493"/>
      <c r="DB87" s="490">
        <f t="shared" ref="DB87:DB96" ca="1" si="301">IF(DA87&lt;TODAY(),TODAY(),DA87)</f>
        <v>43647</v>
      </c>
      <c r="DC87" s="492" t="str">
        <f t="shared" ca="1" si="222"/>
        <v>0</v>
      </c>
      <c r="DD87" s="493"/>
      <c r="DE87" s="490">
        <f t="shared" ca="1" si="298"/>
        <v>43647</v>
      </c>
      <c r="DF87" s="492" t="str">
        <f t="shared" ca="1" si="223"/>
        <v>0</v>
      </c>
      <c r="DG87" s="438"/>
      <c r="DH87" s="491"/>
      <c r="DI87" s="479"/>
      <c r="DJ87" s="480"/>
      <c r="DK87" s="481" t="str">
        <f t="shared" si="285"/>
        <v>0</v>
      </c>
      <c r="DL87" s="479">
        <v>44378</v>
      </c>
      <c r="DM87" s="617">
        <v>44378</v>
      </c>
      <c r="DN87" s="326"/>
      <c r="DO87" s="432">
        <f t="shared" ref="DO87:DO130" si="302">(DATEDIF(BI87,DM87,"d"))/30</f>
        <v>1479.2666666666667</v>
      </c>
      <c r="DP87" s="481">
        <f t="shared" si="225"/>
        <v>0</v>
      </c>
      <c r="DQ87" s="618">
        <v>26</v>
      </c>
      <c r="DR87" s="188">
        <f t="shared" si="226"/>
        <v>29</v>
      </c>
      <c r="DS87" s="479"/>
      <c r="DT87" s="484">
        <f t="shared" ca="1" si="227"/>
        <v>43647</v>
      </c>
      <c r="DU87" s="481" t="str">
        <f t="shared" ca="1" si="228"/>
        <v>0</v>
      </c>
      <c r="DV87" s="479"/>
      <c r="DW87" s="497">
        <f t="shared" ca="1" si="229"/>
        <v>43647</v>
      </c>
      <c r="DX87" s="482" t="str">
        <f t="shared" ca="1" si="230"/>
        <v>0</v>
      </c>
      <c r="DY87" s="483"/>
      <c r="DZ87" s="497">
        <f t="shared" ca="1" si="231"/>
        <v>43647</v>
      </c>
      <c r="EA87" s="481" t="str">
        <f t="shared" ca="1" si="295"/>
        <v>0</v>
      </c>
      <c r="EB87" s="484">
        <v>43526</v>
      </c>
      <c r="EC87" s="484">
        <f t="shared" ca="1" si="233"/>
        <v>43647</v>
      </c>
      <c r="ED87" s="481">
        <f t="shared" ca="1" si="234"/>
        <v>121</v>
      </c>
      <c r="EE87" s="485"/>
      <c r="EF87" s="485"/>
      <c r="EG87" s="481" t="str">
        <f t="shared" si="235"/>
        <v>0</v>
      </c>
      <c r="EH87" s="484"/>
      <c r="EI87" s="484">
        <f t="shared" ca="1" si="236"/>
        <v>43647</v>
      </c>
      <c r="EJ87" s="481" t="str">
        <f t="shared" ca="1" si="237"/>
        <v>0</v>
      </c>
      <c r="EK87" s="484">
        <v>43603</v>
      </c>
      <c r="EL87" s="484">
        <f t="shared" ca="1" si="238"/>
        <v>43647</v>
      </c>
      <c r="EM87" s="481">
        <f t="shared" ca="1" si="239"/>
        <v>44</v>
      </c>
      <c r="EN87" s="485"/>
      <c r="EO87" s="485"/>
      <c r="EP87" s="485"/>
      <c r="EQ87" s="654">
        <f t="shared" ref="EQ87:EQ104" si="303">DATE(YEAR(DM87),MONTH(DM87)+DQ87,DAY(DM87))</f>
        <v>45170</v>
      </c>
      <c r="ER87" s="653">
        <f t="shared" ref="ER87:ER104" si="304">DATE(YEAR(EQ87),MONTH(EQ87)+3,DAY(EQ87))</f>
        <v>45261</v>
      </c>
      <c r="ES87" s="650">
        <f t="shared" ref="ES87:ES104" si="305">(DATEDIF(EQ87,ER87,"d"))/30</f>
        <v>3.0333333333333332</v>
      </c>
      <c r="ET87" s="904">
        <f t="shared" ref="ET87:ET133" ca="1" si="306">IF(((ER87-TODAY())/30)&lt;0,0,(ER87-TODAY())/30)</f>
        <v>53.8</v>
      </c>
      <c r="EU87" s="750">
        <f t="shared" ca="1" si="243"/>
        <v>44378</v>
      </c>
      <c r="EV87" s="748"/>
      <c r="EW87" s="737"/>
      <c r="EX87" s="749">
        <f>DATE(YEAR(ER87),MONTH(ER87)+4,DAY(ER87)+2)</f>
        <v>45385</v>
      </c>
      <c r="EY87" s="443"/>
      <c r="EZ87" s="747">
        <f t="shared" ref="EZ87:EZ103" si="307">DATE(YEAR(EQ87),MONTH(EQ87)+1,DAY(EQ87))</f>
        <v>45200</v>
      </c>
      <c r="FA87" s="653">
        <f>DATE(YEAR(EX87),MONTH(EX87)+1,DAY(EX87))</f>
        <v>45415</v>
      </c>
      <c r="FB87" s="937"/>
      <c r="FC87" s="647">
        <f t="shared" si="244"/>
        <v>7.166666666666667</v>
      </c>
      <c r="FD87" s="635"/>
      <c r="FE87" s="192">
        <f t="shared" si="245"/>
        <v>0</v>
      </c>
      <c r="FF87" s="91"/>
      <c r="FG87" s="502"/>
      <c r="FH87" s="502">
        <v>0</v>
      </c>
      <c r="FI87" s="502"/>
      <c r="FJ87" s="502"/>
      <c r="FK87" s="502"/>
      <c r="FL87" s="664" t="e">
        <f t="shared" si="261"/>
        <v>#DIV/0!</v>
      </c>
      <c r="FM87" s="499"/>
      <c r="FN87" s="511"/>
      <c r="FO87" s="499"/>
      <c r="FP87" s="499"/>
      <c r="FQ87" s="94"/>
      <c r="FR87" s="94"/>
      <c r="FS87" s="94"/>
      <c r="FT87" s="94"/>
      <c r="FU87" s="94"/>
      <c r="FV87" s="39"/>
      <c r="FW87" s="212">
        <f t="shared" si="246"/>
        <v>45627</v>
      </c>
      <c r="FX87" s="212"/>
      <c r="FY87" s="39"/>
      <c r="FZ87" s="39"/>
      <c r="GA87" s="39"/>
      <c r="GB87" s="39"/>
      <c r="GC87" s="39"/>
      <c r="GD87" s="39"/>
      <c r="GE87" s="39"/>
      <c r="GF87" s="39"/>
      <c r="GG87" s="39"/>
      <c r="GH87" s="39"/>
      <c r="GI87" s="39"/>
      <c r="GJ87" s="39"/>
      <c r="GK87" s="39"/>
      <c r="GL87" s="742"/>
      <c r="GM87" s="979">
        <f t="shared" si="144"/>
        <v>0</v>
      </c>
      <c r="GN87" s="772">
        <f t="shared" si="284"/>
        <v>0</v>
      </c>
      <c r="GO87" s="367"/>
      <c r="GP87" s="898">
        <f>HA87+HB87+HF87</f>
        <v>0</v>
      </c>
      <c r="GQ87" s="367" t="e">
        <f t="shared" si="256"/>
        <v>#DIV/0!</v>
      </c>
      <c r="GR87" s="367">
        <f t="shared" si="299"/>
        <v>0</v>
      </c>
      <c r="GS87" s="367"/>
      <c r="GT87" s="728"/>
      <c r="GU87" s="367" t="e">
        <f>#REF!/AE87</f>
        <v>#REF!</v>
      </c>
      <c r="GV87" s="367"/>
      <c r="GW87" s="367"/>
      <c r="GX87" s="367"/>
      <c r="GY87" s="727">
        <f t="shared" si="249"/>
        <v>0</v>
      </c>
      <c r="GZ87" s="367"/>
      <c r="HA87" s="367"/>
      <c r="HB87" s="367"/>
      <c r="HC87" s="369" t="e">
        <f t="shared" si="257"/>
        <v>#DIV/0!</v>
      </c>
      <c r="HD87" s="372"/>
      <c r="HE87" s="372"/>
      <c r="HF87" s="367"/>
      <c r="HG87" s="367">
        <f t="shared" si="258"/>
        <v>0</v>
      </c>
      <c r="HH87" s="370">
        <f t="shared" si="259"/>
        <v>0</v>
      </c>
      <c r="HI87" s="367"/>
      <c r="HJ87" s="367"/>
      <c r="HK87" s="368" t="e">
        <f>(#REF!+#REF!+HJ87)/AE87</f>
        <v>#REF!</v>
      </c>
      <c r="HL87" s="367"/>
      <c r="HM87" s="367">
        <f t="shared" si="260"/>
        <v>0</v>
      </c>
      <c r="HN87" s="83" t="e">
        <f>(#REF!+#REF!+HJ87+HL87)/(HI87+#REF!-HO87)</f>
        <v>#REF!</v>
      </c>
      <c r="HO87" s="367"/>
      <c r="HP87" s="367"/>
      <c r="HQ87" s="367">
        <f t="shared" si="297"/>
        <v>0</v>
      </c>
      <c r="HR87" s="898"/>
      <c r="HS87" s="898"/>
      <c r="HT87" s="898"/>
      <c r="HU87" s="898"/>
      <c r="HV87" s="898"/>
      <c r="HW87" s="898"/>
      <c r="HX87" s="898"/>
      <c r="HY87" s="898"/>
      <c r="HZ87" s="898"/>
      <c r="IA87" s="373" t="e">
        <f>#REF!+HI87</f>
        <v>#REF!</v>
      </c>
      <c r="IB87" s="373"/>
      <c r="IC87" s="373"/>
      <c r="ID87" s="373"/>
      <c r="IE87" s="373"/>
      <c r="IF87" s="373"/>
    </row>
    <row r="88" spans="1:240" ht="28.5" customHeight="1">
      <c r="A88" s="221" t="s">
        <v>359</v>
      </c>
      <c r="B88" s="221"/>
      <c r="C88" s="39" t="s">
        <v>21</v>
      </c>
      <c r="D88" s="39" t="s">
        <v>92</v>
      </c>
      <c r="E88" s="39">
        <v>2020</v>
      </c>
      <c r="F88" s="39"/>
      <c r="G88" s="39" t="s">
        <v>341</v>
      </c>
      <c r="H88" s="39" t="s">
        <v>146</v>
      </c>
      <c r="I88" s="39" t="s">
        <v>318</v>
      </c>
      <c r="J88" s="39"/>
      <c r="K88" s="39" t="s">
        <v>384</v>
      </c>
      <c r="L88" s="199" t="s">
        <v>372</v>
      </c>
      <c r="M88" s="129" t="s">
        <v>46</v>
      </c>
      <c r="N88" s="130" t="s">
        <v>383</v>
      </c>
      <c r="O88" s="131">
        <v>35571</v>
      </c>
      <c r="P88" s="178"/>
      <c r="Q88" s="178"/>
      <c r="R88" s="178"/>
      <c r="S88" s="178"/>
      <c r="T88" s="178"/>
      <c r="U88" s="546"/>
      <c r="V88" s="546"/>
      <c r="W88" s="546"/>
      <c r="X88" s="178"/>
      <c r="Y88" s="162"/>
      <c r="Z88" s="736" t="e">
        <f t="shared" si="213"/>
        <v>#DIV/0!</v>
      </c>
      <c r="AA88" s="162"/>
      <c r="AB88" s="162"/>
      <c r="AC88" s="163"/>
      <c r="AD88" s="39" t="s">
        <v>340</v>
      </c>
      <c r="AE88" s="674">
        <f t="shared" si="214"/>
        <v>38</v>
      </c>
      <c r="AF88" s="674">
        <f t="shared" si="215"/>
        <v>0</v>
      </c>
      <c r="AG88" s="50"/>
      <c r="AH88" s="50"/>
      <c r="AI88" s="50"/>
      <c r="AJ88" s="149">
        <v>38</v>
      </c>
      <c r="AK88" s="209"/>
      <c r="AL88" s="422"/>
      <c r="AM88" s="875">
        <f t="shared" si="216"/>
        <v>0</v>
      </c>
      <c r="AN88" s="10">
        <f t="shared" si="217"/>
        <v>0</v>
      </c>
      <c r="AO88" s="43"/>
      <c r="AP88" s="43"/>
      <c r="AQ88" s="43"/>
      <c r="AR88" s="61"/>
      <c r="AS88" s="61"/>
      <c r="AT88" s="61"/>
      <c r="AU88" s="61"/>
      <c r="AV88" s="61"/>
      <c r="AW88" s="43"/>
      <c r="AX88" s="59"/>
      <c r="AY88" s="61"/>
      <c r="AZ88" s="43"/>
      <c r="BA88" s="39"/>
      <c r="BB88" s="39"/>
      <c r="BC88" s="39"/>
      <c r="BD88" s="39"/>
      <c r="BE88" s="39"/>
      <c r="BF88" s="39"/>
      <c r="BG88" s="39"/>
      <c r="BH88" s="39"/>
      <c r="BI88" s="159"/>
      <c r="BJ88" s="75"/>
      <c r="BK88" s="867"/>
      <c r="BL88" s="125"/>
      <c r="BM88" s="158"/>
      <c r="BN88" s="1007">
        <f t="shared" ref="BN88:BN134" si="308">(DATEDIF(BL88,BM88,"d"))/30</f>
        <v>0</v>
      </c>
      <c r="BO88" s="954"/>
      <c r="BP88" s="125"/>
      <c r="BQ88" s="125"/>
      <c r="BR88" s="225"/>
      <c r="BS88" s="224">
        <f t="shared" si="218"/>
        <v>731</v>
      </c>
      <c r="BT88" s="605"/>
      <c r="BU88" s="782"/>
      <c r="BV88" s="783"/>
      <c r="BW88" s="783"/>
      <c r="BX88" s="783"/>
      <c r="BY88" s="702"/>
      <c r="BZ88" s="708"/>
      <c r="CA88" s="703"/>
      <c r="CB88" s="703"/>
      <c r="CC88" s="703"/>
      <c r="CD88" s="699"/>
      <c r="CE88" s="699"/>
      <c r="CF88" s="699"/>
      <c r="CG88" s="699"/>
      <c r="CH88" s="699"/>
      <c r="CI88" s="699"/>
      <c r="CJ88" s="699"/>
      <c r="CK88" s="699"/>
      <c r="CL88" s="699"/>
      <c r="CM88" s="699"/>
      <c r="CN88" s="699"/>
      <c r="CO88" s="699"/>
      <c r="CP88" s="699"/>
      <c r="CQ88" s="490"/>
      <c r="CR88" s="490"/>
      <c r="CS88" s="490"/>
      <c r="CT88" s="492" t="str">
        <f t="shared" si="219"/>
        <v>0</v>
      </c>
      <c r="CU88" s="490"/>
      <c r="CV88" s="490"/>
      <c r="CW88" s="492" t="str">
        <f t="shared" si="220"/>
        <v>0</v>
      </c>
      <c r="CX88" s="490"/>
      <c r="CY88" s="490">
        <f t="shared" ca="1" si="300"/>
        <v>43647</v>
      </c>
      <c r="CZ88" s="492" t="str">
        <f t="shared" ca="1" si="221"/>
        <v>0</v>
      </c>
      <c r="DA88" s="490"/>
      <c r="DB88" s="490">
        <f t="shared" ca="1" si="301"/>
        <v>43647</v>
      </c>
      <c r="DC88" s="492" t="str">
        <f t="shared" ca="1" si="222"/>
        <v>0</v>
      </c>
      <c r="DD88" s="493"/>
      <c r="DE88" s="490">
        <f t="shared" ca="1" si="298"/>
        <v>43647</v>
      </c>
      <c r="DF88" s="492" t="str">
        <f t="shared" ca="1" si="223"/>
        <v>0</v>
      </c>
      <c r="DG88" s="438"/>
      <c r="DH88" s="494"/>
      <c r="DI88" s="479"/>
      <c r="DJ88" s="480"/>
      <c r="DK88" s="481" t="str">
        <f t="shared" si="285"/>
        <v>0</v>
      </c>
      <c r="DL88" s="479">
        <v>44378</v>
      </c>
      <c r="DM88" s="617">
        <v>44378</v>
      </c>
      <c r="DN88" s="326"/>
      <c r="DO88" s="432">
        <f t="shared" si="302"/>
        <v>1479.2666666666667</v>
      </c>
      <c r="DP88" s="481">
        <f t="shared" si="225"/>
        <v>0</v>
      </c>
      <c r="DQ88" s="618">
        <v>27</v>
      </c>
      <c r="DR88" s="188">
        <f t="shared" si="226"/>
        <v>30</v>
      </c>
      <c r="DS88" s="479"/>
      <c r="DT88" s="484">
        <f t="shared" ca="1" si="227"/>
        <v>43647</v>
      </c>
      <c r="DU88" s="481" t="str">
        <f t="shared" ca="1" si="228"/>
        <v>0</v>
      </c>
      <c r="DV88" s="479"/>
      <c r="DW88" s="497">
        <f t="shared" ca="1" si="229"/>
        <v>43647</v>
      </c>
      <c r="DX88" s="482" t="str">
        <f t="shared" ca="1" si="230"/>
        <v>0</v>
      </c>
      <c r="DY88" s="483"/>
      <c r="DZ88" s="497">
        <f t="shared" ca="1" si="231"/>
        <v>43647</v>
      </c>
      <c r="EA88" s="481" t="str">
        <f t="shared" ca="1" si="295"/>
        <v>0</v>
      </c>
      <c r="EB88" s="484">
        <v>43527</v>
      </c>
      <c r="EC88" s="484">
        <f t="shared" ca="1" si="233"/>
        <v>43647</v>
      </c>
      <c r="ED88" s="481">
        <f t="shared" ca="1" si="234"/>
        <v>120</v>
      </c>
      <c r="EE88" s="485"/>
      <c r="EF88" s="485"/>
      <c r="EG88" s="481" t="str">
        <f t="shared" si="235"/>
        <v>0</v>
      </c>
      <c r="EH88" s="484"/>
      <c r="EI88" s="484">
        <f t="shared" ca="1" si="236"/>
        <v>43647</v>
      </c>
      <c r="EJ88" s="481" t="str">
        <f t="shared" ca="1" si="237"/>
        <v>0</v>
      </c>
      <c r="EK88" s="484">
        <v>43604</v>
      </c>
      <c r="EL88" s="484">
        <f t="shared" ca="1" si="238"/>
        <v>43647</v>
      </c>
      <c r="EM88" s="481">
        <f t="shared" ca="1" si="239"/>
        <v>43</v>
      </c>
      <c r="EN88" s="485"/>
      <c r="EO88" s="485"/>
      <c r="EP88" s="485"/>
      <c r="EQ88" s="654">
        <f t="shared" si="303"/>
        <v>45200</v>
      </c>
      <c r="ER88" s="653">
        <f t="shared" si="304"/>
        <v>45292</v>
      </c>
      <c r="ES88" s="650">
        <f t="shared" si="305"/>
        <v>3.0666666666666669</v>
      </c>
      <c r="ET88" s="904">
        <f t="shared" ca="1" si="306"/>
        <v>54.833333333333336</v>
      </c>
      <c r="EU88" s="750">
        <f t="shared" ca="1" si="243"/>
        <v>44378</v>
      </c>
      <c r="EV88" s="748"/>
      <c r="EW88" s="737"/>
      <c r="EX88" s="749">
        <f>DATE(YEAR(ER88),MONTH(ER88)+4,DAY(ER88)+2)</f>
        <v>45415</v>
      </c>
      <c r="EY88" s="443"/>
      <c r="EZ88" s="747">
        <f t="shared" si="307"/>
        <v>45231</v>
      </c>
      <c r="FA88" s="653">
        <f>DATE(YEAR(EX88),MONTH(EX88)+1,DAY(EX88))</f>
        <v>45446</v>
      </c>
      <c r="FB88" s="937"/>
      <c r="FC88" s="647">
        <f t="shared" si="244"/>
        <v>7.166666666666667</v>
      </c>
      <c r="FD88" s="635"/>
      <c r="FE88" s="192">
        <f t="shared" si="245"/>
        <v>0</v>
      </c>
      <c r="FF88" s="91"/>
      <c r="FG88" s="502"/>
      <c r="FH88" s="502">
        <v>0</v>
      </c>
      <c r="FI88" s="502"/>
      <c r="FJ88" s="502"/>
      <c r="FK88" s="502"/>
      <c r="FL88" s="664" t="e">
        <f t="shared" si="261"/>
        <v>#DIV/0!</v>
      </c>
      <c r="FM88" s="499"/>
      <c r="FN88" s="511"/>
      <c r="FO88" s="499"/>
      <c r="FP88" s="499"/>
      <c r="FQ88" s="94"/>
      <c r="FR88" s="94"/>
      <c r="FS88" s="94"/>
      <c r="FT88" s="94"/>
      <c r="FU88" s="94"/>
      <c r="FV88" s="39"/>
      <c r="FW88" s="212">
        <f t="shared" si="246"/>
        <v>45658</v>
      </c>
      <c r="FX88" s="212"/>
      <c r="FY88" s="39"/>
      <c r="FZ88" s="39"/>
      <c r="GA88" s="39"/>
      <c r="GB88" s="39"/>
      <c r="GC88" s="39"/>
      <c r="GD88" s="39"/>
      <c r="GE88" s="39"/>
      <c r="GF88" s="39"/>
      <c r="GG88" s="39"/>
      <c r="GH88" s="39"/>
      <c r="GI88" s="39"/>
      <c r="GJ88" s="39"/>
      <c r="GK88" s="39"/>
      <c r="GL88" s="742"/>
      <c r="GM88" s="979">
        <f t="shared" si="144"/>
        <v>0</v>
      </c>
      <c r="GN88" s="772">
        <f t="shared" si="284"/>
        <v>0</v>
      </c>
      <c r="GO88" s="367"/>
      <c r="GP88" s="898">
        <f>HA88+HB88+HF88</f>
        <v>0</v>
      </c>
      <c r="GQ88" s="367" t="e">
        <f t="shared" si="256"/>
        <v>#DIV/0!</v>
      </c>
      <c r="GR88" s="367">
        <f t="shared" si="299"/>
        <v>0</v>
      </c>
      <c r="GS88" s="367"/>
      <c r="GT88" s="728"/>
      <c r="GU88" s="367" t="e">
        <f>#REF!/AE88</f>
        <v>#REF!</v>
      </c>
      <c r="GV88" s="367">
        <f t="shared" ref="GV88:GV95" si="309">GW88+GX88</f>
        <v>0</v>
      </c>
      <c r="GW88" s="367"/>
      <c r="GX88" s="367"/>
      <c r="GY88" s="727">
        <f t="shared" si="249"/>
        <v>0</v>
      </c>
      <c r="GZ88" s="367"/>
      <c r="HA88" s="367"/>
      <c r="HB88" s="367"/>
      <c r="HC88" s="369" t="e">
        <f t="shared" si="257"/>
        <v>#DIV/0!</v>
      </c>
      <c r="HD88" s="372"/>
      <c r="HE88" s="372"/>
      <c r="HF88" s="367"/>
      <c r="HG88" s="367">
        <f t="shared" si="258"/>
        <v>0</v>
      </c>
      <c r="HH88" s="370">
        <f t="shared" si="259"/>
        <v>0</v>
      </c>
      <c r="HI88" s="367"/>
      <c r="HJ88" s="367"/>
      <c r="HK88" s="368" t="e">
        <f>(#REF!+#REF!+HJ88)/AE88</f>
        <v>#REF!</v>
      </c>
      <c r="HL88" s="367"/>
      <c r="HM88" s="367">
        <f t="shared" si="260"/>
        <v>0</v>
      </c>
      <c r="HN88" s="83" t="e">
        <f>(#REF!+#REF!+HJ88+HL88)/(HI88+#REF!-HO88)</f>
        <v>#REF!</v>
      </c>
      <c r="HO88" s="367"/>
      <c r="HP88" s="367"/>
      <c r="HQ88" s="367">
        <f t="shared" si="297"/>
        <v>0</v>
      </c>
      <c r="HR88" s="898"/>
      <c r="HS88" s="898"/>
      <c r="HT88" s="898"/>
      <c r="HU88" s="898"/>
      <c r="HV88" s="898"/>
      <c r="HW88" s="898"/>
      <c r="HX88" s="898"/>
      <c r="HY88" s="898"/>
      <c r="HZ88" s="898"/>
      <c r="IA88" s="373" t="e">
        <f>#REF!+HI88</f>
        <v>#REF!</v>
      </c>
      <c r="IB88" s="373"/>
      <c r="IC88" s="373"/>
      <c r="ID88" s="373"/>
      <c r="IE88" s="373"/>
      <c r="IF88" s="373"/>
    </row>
    <row r="89" spans="1:240" ht="20.100000000000001" customHeight="1">
      <c r="A89" s="221" t="s">
        <v>364</v>
      </c>
      <c r="B89" s="221"/>
      <c r="C89" s="39" t="s">
        <v>14</v>
      </c>
      <c r="D89" s="39" t="s">
        <v>92</v>
      </c>
      <c r="E89" s="39">
        <v>2020</v>
      </c>
      <c r="F89" s="39"/>
      <c r="G89" s="39" t="s">
        <v>341</v>
      </c>
      <c r="H89" s="39" t="s">
        <v>146</v>
      </c>
      <c r="I89" s="39" t="s">
        <v>318</v>
      </c>
      <c r="J89" s="39"/>
      <c r="K89" s="39" t="s">
        <v>389</v>
      </c>
      <c r="L89" s="199" t="s">
        <v>387</v>
      </c>
      <c r="M89" s="129" t="s">
        <v>46</v>
      </c>
      <c r="N89" s="228" t="s">
        <v>385</v>
      </c>
      <c r="O89" s="229" t="s">
        <v>386</v>
      </c>
      <c r="P89" s="178"/>
      <c r="Q89" s="178"/>
      <c r="R89" s="178"/>
      <c r="S89" s="178"/>
      <c r="T89" s="178"/>
      <c r="U89" s="546"/>
      <c r="V89" s="546"/>
      <c r="W89" s="546"/>
      <c r="X89" s="178"/>
      <c r="Y89" s="162"/>
      <c r="Z89" s="736" t="e">
        <f t="shared" si="213"/>
        <v>#DIV/0!</v>
      </c>
      <c r="AA89" s="162"/>
      <c r="AB89" s="162"/>
      <c r="AC89" s="163"/>
      <c r="AD89" s="39" t="s">
        <v>340</v>
      </c>
      <c r="AE89" s="674">
        <f t="shared" si="214"/>
        <v>30</v>
      </c>
      <c r="AF89" s="674">
        <f t="shared" si="215"/>
        <v>0</v>
      </c>
      <c r="AG89" s="50"/>
      <c r="AH89" s="50"/>
      <c r="AI89" s="50"/>
      <c r="AJ89" s="149">
        <v>30</v>
      </c>
      <c r="AK89" s="209"/>
      <c r="AL89" s="422"/>
      <c r="AM89" s="875">
        <f t="shared" si="216"/>
        <v>0</v>
      </c>
      <c r="AN89" s="10">
        <f t="shared" si="217"/>
        <v>0</v>
      </c>
      <c r="AO89" s="43"/>
      <c r="AP89" s="43"/>
      <c r="AQ89" s="43"/>
      <c r="AR89" s="61"/>
      <c r="AS89" s="61"/>
      <c r="AT89" s="61"/>
      <c r="AU89" s="61"/>
      <c r="AV89" s="61"/>
      <c r="AW89" s="43"/>
      <c r="AX89" s="59"/>
      <c r="AY89" s="61"/>
      <c r="AZ89" s="43"/>
      <c r="BA89" s="39"/>
      <c r="BB89" s="39"/>
      <c r="BC89" s="39"/>
      <c r="BD89" s="39"/>
      <c r="BE89" s="39"/>
      <c r="BF89" s="39"/>
      <c r="BG89" s="39"/>
      <c r="BH89" s="39"/>
      <c r="BI89" s="159"/>
      <c r="BJ89" s="75"/>
      <c r="BK89" s="867"/>
      <c r="BL89" s="125"/>
      <c r="BM89" s="158"/>
      <c r="BN89" s="1007">
        <f t="shared" si="308"/>
        <v>0</v>
      </c>
      <c r="BO89" s="954"/>
      <c r="BP89" s="125"/>
      <c r="BQ89" s="125"/>
      <c r="BR89" s="225"/>
      <c r="BS89" s="224">
        <f t="shared" si="218"/>
        <v>731</v>
      </c>
      <c r="BT89" s="605"/>
      <c r="BU89" s="782"/>
      <c r="BV89" s="783"/>
      <c r="BW89" s="783"/>
      <c r="BX89" s="783"/>
      <c r="BY89" s="702"/>
      <c r="BZ89" s="708"/>
      <c r="CA89" s="703"/>
      <c r="CB89" s="703"/>
      <c r="CC89" s="703"/>
      <c r="CD89" s="699"/>
      <c r="CE89" s="699"/>
      <c r="CF89" s="699"/>
      <c r="CG89" s="699"/>
      <c r="CH89" s="699"/>
      <c r="CI89" s="699"/>
      <c r="CJ89" s="699"/>
      <c r="CK89" s="699"/>
      <c r="CL89" s="699"/>
      <c r="CM89" s="699"/>
      <c r="CN89" s="699"/>
      <c r="CO89" s="699"/>
      <c r="CP89" s="699"/>
      <c r="CQ89" s="490"/>
      <c r="CR89" s="490"/>
      <c r="CS89" s="490"/>
      <c r="CT89" s="492" t="str">
        <f t="shared" si="219"/>
        <v>0</v>
      </c>
      <c r="CU89" s="490"/>
      <c r="CV89" s="490"/>
      <c r="CW89" s="492" t="str">
        <f t="shared" si="220"/>
        <v>0</v>
      </c>
      <c r="CX89" s="490"/>
      <c r="CY89" s="490">
        <f t="shared" ca="1" si="300"/>
        <v>43647</v>
      </c>
      <c r="CZ89" s="492" t="str">
        <f t="shared" ca="1" si="221"/>
        <v>0</v>
      </c>
      <c r="DA89" s="493"/>
      <c r="DB89" s="490">
        <f t="shared" ca="1" si="301"/>
        <v>43647</v>
      </c>
      <c r="DC89" s="492" t="str">
        <f t="shared" ca="1" si="222"/>
        <v>0</v>
      </c>
      <c r="DD89" s="493"/>
      <c r="DE89" s="490">
        <f t="shared" ca="1" si="298"/>
        <v>43647</v>
      </c>
      <c r="DF89" s="492" t="str">
        <f t="shared" ca="1" si="223"/>
        <v>0</v>
      </c>
      <c r="DG89" s="438"/>
      <c r="DH89" s="494"/>
      <c r="DI89" s="479"/>
      <c r="DJ89" s="480"/>
      <c r="DK89" s="481" t="str">
        <f t="shared" si="285"/>
        <v>0</v>
      </c>
      <c r="DL89" s="479">
        <v>44378</v>
      </c>
      <c r="DM89" s="617">
        <v>44378</v>
      </c>
      <c r="DN89" s="326"/>
      <c r="DO89" s="432">
        <f t="shared" si="302"/>
        <v>1479.2666666666667</v>
      </c>
      <c r="DP89" s="481">
        <f t="shared" si="225"/>
        <v>0</v>
      </c>
      <c r="DQ89" s="618">
        <v>28</v>
      </c>
      <c r="DR89" s="188">
        <f t="shared" si="226"/>
        <v>31</v>
      </c>
      <c r="DS89" s="479"/>
      <c r="DT89" s="484">
        <f t="shared" ca="1" si="227"/>
        <v>43647</v>
      </c>
      <c r="DU89" s="481" t="str">
        <f t="shared" ca="1" si="228"/>
        <v>0</v>
      </c>
      <c r="DV89" s="479"/>
      <c r="DW89" s="497">
        <f t="shared" ca="1" si="229"/>
        <v>43647</v>
      </c>
      <c r="DX89" s="482" t="str">
        <f t="shared" ca="1" si="230"/>
        <v>0</v>
      </c>
      <c r="DY89" s="483"/>
      <c r="DZ89" s="497">
        <f t="shared" ca="1" si="231"/>
        <v>43647</v>
      </c>
      <c r="EA89" s="481" t="str">
        <f t="shared" ca="1" si="295"/>
        <v>0</v>
      </c>
      <c r="EB89" s="484">
        <v>43528</v>
      </c>
      <c r="EC89" s="484">
        <f t="shared" ca="1" si="233"/>
        <v>43647</v>
      </c>
      <c r="ED89" s="481">
        <f t="shared" ca="1" si="234"/>
        <v>119</v>
      </c>
      <c r="EE89" s="485"/>
      <c r="EF89" s="485"/>
      <c r="EG89" s="481" t="str">
        <f t="shared" si="235"/>
        <v>0</v>
      </c>
      <c r="EH89" s="484"/>
      <c r="EI89" s="484">
        <f t="shared" ca="1" si="236"/>
        <v>43647</v>
      </c>
      <c r="EJ89" s="481" t="str">
        <f t="shared" ca="1" si="237"/>
        <v>0</v>
      </c>
      <c r="EK89" s="484">
        <v>43605</v>
      </c>
      <c r="EL89" s="484">
        <f t="shared" ca="1" si="238"/>
        <v>43647</v>
      </c>
      <c r="EM89" s="481">
        <f t="shared" ca="1" si="239"/>
        <v>42</v>
      </c>
      <c r="EN89" s="485"/>
      <c r="EO89" s="485"/>
      <c r="EP89" s="485"/>
      <c r="EQ89" s="654">
        <f t="shared" si="303"/>
        <v>45231</v>
      </c>
      <c r="ER89" s="653">
        <f t="shared" si="304"/>
        <v>45323</v>
      </c>
      <c r="ES89" s="650">
        <f t="shared" si="305"/>
        <v>3.0666666666666669</v>
      </c>
      <c r="ET89" s="904">
        <f t="shared" ca="1" si="306"/>
        <v>55.866666666666667</v>
      </c>
      <c r="EU89" s="750">
        <f t="shared" ca="1" si="243"/>
        <v>44378</v>
      </c>
      <c r="EV89" s="748"/>
      <c r="EW89" s="737"/>
      <c r="EX89" s="749">
        <f>DATE(YEAR(ER89),MONTH(ER89)+4,DAY(ER89)+2)</f>
        <v>45446</v>
      </c>
      <c r="EY89" s="443"/>
      <c r="EZ89" s="747">
        <f t="shared" si="307"/>
        <v>45261</v>
      </c>
      <c r="FA89" s="653">
        <f>DATE(YEAR(EX89),MONTH(EX89)+1,DAY(EX89))</f>
        <v>45476</v>
      </c>
      <c r="FB89" s="937"/>
      <c r="FC89" s="647">
        <f t="shared" si="244"/>
        <v>7.166666666666667</v>
      </c>
      <c r="FD89" s="635"/>
      <c r="FE89" s="192">
        <f t="shared" si="245"/>
        <v>0</v>
      </c>
      <c r="FF89" s="91"/>
      <c r="FG89" s="502"/>
      <c r="FH89" s="502">
        <v>0</v>
      </c>
      <c r="FI89" s="502"/>
      <c r="FJ89" s="502"/>
      <c r="FK89" s="502"/>
      <c r="FL89" s="664" t="e">
        <f t="shared" si="261"/>
        <v>#DIV/0!</v>
      </c>
      <c r="FM89" s="499"/>
      <c r="FN89" s="511"/>
      <c r="FO89" s="499"/>
      <c r="FP89" s="499"/>
      <c r="FQ89" s="94"/>
      <c r="FR89" s="94"/>
      <c r="FS89" s="94"/>
      <c r="FT89" s="94"/>
      <c r="FU89" s="94"/>
      <c r="FV89" s="39"/>
      <c r="FW89" s="212">
        <f t="shared" si="246"/>
        <v>45689</v>
      </c>
      <c r="FX89" s="212"/>
      <c r="FY89" s="39"/>
      <c r="FZ89" s="39"/>
      <c r="GA89" s="39"/>
      <c r="GB89" s="39"/>
      <c r="GC89" s="39"/>
      <c r="GD89" s="39"/>
      <c r="GE89" s="39"/>
      <c r="GF89" s="39"/>
      <c r="GG89" s="39"/>
      <c r="GH89" s="39"/>
      <c r="GI89" s="39"/>
      <c r="GJ89" s="39"/>
      <c r="GK89" s="39"/>
      <c r="GL89" s="742"/>
      <c r="GM89" s="979">
        <f t="shared" si="144"/>
        <v>0</v>
      </c>
      <c r="GN89" s="772">
        <f t="shared" si="284"/>
        <v>0</v>
      </c>
      <c r="GO89" s="367"/>
      <c r="GP89" s="898">
        <f>HA89+HB89+HF89</f>
        <v>0</v>
      </c>
      <c r="GQ89" s="367" t="e">
        <f t="shared" si="256"/>
        <v>#DIV/0!</v>
      </c>
      <c r="GR89" s="367">
        <f t="shared" si="299"/>
        <v>0</v>
      </c>
      <c r="GS89" s="367"/>
      <c r="GT89" s="728"/>
      <c r="GU89" s="367" t="e">
        <f>#REF!/AE89</f>
        <v>#REF!</v>
      </c>
      <c r="GV89" s="367">
        <f t="shared" si="309"/>
        <v>0</v>
      </c>
      <c r="GW89" s="367"/>
      <c r="GX89" s="367"/>
      <c r="GY89" s="727">
        <f t="shared" si="249"/>
        <v>0</v>
      </c>
      <c r="GZ89" s="367"/>
      <c r="HA89" s="367"/>
      <c r="HB89" s="367"/>
      <c r="HC89" s="369" t="e">
        <f t="shared" si="257"/>
        <v>#DIV/0!</v>
      </c>
      <c r="HD89" s="372"/>
      <c r="HE89" s="372"/>
      <c r="HF89" s="367"/>
      <c r="HG89" s="367">
        <f t="shared" si="258"/>
        <v>0</v>
      </c>
      <c r="HH89" s="370">
        <f t="shared" si="259"/>
        <v>0</v>
      </c>
      <c r="HI89" s="367"/>
      <c r="HJ89" s="367"/>
      <c r="HK89" s="368" t="e">
        <f>(#REF!+#REF!+HJ89)/AE89</f>
        <v>#REF!</v>
      </c>
      <c r="HL89" s="367"/>
      <c r="HM89" s="367">
        <f t="shared" si="260"/>
        <v>0</v>
      </c>
      <c r="HN89" s="83" t="e">
        <f>(#REF!+#REF!+HJ89+HL89)/(HI89+#REF!-HO89)</f>
        <v>#REF!</v>
      </c>
      <c r="HO89" s="367"/>
      <c r="HP89" s="367"/>
      <c r="HQ89" s="367">
        <f t="shared" si="297"/>
        <v>0</v>
      </c>
      <c r="HR89" s="898"/>
      <c r="HS89" s="898"/>
      <c r="HT89" s="898"/>
      <c r="HU89" s="898"/>
      <c r="HV89" s="898"/>
      <c r="HW89" s="898"/>
      <c r="HX89" s="898"/>
      <c r="HY89" s="898"/>
      <c r="HZ89" s="898"/>
      <c r="IA89" s="371" t="e">
        <f>#REF!+HI89</f>
        <v>#REF!</v>
      </c>
      <c r="IB89" s="373"/>
      <c r="IC89" s="373"/>
      <c r="ID89" s="373"/>
      <c r="IE89" s="373"/>
      <c r="IF89" s="373"/>
    </row>
    <row r="90" spans="1:240" ht="20.100000000000001" customHeight="1">
      <c r="A90" s="66" t="s">
        <v>516</v>
      </c>
      <c r="B90" s="66" t="s">
        <v>635</v>
      </c>
      <c r="C90" s="39" t="s">
        <v>21</v>
      </c>
      <c r="D90" s="39" t="s">
        <v>92</v>
      </c>
      <c r="E90" s="39">
        <v>2020</v>
      </c>
      <c r="F90" s="39" t="s">
        <v>831</v>
      </c>
      <c r="G90" s="39" t="s">
        <v>40</v>
      </c>
      <c r="H90" s="39" t="s">
        <v>145</v>
      </c>
      <c r="I90" s="39" t="s">
        <v>190</v>
      </c>
      <c r="J90" s="39"/>
      <c r="K90" s="39" t="s">
        <v>517</v>
      </c>
      <c r="L90" s="199" t="s">
        <v>774</v>
      </c>
      <c r="M90" s="129"/>
      <c r="N90" s="130"/>
      <c r="O90" s="131"/>
      <c r="P90" s="161">
        <v>1043</v>
      </c>
      <c r="Q90" s="161">
        <v>320000</v>
      </c>
      <c r="R90" s="161">
        <v>320000</v>
      </c>
      <c r="S90" s="161">
        <f>Q90/AE90</f>
        <v>10322.58064516129</v>
      </c>
      <c r="T90" s="161">
        <f>Q90/P90</f>
        <v>306.80728667305851</v>
      </c>
      <c r="U90" s="167">
        <f>R90/P90</f>
        <v>306.80728667305851</v>
      </c>
      <c r="V90" s="167">
        <f>R90/AL90</f>
        <v>118.02021096112709</v>
      </c>
      <c r="W90" s="167">
        <f>R90/AE90</f>
        <v>10322.58064516129</v>
      </c>
      <c r="X90" s="161">
        <f>P90/AE90</f>
        <v>33.645161290322584</v>
      </c>
      <c r="Y90" s="162"/>
      <c r="Z90" s="736">
        <f t="shared" si="213"/>
        <v>297.21955896452539</v>
      </c>
      <c r="AA90" s="162" t="s">
        <v>170</v>
      </c>
      <c r="AB90" s="162">
        <v>600</v>
      </c>
      <c r="AC90" s="163">
        <v>0.2</v>
      </c>
      <c r="AD90" s="40" t="s">
        <v>333</v>
      </c>
      <c r="AE90" s="674">
        <f t="shared" si="214"/>
        <v>31</v>
      </c>
      <c r="AF90" s="674">
        <f t="shared" si="215"/>
        <v>31</v>
      </c>
      <c r="AG90" s="50"/>
      <c r="AH90" s="50"/>
      <c r="AI90" s="39">
        <v>31</v>
      </c>
      <c r="AJ90" s="50"/>
      <c r="AK90" s="692"/>
      <c r="AL90" s="422">
        <v>2711.4</v>
      </c>
      <c r="AM90" s="875">
        <f t="shared" si="216"/>
        <v>0</v>
      </c>
      <c r="AN90" s="10">
        <f t="shared" si="217"/>
        <v>87.464516129032262</v>
      </c>
      <c r="AO90" s="43"/>
      <c r="AP90" s="43"/>
      <c r="AQ90" s="43"/>
      <c r="AR90" s="61"/>
      <c r="AS90" s="61"/>
      <c r="AT90" s="61">
        <f>25/AE90</f>
        <v>0.80645161290322576</v>
      </c>
      <c r="AU90" s="61">
        <f>6/AE90</f>
        <v>0.19354838709677419</v>
      </c>
      <c r="AV90" s="61"/>
      <c r="AW90" s="43"/>
      <c r="AX90" s="59" t="s">
        <v>136</v>
      </c>
      <c r="AY90" s="59" t="s">
        <v>136</v>
      </c>
      <c r="AZ90" s="43"/>
      <c r="BA90" s="39" t="s">
        <v>439</v>
      </c>
      <c r="BB90" s="39" t="s">
        <v>100</v>
      </c>
      <c r="BC90" s="39"/>
      <c r="BD90" s="39"/>
      <c r="BE90" s="548">
        <f>BC90/AL90</f>
        <v>0</v>
      </c>
      <c r="BF90" s="548"/>
      <c r="BG90" s="143"/>
      <c r="BH90" s="39"/>
      <c r="BI90" s="159"/>
      <c r="BJ90" s="75"/>
      <c r="BK90" s="867" t="s">
        <v>250</v>
      </c>
      <c r="BL90" s="125"/>
      <c r="BM90" s="158"/>
      <c r="BN90" s="1007">
        <f t="shared" si="308"/>
        <v>0</v>
      </c>
      <c r="BO90" s="954"/>
      <c r="BP90" s="125"/>
      <c r="BQ90" s="125"/>
      <c r="BR90" s="225"/>
      <c r="BS90" s="224">
        <f t="shared" si="218"/>
        <v>731</v>
      </c>
      <c r="BT90" s="605"/>
      <c r="BU90" s="224" t="str">
        <f>IF(FA90&gt;BS90,"oui","non")</f>
        <v>oui</v>
      </c>
      <c r="BV90" s="784">
        <f>(BS90-FA90)/30</f>
        <v>-1464.0333333333333</v>
      </c>
      <c r="BW90" s="605">
        <f>IF((BV90*FD90)&lt;0,"0",BV90*FD90)</f>
        <v>0</v>
      </c>
      <c r="BX90" s="605">
        <f>BT90-BW90</f>
        <v>0</v>
      </c>
      <c r="BY90" s="702"/>
      <c r="BZ90" s="708"/>
      <c r="CA90" s="703"/>
      <c r="CB90" s="703"/>
      <c r="CC90" s="703"/>
      <c r="CD90" s="699"/>
      <c r="CE90" s="699"/>
      <c r="CF90" s="699"/>
      <c r="CG90" s="699"/>
      <c r="CH90" s="699"/>
      <c r="CI90" s="699"/>
      <c r="CJ90" s="699"/>
      <c r="CK90" s="699"/>
      <c r="CL90" s="699"/>
      <c r="CM90" s="699"/>
      <c r="CN90" s="699"/>
      <c r="CO90" s="699"/>
      <c r="CP90" s="699"/>
      <c r="CQ90" s="95">
        <v>43437</v>
      </c>
      <c r="CR90" s="95">
        <v>43453</v>
      </c>
      <c r="CS90" s="95">
        <v>43437</v>
      </c>
      <c r="CT90" s="475">
        <f t="shared" si="219"/>
        <v>-16</v>
      </c>
      <c r="CU90" s="95">
        <v>43614</v>
      </c>
      <c r="CV90" s="95">
        <v>43614</v>
      </c>
      <c r="CW90" s="475">
        <f t="shared" si="220"/>
        <v>0</v>
      </c>
      <c r="CX90" s="490">
        <v>43631</v>
      </c>
      <c r="CY90" s="490">
        <f t="shared" ca="1" si="300"/>
        <v>43647</v>
      </c>
      <c r="CZ90" s="492">
        <f t="shared" ca="1" si="221"/>
        <v>16</v>
      </c>
      <c r="DA90" s="490">
        <v>43693</v>
      </c>
      <c r="DB90" s="490">
        <f t="shared" ca="1" si="301"/>
        <v>43693</v>
      </c>
      <c r="DC90" s="492">
        <f t="shared" ca="1" si="222"/>
        <v>0</v>
      </c>
      <c r="DD90" s="490">
        <v>43754</v>
      </c>
      <c r="DE90" s="490">
        <f t="shared" ca="1" si="298"/>
        <v>43754</v>
      </c>
      <c r="DF90" s="492">
        <f t="shared" ca="1" si="223"/>
        <v>0</v>
      </c>
      <c r="DG90" s="438"/>
      <c r="DH90" s="491"/>
      <c r="DI90" s="479">
        <v>44044</v>
      </c>
      <c r="DJ90" s="480"/>
      <c r="DK90" s="481" t="str">
        <f t="shared" si="285"/>
        <v>0</v>
      </c>
      <c r="DL90" s="479">
        <v>44378</v>
      </c>
      <c r="DM90" s="617">
        <v>44105</v>
      </c>
      <c r="DN90" s="326"/>
      <c r="DO90" s="432">
        <f t="shared" si="302"/>
        <v>1470.1666666666667</v>
      </c>
      <c r="DP90" s="481">
        <f t="shared" si="225"/>
        <v>-273</v>
      </c>
      <c r="DQ90" s="618">
        <v>16</v>
      </c>
      <c r="DR90" s="188">
        <f t="shared" si="226"/>
        <v>19</v>
      </c>
      <c r="DS90" s="479"/>
      <c r="DT90" s="484">
        <f t="shared" ca="1" si="227"/>
        <v>43647</v>
      </c>
      <c r="DU90" s="481" t="str">
        <f t="shared" ca="1" si="228"/>
        <v>0</v>
      </c>
      <c r="DV90" s="479"/>
      <c r="DW90" s="497">
        <f t="shared" ca="1" si="229"/>
        <v>43647</v>
      </c>
      <c r="DX90" s="482" t="str">
        <f t="shared" ca="1" si="230"/>
        <v>0</v>
      </c>
      <c r="DY90" s="483"/>
      <c r="DZ90" s="497">
        <f t="shared" ca="1" si="231"/>
        <v>43647</v>
      </c>
      <c r="EA90" s="481" t="str">
        <f t="shared" ca="1" si="295"/>
        <v>0</v>
      </c>
      <c r="EB90" s="484"/>
      <c r="EC90" s="484">
        <f t="shared" ca="1" si="233"/>
        <v>43647</v>
      </c>
      <c r="ED90" s="481" t="str">
        <f t="shared" ca="1" si="234"/>
        <v>0</v>
      </c>
      <c r="EE90" s="485"/>
      <c r="EF90" s="485"/>
      <c r="EG90" s="481" t="str">
        <f t="shared" si="235"/>
        <v>0</v>
      </c>
      <c r="EH90" s="484"/>
      <c r="EI90" s="484">
        <f t="shared" ca="1" si="236"/>
        <v>43647</v>
      </c>
      <c r="EJ90" s="481" t="str">
        <f t="shared" ca="1" si="237"/>
        <v>0</v>
      </c>
      <c r="EK90" s="484"/>
      <c r="EL90" s="484">
        <f t="shared" ca="1" si="238"/>
        <v>43647</v>
      </c>
      <c r="EM90" s="481" t="str">
        <f t="shared" ca="1" si="239"/>
        <v>0</v>
      </c>
      <c r="EN90" s="484"/>
      <c r="EO90" s="484"/>
      <c r="EP90" s="484"/>
      <c r="EQ90" s="654">
        <f t="shared" si="303"/>
        <v>44593</v>
      </c>
      <c r="ER90" s="653">
        <f t="shared" si="304"/>
        <v>44682</v>
      </c>
      <c r="ES90" s="650">
        <f t="shared" si="305"/>
        <v>2.9666666666666668</v>
      </c>
      <c r="ET90" s="904">
        <f t="shared" ca="1" si="306"/>
        <v>34.5</v>
      </c>
      <c r="EU90" s="653">
        <f t="shared" ca="1" si="243"/>
        <v>44378</v>
      </c>
      <c r="EV90" s="748"/>
      <c r="EW90" s="737"/>
      <c r="EX90" s="749"/>
      <c r="EY90" s="443"/>
      <c r="EZ90" s="747">
        <f t="shared" si="307"/>
        <v>44621</v>
      </c>
      <c r="FA90" s="653">
        <f>DATE(YEAR(EZ90),MONTH(EZ90)+1,DAY(EZ90))</f>
        <v>44652</v>
      </c>
      <c r="FB90" s="518"/>
      <c r="FC90" s="647">
        <f t="shared" si="244"/>
        <v>1.0333333333333334</v>
      </c>
      <c r="FD90" s="635"/>
      <c r="FE90" s="192">
        <f t="shared" si="245"/>
        <v>0</v>
      </c>
      <c r="FF90" s="91"/>
      <c r="FG90" s="502"/>
      <c r="FH90" s="502">
        <v>0</v>
      </c>
      <c r="FI90" s="502"/>
      <c r="FJ90" s="502"/>
      <c r="FK90" s="502"/>
      <c r="FL90" s="664">
        <f t="shared" si="261"/>
        <v>0</v>
      </c>
      <c r="FM90" s="499"/>
      <c r="FN90" s="511"/>
      <c r="FO90" s="499"/>
      <c r="FP90" s="499"/>
      <c r="FQ90" s="94"/>
      <c r="FR90" s="94"/>
      <c r="FS90" s="94"/>
      <c r="FT90" s="94"/>
      <c r="FU90" s="94"/>
      <c r="FV90" s="39"/>
      <c r="FW90" s="212">
        <f t="shared" si="246"/>
        <v>45047</v>
      </c>
      <c r="FX90" s="212"/>
      <c r="FY90" s="39"/>
      <c r="FZ90" s="39"/>
      <c r="GA90" s="39"/>
      <c r="GB90" s="39"/>
      <c r="GC90" s="39"/>
      <c r="GD90" s="39"/>
      <c r="GE90" s="39"/>
      <c r="GF90" s="39"/>
      <c r="GG90" s="39"/>
      <c r="GH90" s="39"/>
      <c r="GI90" s="39"/>
      <c r="GJ90" s="39"/>
      <c r="GK90" s="39"/>
      <c r="GL90" s="742"/>
      <c r="GM90" s="979">
        <f t="shared" si="144"/>
        <v>5881997.5503222402</v>
      </c>
      <c r="GN90" s="772">
        <f t="shared" si="284"/>
        <v>5881997.5503222402</v>
      </c>
      <c r="GO90" s="53">
        <f>GN90</f>
        <v>5881997.5503222402</v>
      </c>
      <c r="GP90" s="898">
        <f>HA90+HB90+HF90+HJ90</f>
        <v>0</v>
      </c>
      <c r="GQ90" s="35">
        <f t="shared" si="256"/>
        <v>2169.3580992558236</v>
      </c>
      <c r="GR90" s="35">
        <f t="shared" si="299"/>
        <v>189741.85646200774</v>
      </c>
      <c r="GS90" s="53">
        <v>2131717.4458984933</v>
      </c>
      <c r="GT90" s="577"/>
      <c r="GU90" s="35">
        <f>GS90/AE90</f>
        <v>68765.07889995139</v>
      </c>
      <c r="GV90" s="53">
        <f t="shared" si="309"/>
        <v>3750280.1044237465</v>
      </c>
      <c r="GW90" s="67">
        <v>459357.10442374652</v>
      </c>
      <c r="GX90" s="67">
        <v>3290923</v>
      </c>
      <c r="GY90" s="567">
        <f t="shared" si="249"/>
        <v>120976.77756205633</v>
      </c>
      <c r="GZ90" s="53"/>
      <c r="HA90" s="53"/>
      <c r="HB90" s="53"/>
      <c r="HC90" s="28">
        <f t="shared" si="257"/>
        <v>0</v>
      </c>
      <c r="HD90" s="53"/>
      <c r="HE90" s="53"/>
      <c r="HF90" s="53"/>
      <c r="HG90" s="35">
        <f t="shared" si="258"/>
        <v>0</v>
      </c>
      <c r="HH90" s="35">
        <f t="shared" si="259"/>
        <v>68765.07889995139</v>
      </c>
      <c r="HI90" s="70"/>
      <c r="HJ90" s="70"/>
      <c r="HK90" s="19">
        <f>(GS90+HA90+HJ90)/AE90</f>
        <v>68765.07889995139</v>
      </c>
      <c r="HL90" s="70"/>
      <c r="HM90" s="35">
        <f t="shared" si="260"/>
        <v>68765.07889995139</v>
      </c>
      <c r="HN90" s="36">
        <f>(GS90+HA90+HJ90+HL90)/(HI90+GN90-HO90)</f>
        <v>0.36241386155995747</v>
      </c>
      <c r="HO90" s="70"/>
      <c r="HP90" s="70"/>
      <c r="HQ90" s="53">
        <f t="shared" si="297"/>
        <v>0</v>
      </c>
      <c r="HR90" s="898">
        <v>55601</v>
      </c>
      <c r="HS90" s="907">
        <f>HR90/GN90</f>
        <v>9.4527411010149002E-3</v>
      </c>
      <c r="HT90" s="898">
        <f>GN90-HR90</f>
        <v>5826396.5503222402</v>
      </c>
      <c r="HU90" s="898">
        <f ca="1">IF(ET90&lt;DATEDIF(TODAY(),$HU$1,"M"),HT90,(HT90/ET90*DATEDIF(TODAY(),$HU$1,"M")))*0+100000</f>
        <v>100000</v>
      </c>
      <c r="HV90" s="907">
        <f ca="1">(HR90+HU90)/GN90</f>
        <v>2.6453768242639873E-2</v>
      </c>
      <c r="HW90" s="898"/>
      <c r="HX90" s="898">
        <f>GP90-HW90</f>
        <v>0</v>
      </c>
      <c r="HY90" s="898" t="e">
        <f>HW90/GP90</f>
        <v>#DIV/0!</v>
      </c>
      <c r="HZ90" s="898"/>
      <c r="IA90" s="73" t="e">
        <f>#REF!+HI90</f>
        <v>#REF!</v>
      </c>
      <c r="IB90" s="752"/>
      <c r="IC90" s="73"/>
      <c r="ID90" s="73"/>
      <c r="IE90" s="73"/>
      <c r="IF90" s="73"/>
    </row>
    <row r="91" spans="1:240" ht="28.5" customHeight="1">
      <c r="A91" s="221" t="s">
        <v>365</v>
      </c>
      <c r="B91" s="221"/>
      <c r="C91" s="39" t="s">
        <v>14</v>
      </c>
      <c r="D91" s="39" t="s">
        <v>92</v>
      </c>
      <c r="E91" s="39">
        <v>2020</v>
      </c>
      <c r="F91" s="39"/>
      <c r="G91" s="39" t="s">
        <v>341</v>
      </c>
      <c r="H91" s="39"/>
      <c r="I91" s="39" t="s">
        <v>318</v>
      </c>
      <c r="J91" s="39"/>
      <c r="K91" s="39" t="s">
        <v>388</v>
      </c>
      <c r="L91" s="199" t="s">
        <v>387</v>
      </c>
      <c r="M91" s="129" t="s">
        <v>46</v>
      </c>
      <c r="N91" s="228" t="s">
        <v>385</v>
      </c>
      <c r="O91" s="229" t="s">
        <v>386</v>
      </c>
      <c r="P91" s="178"/>
      <c r="Q91" s="178"/>
      <c r="R91" s="178"/>
      <c r="S91" s="178"/>
      <c r="T91" s="178"/>
      <c r="U91" s="546"/>
      <c r="V91" s="546"/>
      <c r="W91" s="546"/>
      <c r="X91" s="178"/>
      <c r="Y91" s="162"/>
      <c r="Z91" s="736" t="e">
        <f t="shared" si="213"/>
        <v>#DIV/0!</v>
      </c>
      <c r="AA91" s="162"/>
      <c r="AB91" s="162"/>
      <c r="AC91" s="163"/>
      <c r="AD91" s="39" t="s">
        <v>340</v>
      </c>
      <c r="AE91" s="674">
        <f t="shared" si="214"/>
        <v>32</v>
      </c>
      <c r="AF91" s="674">
        <f t="shared" si="215"/>
        <v>0</v>
      </c>
      <c r="AG91" s="50"/>
      <c r="AH91" s="50"/>
      <c r="AI91" s="50"/>
      <c r="AJ91" s="149">
        <v>32</v>
      </c>
      <c r="AK91" s="209"/>
      <c r="AL91" s="422"/>
      <c r="AM91" s="875">
        <f t="shared" si="216"/>
        <v>0</v>
      </c>
      <c r="AN91" s="10">
        <f t="shared" si="217"/>
        <v>0</v>
      </c>
      <c r="AO91" s="43"/>
      <c r="AP91" s="43"/>
      <c r="AQ91" s="43"/>
      <c r="AR91" s="61"/>
      <c r="AS91" s="61"/>
      <c r="AT91" s="61"/>
      <c r="AU91" s="61"/>
      <c r="AV91" s="61"/>
      <c r="AW91" s="43"/>
      <c r="AX91" s="59"/>
      <c r="AY91" s="61"/>
      <c r="AZ91" s="43"/>
      <c r="BA91" s="39"/>
      <c r="BB91" s="39"/>
      <c r="BC91" s="39"/>
      <c r="BD91" s="39"/>
      <c r="BE91" s="39"/>
      <c r="BF91" s="39"/>
      <c r="BG91" s="39"/>
      <c r="BH91" s="39"/>
      <c r="BI91" s="159"/>
      <c r="BJ91" s="75"/>
      <c r="BK91" s="867"/>
      <c r="BL91" s="125"/>
      <c r="BM91" s="158"/>
      <c r="BN91" s="1007">
        <f t="shared" si="308"/>
        <v>0</v>
      </c>
      <c r="BO91" s="954"/>
      <c r="BP91" s="125"/>
      <c r="BQ91" s="125"/>
      <c r="BR91" s="225"/>
      <c r="BS91" s="224">
        <f t="shared" si="218"/>
        <v>731</v>
      </c>
      <c r="BT91" s="605"/>
      <c r="BU91" s="782"/>
      <c r="BV91" s="783"/>
      <c r="BW91" s="783"/>
      <c r="BX91" s="783"/>
      <c r="BY91" s="702"/>
      <c r="BZ91" s="708"/>
      <c r="CA91" s="703"/>
      <c r="CB91" s="703"/>
      <c r="CC91" s="703"/>
      <c r="CD91" s="699"/>
      <c r="CE91" s="699"/>
      <c r="CF91" s="699"/>
      <c r="CG91" s="699"/>
      <c r="CH91" s="699"/>
      <c r="CI91" s="699"/>
      <c r="CJ91" s="699"/>
      <c r="CK91" s="699"/>
      <c r="CL91" s="699"/>
      <c r="CM91" s="699"/>
      <c r="CN91" s="699"/>
      <c r="CO91" s="699"/>
      <c r="CP91" s="699"/>
      <c r="CQ91" s="490"/>
      <c r="CR91" s="490"/>
      <c r="CS91" s="490"/>
      <c r="CT91" s="492" t="str">
        <f t="shared" si="219"/>
        <v>0</v>
      </c>
      <c r="CU91" s="490"/>
      <c r="CV91" s="490"/>
      <c r="CW91" s="492" t="str">
        <f t="shared" si="220"/>
        <v>0</v>
      </c>
      <c r="CX91" s="490"/>
      <c r="CY91" s="490">
        <f t="shared" ca="1" si="300"/>
        <v>43647</v>
      </c>
      <c r="CZ91" s="492" t="str">
        <f t="shared" ca="1" si="221"/>
        <v>0</v>
      </c>
      <c r="DA91" s="493"/>
      <c r="DB91" s="490">
        <f t="shared" ca="1" si="301"/>
        <v>43647</v>
      </c>
      <c r="DC91" s="492" t="str">
        <f t="shared" ca="1" si="222"/>
        <v>0</v>
      </c>
      <c r="DD91" s="493"/>
      <c r="DE91" s="490">
        <f t="shared" ca="1" si="298"/>
        <v>43647</v>
      </c>
      <c r="DF91" s="492" t="str">
        <f t="shared" ca="1" si="223"/>
        <v>0</v>
      </c>
      <c r="DG91" s="438"/>
      <c r="DH91" s="494"/>
      <c r="DI91" s="479"/>
      <c r="DJ91" s="480"/>
      <c r="DK91" s="481" t="str">
        <f t="shared" si="285"/>
        <v>0</v>
      </c>
      <c r="DL91" s="479">
        <v>44378</v>
      </c>
      <c r="DM91" s="617">
        <v>44378</v>
      </c>
      <c r="DN91" s="326"/>
      <c r="DO91" s="432">
        <f t="shared" si="302"/>
        <v>1479.2666666666667</v>
      </c>
      <c r="DP91" s="481">
        <f t="shared" si="225"/>
        <v>0</v>
      </c>
      <c r="DQ91" s="618">
        <v>29</v>
      </c>
      <c r="DR91" s="188">
        <f t="shared" si="226"/>
        <v>32</v>
      </c>
      <c r="DS91" s="479"/>
      <c r="DT91" s="484">
        <f t="shared" ca="1" si="227"/>
        <v>43647</v>
      </c>
      <c r="DU91" s="481" t="str">
        <f t="shared" ca="1" si="228"/>
        <v>0</v>
      </c>
      <c r="DV91" s="479"/>
      <c r="DW91" s="497">
        <f t="shared" ca="1" si="229"/>
        <v>43647</v>
      </c>
      <c r="DX91" s="482" t="str">
        <f t="shared" ca="1" si="230"/>
        <v>0</v>
      </c>
      <c r="DY91" s="483"/>
      <c r="DZ91" s="497">
        <f t="shared" ca="1" si="231"/>
        <v>43647</v>
      </c>
      <c r="EA91" s="481" t="str">
        <f t="shared" ca="1" si="295"/>
        <v>0</v>
      </c>
      <c r="EB91" s="484">
        <v>43529</v>
      </c>
      <c r="EC91" s="484">
        <f t="shared" ca="1" si="233"/>
        <v>43647</v>
      </c>
      <c r="ED91" s="481">
        <f t="shared" ca="1" si="234"/>
        <v>118</v>
      </c>
      <c r="EE91" s="485"/>
      <c r="EF91" s="485"/>
      <c r="EG91" s="481" t="str">
        <f t="shared" si="235"/>
        <v>0</v>
      </c>
      <c r="EH91" s="484"/>
      <c r="EI91" s="484">
        <f t="shared" ca="1" si="236"/>
        <v>43647</v>
      </c>
      <c r="EJ91" s="481" t="str">
        <f t="shared" ca="1" si="237"/>
        <v>0</v>
      </c>
      <c r="EK91" s="484">
        <v>43606</v>
      </c>
      <c r="EL91" s="484">
        <f t="shared" ca="1" si="238"/>
        <v>43647</v>
      </c>
      <c r="EM91" s="481">
        <f t="shared" ca="1" si="239"/>
        <v>41</v>
      </c>
      <c r="EN91" s="485"/>
      <c r="EO91" s="485"/>
      <c r="EP91" s="485"/>
      <c r="EQ91" s="654">
        <f t="shared" si="303"/>
        <v>45261</v>
      </c>
      <c r="ER91" s="653">
        <f t="shared" si="304"/>
        <v>45352</v>
      </c>
      <c r="ES91" s="650">
        <f t="shared" si="305"/>
        <v>3.0333333333333332</v>
      </c>
      <c r="ET91" s="904">
        <f t="shared" ca="1" si="306"/>
        <v>56.833333333333336</v>
      </c>
      <c r="EU91" s="750">
        <f t="shared" ca="1" si="243"/>
        <v>44378</v>
      </c>
      <c r="EV91" s="848"/>
      <c r="EW91" s="737"/>
      <c r="EX91" s="749">
        <f t="shared" ref="EX91:EX96" si="310">DATE(YEAR(ER91),MONTH(ER91)+4,DAY(ER91)+2)</f>
        <v>45476</v>
      </c>
      <c r="EY91" s="443"/>
      <c r="EZ91" s="747">
        <f t="shared" si="307"/>
        <v>45292</v>
      </c>
      <c r="FA91" s="653">
        <f>DATE(YEAR(EX91),MONTH(EX91)+1,DAY(EX91))</f>
        <v>45507</v>
      </c>
      <c r="FB91" s="937"/>
      <c r="FC91" s="647">
        <f t="shared" si="244"/>
        <v>7.166666666666667</v>
      </c>
      <c r="FD91" s="635"/>
      <c r="FE91" s="192">
        <f t="shared" si="245"/>
        <v>0</v>
      </c>
      <c r="FF91" s="91"/>
      <c r="FG91" s="502"/>
      <c r="FH91" s="502">
        <v>0</v>
      </c>
      <c r="FI91" s="502"/>
      <c r="FJ91" s="502"/>
      <c r="FK91" s="502"/>
      <c r="FL91" s="664" t="e">
        <f t="shared" si="261"/>
        <v>#DIV/0!</v>
      </c>
      <c r="FM91" s="499"/>
      <c r="FN91" s="511"/>
      <c r="FO91" s="499"/>
      <c r="FP91" s="499"/>
      <c r="FQ91" s="94"/>
      <c r="FR91" s="94"/>
      <c r="FS91" s="94"/>
      <c r="FT91" s="94"/>
      <c r="FU91" s="94"/>
      <c r="FV91" s="39"/>
      <c r="FW91" s="212">
        <f t="shared" si="246"/>
        <v>45717</v>
      </c>
      <c r="FX91" s="212"/>
      <c r="FY91" s="39"/>
      <c r="FZ91" s="39"/>
      <c r="GA91" s="39"/>
      <c r="GB91" s="39"/>
      <c r="GC91" s="39"/>
      <c r="GD91" s="39"/>
      <c r="GE91" s="39"/>
      <c r="GF91" s="39"/>
      <c r="GG91" s="39"/>
      <c r="GH91" s="39"/>
      <c r="GI91" s="39"/>
      <c r="GJ91" s="39"/>
      <c r="GK91" s="39"/>
      <c r="GL91" s="742"/>
      <c r="GM91" s="979">
        <f t="shared" si="144"/>
        <v>0</v>
      </c>
      <c r="GN91" s="772">
        <f t="shared" si="284"/>
        <v>0</v>
      </c>
      <c r="GO91" s="367"/>
      <c r="GP91" s="898">
        <f>HA91+HB91+HF91</f>
        <v>0</v>
      </c>
      <c r="GQ91" s="367" t="e">
        <f t="shared" si="256"/>
        <v>#DIV/0!</v>
      </c>
      <c r="GR91" s="367">
        <f t="shared" si="299"/>
        <v>0</v>
      </c>
      <c r="GS91" s="367"/>
      <c r="GT91" s="367"/>
      <c r="GU91" s="367" t="e">
        <f>#REF!/AE91</f>
        <v>#REF!</v>
      </c>
      <c r="GV91" s="367">
        <f t="shared" si="309"/>
        <v>0</v>
      </c>
      <c r="GW91" s="367"/>
      <c r="GX91" s="367"/>
      <c r="GY91" s="727">
        <f t="shared" si="249"/>
        <v>0</v>
      </c>
      <c r="GZ91" s="367"/>
      <c r="HA91" s="367"/>
      <c r="HB91" s="367"/>
      <c r="HC91" s="369" t="e">
        <f t="shared" si="257"/>
        <v>#DIV/0!</v>
      </c>
      <c r="HD91" s="372"/>
      <c r="HE91" s="372"/>
      <c r="HF91" s="367"/>
      <c r="HG91" s="367">
        <f t="shared" si="258"/>
        <v>0</v>
      </c>
      <c r="HH91" s="370">
        <f t="shared" si="259"/>
        <v>0</v>
      </c>
      <c r="HI91" s="367"/>
      <c r="HJ91" s="367"/>
      <c r="HK91" s="368" t="e">
        <f>(#REF!+#REF!+HJ91)/AE91</f>
        <v>#REF!</v>
      </c>
      <c r="HL91" s="367"/>
      <c r="HM91" s="367">
        <f t="shared" si="260"/>
        <v>0</v>
      </c>
      <c r="HN91" s="83" t="e">
        <f>(#REF!+#REF!+HJ91+HL91)/(HI91+#REF!-HO91)</f>
        <v>#REF!</v>
      </c>
      <c r="HO91" s="367"/>
      <c r="HP91" s="367"/>
      <c r="HQ91" s="367">
        <f t="shared" si="297"/>
        <v>0</v>
      </c>
      <c r="HR91" s="898"/>
      <c r="HS91" s="898"/>
      <c r="HT91" s="898"/>
      <c r="HU91" s="898"/>
      <c r="HV91" s="898"/>
      <c r="HW91" s="898"/>
      <c r="HX91" s="898"/>
      <c r="HY91" s="898"/>
      <c r="HZ91" s="898"/>
      <c r="IA91" s="373" t="e">
        <f>#REF!+HI91</f>
        <v>#REF!</v>
      </c>
      <c r="IB91" s="373"/>
      <c r="IC91" s="373"/>
      <c r="ID91" s="373"/>
      <c r="IE91" s="373"/>
      <c r="IF91" s="373"/>
    </row>
    <row r="92" spans="1:240" ht="20.100000000000001" customHeight="1">
      <c r="A92" s="676" t="s">
        <v>832</v>
      </c>
      <c r="B92" s="66"/>
      <c r="C92" s="39" t="s">
        <v>21</v>
      </c>
      <c r="D92" s="39" t="s">
        <v>92</v>
      </c>
      <c r="E92" s="39">
        <v>2020</v>
      </c>
      <c r="F92" s="39" t="s">
        <v>968</v>
      </c>
      <c r="G92" s="39" t="s">
        <v>854</v>
      </c>
      <c r="H92" s="39" t="s">
        <v>371</v>
      </c>
      <c r="I92" s="41" t="s">
        <v>190</v>
      </c>
      <c r="J92" s="39"/>
      <c r="K92" s="39" t="s">
        <v>834</v>
      </c>
      <c r="L92" s="199" t="s">
        <v>833</v>
      </c>
      <c r="M92" s="129"/>
      <c r="N92" s="130"/>
      <c r="O92" s="131"/>
      <c r="P92" s="161">
        <v>4330</v>
      </c>
      <c r="Q92" s="161">
        <v>400000</v>
      </c>
      <c r="R92" s="161">
        <v>400000</v>
      </c>
      <c r="S92" s="161">
        <f>Q92/AE92</f>
        <v>12500</v>
      </c>
      <c r="T92" s="161">
        <f>Q92/P92</f>
        <v>92.378752886836025</v>
      </c>
      <c r="U92" s="167">
        <f>R92/P92</f>
        <v>92.378752886836025</v>
      </c>
      <c r="V92" s="167" t="e">
        <f>R92/AL92</f>
        <v>#DIV/0!</v>
      </c>
      <c r="W92" s="167">
        <f>R92/AE92</f>
        <v>12500</v>
      </c>
      <c r="X92" s="161">
        <f>P92/AE92</f>
        <v>135.3125</v>
      </c>
      <c r="Y92" s="162"/>
      <c r="Z92" s="736">
        <f t="shared" si="213"/>
        <v>73.903002309468818</v>
      </c>
      <c r="AA92" s="162" t="s">
        <v>835</v>
      </c>
      <c r="AB92" s="162">
        <v>760</v>
      </c>
      <c r="AC92" s="163">
        <v>0.2</v>
      </c>
      <c r="AD92" s="39" t="s">
        <v>10</v>
      </c>
      <c r="AE92" s="674">
        <f t="shared" si="214"/>
        <v>32</v>
      </c>
      <c r="AF92" s="674">
        <f t="shared" si="215"/>
        <v>32</v>
      </c>
      <c r="AG92" s="39">
        <v>20</v>
      </c>
      <c r="AH92" s="39">
        <v>12</v>
      </c>
      <c r="AI92" s="50"/>
      <c r="AJ92" s="50"/>
      <c r="AK92" s="692"/>
      <c r="AL92" s="422"/>
      <c r="AM92" s="875">
        <f t="shared" si="216"/>
        <v>0</v>
      </c>
      <c r="AN92" s="10">
        <f t="shared" si="217"/>
        <v>0</v>
      </c>
      <c r="AO92" s="43"/>
      <c r="AP92" s="43"/>
      <c r="AQ92" s="43"/>
      <c r="AR92" s="61"/>
      <c r="AS92" s="61"/>
      <c r="AT92" s="61"/>
      <c r="AU92" s="61"/>
      <c r="AV92" s="61"/>
      <c r="AW92" s="43"/>
      <c r="AX92" s="59"/>
      <c r="AY92" s="61"/>
      <c r="AZ92" s="43"/>
      <c r="BA92" s="42" t="s">
        <v>439</v>
      </c>
      <c r="BB92" s="39"/>
      <c r="BC92" s="50"/>
      <c r="BD92" s="50"/>
      <c r="BE92" s="50"/>
      <c r="BF92" s="50"/>
      <c r="BG92" s="531"/>
      <c r="BH92" s="143"/>
      <c r="BI92" s="159"/>
      <c r="BJ92" s="75"/>
      <c r="BK92" s="867" t="s">
        <v>250</v>
      </c>
      <c r="BL92" s="125"/>
      <c r="BM92" s="158"/>
      <c r="BN92" s="1007">
        <f t="shared" si="308"/>
        <v>0</v>
      </c>
      <c r="BO92" s="954"/>
      <c r="BP92" s="125"/>
      <c r="BQ92" s="125"/>
      <c r="BR92" s="225"/>
      <c r="BS92" s="224">
        <f t="shared" si="218"/>
        <v>731</v>
      </c>
      <c r="BT92" s="605"/>
      <c r="BU92" s="224" t="str">
        <f>IF(FA92&gt;BS92,"oui","non")</f>
        <v>oui</v>
      </c>
      <c r="BV92" s="784">
        <f>(BS92-FA92)/30</f>
        <v>-1468.7333333333333</v>
      </c>
      <c r="BW92" s="605">
        <f>IF((BV92*FD92)&lt;0,"0",BV92*FD92)</f>
        <v>0</v>
      </c>
      <c r="BX92" s="605">
        <f>BT92-BW92</f>
        <v>0</v>
      </c>
      <c r="BY92" s="702"/>
      <c r="BZ92" s="708"/>
      <c r="CA92" s="703"/>
      <c r="CB92" s="703"/>
      <c r="CC92" s="703"/>
      <c r="CD92" s="699"/>
      <c r="CE92" s="699"/>
      <c r="CF92" s="699"/>
      <c r="CG92" s="699"/>
      <c r="CH92" s="699"/>
      <c r="CI92" s="699"/>
      <c r="CJ92" s="699"/>
      <c r="CK92" s="699"/>
      <c r="CL92" s="699"/>
      <c r="CM92" s="699"/>
      <c r="CN92" s="699"/>
      <c r="CO92" s="699"/>
      <c r="CP92" s="699"/>
      <c r="CQ92" s="488"/>
      <c r="CR92" s="490"/>
      <c r="CS92" s="490"/>
      <c r="CT92" s="492" t="str">
        <f t="shared" si="219"/>
        <v>0</v>
      </c>
      <c r="CU92" s="490"/>
      <c r="CV92" s="490"/>
      <c r="CW92" s="492" t="str">
        <f t="shared" si="220"/>
        <v>0</v>
      </c>
      <c r="CX92" s="490"/>
      <c r="CY92" s="490">
        <f t="shared" ca="1" si="300"/>
        <v>43647</v>
      </c>
      <c r="CZ92" s="492" t="str">
        <f t="shared" ca="1" si="221"/>
        <v>0</v>
      </c>
      <c r="DA92" s="490"/>
      <c r="DB92" s="490">
        <f t="shared" ca="1" si="301"/>
        <v>43647</v>
      </c>
      <c r="DC92" s="492" t="str">
        <f t="shared" ca="1" si="222"/>
        <v>0</v>
      </c>
      <c r="DD92" s="493"/>
      <c r="DE92" s="490">
        <f t="shared" ca="1" si="298"/>
        <v>43647</v>
      </c>
      <c r="DF92" s="492" t="str">
        <f t="shared" ca="1" si="223"/>
        <v>0</v>
      </c>
      <c r="DG92" s="438"/>
      <c r="DH92" s="494"/>
      <c r="DI92" s="479"/>
      <c r="DJ92" s="480"/>
      <c r="DK92" s="481" t="str">
        <f t="shared" si="285"/>
        <v>0</v>
      </c>
      <c r="DL92" s="479">
        <v>44378</v>
      </c>
      <c r="DM92" s="617">
        <v>44247</v>
      </c>
      <c r="DN92" s="326"/>
      <c r="DO92" s="432">
        <f t="shared" si="302"/>
        <v>1474.9</v>
      </c>
      <c r="DP92" s="481">
        <f t="shared" si="225"/>
        <v>-131</v>
      </c>
      <c r="DQ92" s="618">
        <v>16</v>
      </c>
      <c r="DR92" s="188">
        <f t="shared" si="226"/>
        <v>19</v>
      </c>
      <c r="DS92" s="479"/>
      <c r="DT92" s="484">
        <f t="shared" ca="1" si="227"/>
        <v>43647</v>
      </c>
      <c r="DU92" s="481" t="str">
        <f t="shared" ca="1" si="228"/>
        <v>0</v>
      </c>
      <c r="DV92" s="479"/>
      <c r="DW92" s="497">
        <f t="shared" ca="1" si="229"/>
        <v>43647</v>
      </c>
      <c r="DX92" s="482" t="str">
        <f t="shared" ca="1" si="230"/>
        <v>0</v>
      </c>
      <c r="DY92" s="483"/>
      <c r="DZ92" s="497">
        <f t="shared" ca="1" si="231"/>
        <v>43647</v>
      </c>
      <c r="EA92" s="481" t="str">
        <f t="shared" ca="1" si="295"/>
        <v>0</v>
      </c>
      <c r="EB92" s="484"/>
      <c r="EC92" s="484">
        <f t="shared" ca="1" si="233"/>
        <v>43647</v>
      </c>
      <c r="ED92" s="481" t="str">
        <f t="shared" ca="1" si="234"/>
        <v>0</v>
      </c>
      <c r="EE92" s="485"/>
      <c r="EF92" s="485"/>
      <c r="EG92" s="481" t="str">
        <f t="shared" si="235"/>
        <v>0</v>
      </c>
      <c r="EH92" s="484"/>
      <c r="EI92" s="484">
        <f t="shared" ca="1" si="236"/>
        <v>43647</v>
      </c>
      <c r="EJ92" s="481" t="str">
        <f t="shared" ca="1" si="237"/>
        <v>0</v>
      </c>
      <c r="EK92" s="484"/>
      <c r="EL92" s="484">
        <f t="shared" ca="1" si="238"/>
        <v>43647</v>
      </c>
      <c r="EM92" s="481" t="str">
        <f t="shared" ca="1" si="239"/>
        <v>0</v>
      </c>
      <c r="EN92" s="484"/>
      <c r="EO92" s="484"/>
      <c r="EP92" s="484"/>
      <c r="EQ92" s="654">
        <f t="shared" si="303"/>
        <v>44732</v>
      </c>
      <c r="ER92" s="653">
        <f t="shared" si="304"/>
        <v>44824</v>
      </c>
      <c r="ES92" s="650">
        <f t="shared" si="305"/>
        <v>3.0666666666666669</v>
      </c>
      <c r="ET92" s="904">
        <f t="shared" ca="1" si="306"/>
        <v>39.233333333333334</v>
      </c>
      <c r="EU92" s="653">
        <f t="shared" ca="1" si="243"/>
        <v>44378</v>
      </c>
      <c r="EV92" s="748"/>
      <c r="EW92" s="737"/>
      <c r="EX92" s="749">
        <f t="shared" si="310"/>
        <v>44948</v>
      </c>
      <c r="EY92" s="443"/>
      <c r="EZ92" s="747">
        <f t="shared" si="307"/>
        <v>44762</v>
      </c>
      <c r="FA92" s="653">
        <f>DATE(YEAR(EZ92),MONTH(EZ92)+1,DAY(EZ92))</f>
        <v>44793</v>
      </c>
      <c r="FB92" s="518"/>
      <c r="FC92" s="647">
        <f t="shared" si="244"/>
        <v>1.0333333333333334</v>
      </c>
      <c r="FD92" s="635"/>
      <c r="FE92" s="192">
        <f t="shared" si="245"/>
        <v>0</v>
      </c>
      <c r="FF92" s="91"/>
      <c r="FG92" s="502"/>
      <c r="FH92" s="502"/>
      <c r="FI92" s="502"/>
      <c r="FJ92" s="502"/>
      <c r="FK92" s="502"/>
      <c r="FL92" s="664">
        <f t="shared" si="261"/>
        <v>0</v>
      </c>
      <c r="FM92" s="499"/>
      <c r="FN92" s="511"/>
      <c r="FO92" s="499"/>
      <c r="FP92" s="499"/>
      <c r="FQ92" s="94"/>
      <c r="FR92" s="94"/>
      <c r="FS92" s="94"/>
      <c r="FT92" s="94"/>
      <c r="FU92" s="94"/>
      <c r="FV92" s="39"/>
      <c r="FW92" s="212">
        <f t="shared" si="246"/>
        <v>45189</v>
      </c>
      <c r="FX92" s="212"/>
      <c r="FY92" s="39"/>
      <c r="FZ92" s="39"/>
      <c r="GA92" s="39"/>
      <c r="GB92" s="39"/>
      <c r="GC92" s="39"/>
      <c r="GD92" s="39"/>
      <c r="GE92" s="39"/>
      <c r="GF92" s="39"/>
      <c r="GG92" s="39"/>
      <c r="GH92" s="39"/>
      <c r="GI92" s="39"/>
      <c r="GJ92" s="39"/>
      <c r="GK92" s="39"/>
      <c r="GL92" s="742"/>
      <c r="GM92" s="979">
        <f t="shared" si="144"/>
        <v>6231890.3376558647</v>
      </c>
      <c r="GN92" s="772">
        <f t="shared" si="284"/>
        <v>6231890.3376558647</v>
      </c>
      <c r="GO92" s="53">
        <f>GN92</f>
        <v>6231890.3376558647</v>
      </c>
      <c r="GP92" s="898">
        <f>HA92+HB92+HF92+HJ92</f>
        <v>760000</v>
      </c>
      <c r="GQ92" s="35" t="e">
        <f t="shared" si="256"/>
        <v>#DIV/0!</v>
      </c>
      <c r="GR92" s="35">
        <f t="shared" si="299"/>
        <v>194746.57305174577</v>
      </c>
      <c r="GS92" s="53">
        <v>2040455.046320396</v>
      </c>
      <c r="GT92" s="577"/>
      <c r="GU92" s="35">
        <f>GS92/AE92</f>
        <v>63764.220197512375</v>
      </c>
      <c r="GV92" s="53">
        <f t="shared" si="309"/>
        <v>3431435.2913354686</v>
      </c>
      <c r="GW92" s="67">
        <v>840587.60808748857</v>
      </c>
      <c r="GX92" s="67">
        <v>2590847.6832479802</v>
      </c>
      <c r="GY92" s="567">
        <f t="shared" si="249"/>
        <v>107232.3528542334</v>
      </c>
      <c r="GZ92" s="53"/>
      <c r="HA92" s="53">
        <v>760000</v>
      </c>
      <c r="HB92" s="53"/>
      <c r="HC92" s="28">
        <f t="shared" si="257"/>
        <v>0.12195336548330137</v>
      </c>
      <c r="HD92" s="53"/>
      <c r="HE92" s="53"/>
      <c r="HF92" s="53"/>
      <c r="HG92" s="35">
        <f t="shared" si="258"/>
        <v>23750</v>
      </c>
      <c r="HH92" s="35">
        <f t="shared" si="259"/>
        <v>87514.220197512375</v>
      </c>
      <c r="HI92" s="70"/>
      <c r="HJ92" s="70"/>
      <c r="HK92" s="19">
        <f>(GS92+HA92+HJ92)/AE92</f>
        <v>87514.220197512375</v>
      </c>
      <c r="HL92" s="70"/>
      <c r="HM92" s="35">
        <f t="shared" si="260"/>
        <v>87514.220197512375</v>
      </c>
      <c r="HN92" s="36">
        <f>(GS92+HA92+HJ92+HL92)/(HI92+GN92-HO92)</f>
        <v>0.44937489182035117</v>
      </c>
      <c r="HO92" s="70"/>
      <c r="HP92" s="70"/>
      <c r="HQ92" s="53"/>
      <c r="HR92" s="898">
        <v>31301</v>
      </c>
      <c r="HS92" s="907">
        <f>HR92/GN92</f>
        <v>5.0227135434116003E-3</v>
      </c>
      <c r="HT92" s="898">
        <f>GN92-HR92</f>
        <v>6200589.3376558647</v>
      </c>
      <c r="HU92" s="898">
        <f ca="1">IF(ET92&lt;DATEDIF(TODAY(),$HU$1,"M"),HT92,(HT92/ET92*DATEDIF(TODAY(),$HU$1,"M")))*0+100000</f>
        <v>100000</v>
      </c>
      <c r="HV92" s="907">
        <f ca="1">(HR92+HU92)/GN92</f>
        <v>2.1069209001740728E-2</v>
      </c>
      <c r="HW92" s="898"/>
      <c r="HX92" s="898">
        <f>GP92-HW92</f>
        <v>760000</v>
      </c>
      <c r="HY92" s="898">
        <f>HW92/GP92</f>
        <v>0</v>
      </c>
      <c r="HZ92" s="898"/>
      <c r="IA92" s="73" t="e">
        <f>#REF!+HI92</f>
        <v>#REF!</v>
      </c>
      <c r="IB92" s="752"/>
      <c r="IC92" s="73"/>
      <c r="ID92" s="73"/>
      <c r="IE92" s="73"/>
      <c r="IF92" s="73"/>
    </row>
    <row r="93" spans="1:240" ht="20.100000000000001" customHeight="1">
      <c r="A93" s="221" t="s">
        <v>368</v>
      </c>
      <c r="B93" s="221"/>
      <c r="C93" s="39" t="s">
        <v>14</v>
      </c>
      <c r="D93" s="39" t="s">
        <v>92</v>
      </c>
      <c r="E93" s="39">
        <v>2020</v>
      </c>
      <c r="F93" s="39"/>
      <c r="G93" s="39" t="s">
        <v>341</v>
      </c>
      <c r="H93" s="39"/>
      <c r="I93" s="39" t="s">
        <v>318</v>
      </c>
      <c r="J93" s="39"/>
      <c r="K93" s="39"/>
      <c r="L93" s="199" t="s">
        <v>397</v>
      </c>
      <c r="M93" s="129" t="s">
        <v>46</v>
      </c>
      <c r="N93" s="130" t="s">
        <v>396</v>
      </c>
      <c r="O93" s="131">
        <v>37125</v>
      </c>
      <c r="P93" s="178"/>
      <c r="Q93" s="178"/>
      <c r="R93" s="178"/>
      <c r="S93" s="178"/>
      <c r="T93" s="178"/>
      <c r="U93" s="546"/>
      <c r="V93" s="546"/>
      <c r="W93" s="546"/>
      <c r="X93" s="178"/>
      <c r="Y93" s="162"/>
      <c r="Z93" s="736" t="e">
        <f t="shared" si="213"/>
        <v>#DIV/0!</v>
      </c>
      <c r="AA93" s="162"/>
      <c r="AB93" s="162"/>
      <c r="AC93" s="163"/>
      <c r="AD93" s="39" t="s">
        <v>340</v>
      </c>
      <c r="AE93" s="675">
        <f t="shared" si="214"/>
        <v>18</v>
      </c>
      <c r="AF93" s="675">
        <f t="shared" si="215"/>
        <v>0</v>
      </c>
      <c r="AG93" s="50"/>
      <c r="AH93" s="50"/>
      <c r="AI93" s="50"/>
      <c r="AJ93" s="149">
        <v>18</v>
      </c>
      <c r="AK93" s="209"/>
      <c r="AL93" s="422"/>
      <c r="AM93" s="875">
        <f t="shared" si="216"/>
        <v>0</v>
      </c>
      <c r="AN93" s="10">
        <f t="shared" si="217"/>
        <v>0</v>
      </c>
      <c r="AO93" s="43"/>
      <c r="AP93" s="43"/>
      <c r="AQ93" s="43"/>
      <c r="AR93" s="61"/>
      <c r="AS93" s="61"/>
      <c r="AT93" s="61"/>
      <c r="AU93" s="61"/>
      <c r="AV93" s="61"/>
      <c r="AW93" s="43"/>
      <c r="AX93" s="59"/>
      <c r="AY93" s="61"/>
      <c r="AZ93" s="43"/>
      <c r="BA93" s="39"/>
      <c r="BB93" s="39"/>
      <c r="BC93" s="39"/>
      <c r="BD93" s="39"/>
      <c r="BE93" s="39"/>
      <c r="BF93" s="39"/>
      <c r="BG93" s="39"/>
      <c r="BH93" s="39"/>
      <c r="BI93" s="159"/>
      <c r="BJ93" s="75"/>
      <c r="BK93" s="867"/>
      <c r="BL93" s="125"/>
      <c r="BM93" s="158"/>
      <c r="BN93" s="1007">
        <f t="shared" si="308"/>
        <v>0</v>
      </c>
      <c r="BO93" s="954"/>
      <c r="BP93" s="125"/>
      <c r="BQ93" s="125"/>
      <c r="BR93" s="225"/>
      <c r="BS93" s="224">
        <f t="shared" si="218"/>
        <v>731</v>
      </c>
      <c r="BT93" s="605"/>
      <c r="BU93" s="782"/>
      <c r="BV93" s="783"/>
      <c r="BW93" s="783"/>
      <c r="BX93" s="783"/>
      <c r="BY93" s="702"/>
      <c r="BZ93" s="708"/>
      <c r="CA93" s="703"/>
      <c r="CB93" s="703"/>
      <c r="CC93" s="703"/>
      <c r="CD93" s="699"/>
      <c r="CE93" s="699"/>
      <c r="CF93" s="699"/>
      <c r="CG93" s="699"/>
      <c r="CH93" s="699"/>
      <c r="CI93" s="699"/>
      <c r="CJ93" s="699"/>
      <c r="CK93" s="699"/>
      <c r="CL93" s="699"/>
      <c r="CM93" s="699"/>
      <c r="CN93" s="699"/>
      <c r="CO93" s="699"/>
      <c r="CP93" s="699"/>
      <c r="CQ93" s="490"/>
      <c r="CR93" s="490"/>
      <c r="CS93" s="490"/>
      <c r="CT93" s="492" t="str">
        <f t="shared" si="219"/>
        <v>0</v>
      </c>
      <c r="CU93" s="490"/>
      <c r="CV93" s="490"/>
      <c r="CW93" s="492" t="str">
        <f t="shared" si="220"/>
        <v>0</v>
      </c>
      <c r="CX93" s="490"/>
      <c r="CY93" s="490">
        <f t="shared" ca="1" si="300"/>
        <v>43647</v>
      </c>
      <c r="CZ93" s="492" t="str">
        <f t="shared" ca="1" si="221"/>
        <v>0</v>
      </c>
      <c r="DA93" s="490"/>
      <c r="DB93" s="490">
        <f t="shared" ca="1" si="301"/>
        <v>43647</v>
      </c>
      <c r="DC93" s="492" t="str">
        <f t="shared" ca="1" si="222"/>
        <v>0</v>
      </c>
      <c r="DD93" s="493"/>
      <c r="DE93" s="490">
        <f t="shared" ca="1" si="298"/>
        <v>43647</v>
      </c>
      <c r="DF93" s="492" t="str">
        <f t="shared" ca="1" si="223"/>
        <v>0</v>
      </c>
      <c r="DG93" s="438"/>
      <c r="DH93" s="494"/>
      <c r="DI93" s="479"/>
      <c r="DJ93" s="480"/>
      <c r="DK93" s="481" t="str">
        <f t="shared" si="285"/>
        <v>0</v>
      </c>
      <c r="DL93" s="479">
        <v>44378</v>
      </c>
      <c r="DM93" s="617">
        <v>44378</v>
      </c>
      <c r="DN93" s="326"/>
      <c r="DO93" s="432">
        <f t="shared" si="302"/>
        <v>1479.2666666666667</v>
      </c>
      <c r="DP93" s="481">
        <f t="shared" si="225"/>
        <v>0</v>
      </c>
      <c r="DQ93" s="618">
        <v>30</v>
      </c>
      <c r="DR93" s="188">
        <f t="shared" si="226"/>
        <v>33</v>
      </c>
      <c r="DS93" s="479"/>
      <c r="DT93" s="484">
        <f t="shared" ca="1" si="227"/>
        <v>43647</v>
      </c>
      <c r="DU93" s="481" t="str">
        <f t="shared" ca="1" si="228"/>
        <v>0</v>
      </c>
      <c r="DV93" s="479"/>
      <c r="DW93" s="497">
        <f t="shared" ca="1" si="229"/>
        <v>43647</v>
      </c>
      <c r="DX93" s="482" t="str">
        <f t="shared" ca="1" si="230"/>
        <v>0</v>
      </c>
      <c r="DY93" s="483"/>
      <c r="DZ93" s="497">
        <f t="shared" ca="1" si="231"/>
        <v>43647</v>
      </c>
      <c r="EA93" s="481" t="str">
        <f t="shared" ca="1" si="295"/>
        <v>0</v>
      </c>
      <c r="EB93" s="484">
        <v>43530</v>
      </c>
      <c r="EC93" s="484">
        <f t="shared" ca="1" si="233"/>
        <v>43647</v>
      </c>
      <c r="ED93" s="481">
        <f t="shared" ca="1" si="234"/>
        <v>117</v>
      </c>
      <c r="EE93" s="485"/>
      <c r="EF93" s="485"/>
      <c r="EG93" s="481" t="str">
        <f t="shared" si="235"/>
        <v>0</v>
      </c>
      <c r="EH93" s="484"/>
      <c r="EI93" s="484">
        <f t="shared" ca="1" si="236"/>
        <v>43647</v>
      </c>
      <c r="EJ93" s="481" t="str">
        <f t="shared" ca="1" si="237"/>
        <v>0</v>
      </c>
      <c r="EK93" s="484">
        <v>43607</v>
      </c>
      <c r="EL93" s="484">
        <f t="shared" ca="1" si="238"/>
        <v>43647</v>
      </c>
      <c r="EM93" s="481">
        <f t="shared" ca="1" si="239"/>
        <v>40</v>
      </c>
      <c r="EN93" s="485"/>
      <c r="EO93" s="485"/>
      <c r="EP93" s="485"/>
      <c r="EQ93" s="654">
        <f t="shared" si="303"/>
        <v>45292</v>
      </c>
      <c r="ER93" s="653">
        <f t="shared" si="304"/>
        <v>45383</v>
      </c>
      <c r="ES93" s="650">
        <f t="shared" si="305"/>
        <v>3.0333333333333332</v>
      </c>
      <c r="ET93" s="904">
        <f t="shared" ca="1" si="306"/>
        <v>57.866666666666667</v>
      </c>
      <c r="EU93" s="750">
        <f t="shared" ca="1" si="243"/>
        <v>44378</v>
      </c>
      <c r="EV93" s="748"/>
      <c r="EW93" s="737"/>
      <c r="EX93" s="749">
        <f t="shared" si="310"/>
        <v>45507</v>
      </c>
      <c r="EY93" s="443"/>
      <c r="EZ93" s="747">
        <f t="shared" si="307"/>
        <v>45323</v>
      </c>
      <c r="FA93" s="653">
        <f>DATE(YEAR(EX93),MONTH(EX93)+1,DAY(EX93))</f>
        <v>45538</v>
      </c>
      <c r="FB93" s="518"/>
      <c r="FC93" s="647">
        <f t="shared" si="244"/>
        <v>7.166666666666667</v>
      </c>
      <c r="FD93" s="635"/>
      <c r="FE93" s="192">
        <f t="shared" si="245"/>
        <v>0</v>
      </c>
      <c r="FF93" s="91"/>
      <c r="FG93" s="502"/>
      <c r="FH93" s="502">
        <v>0</v>
      </c>
      <c r="FI93" s="502"/>
      <c r="FJ93" s="502"/>
      <c r="FK93" s="502"/>
      <c r="FL93" s="664" t="e">
        <f t="shared" si="261"/>
        <v>#DIV/0!</v>
      </c>
      <c r="FM93" s="499"/>
      <c r="FN93" s="511"/>
      <c r="FO93" s="499"/>
      <c r="FP93" s="499"/>
      <c r="FQ93" s="94"/>
      <c r="FR93" s="94"/>
      <c r="FS93" s="94"/>
      <c r="FT93" s="94"/>
      <c r="FU93" s="94"/>
      <c r="FV93" s="39"/>
      <c r="FW93" s="212">
        <f t="shared" si="246"/>
        <v>45748</v>
      </c>
      <c r="FX93" s="212"/>
      <c r="FY93" s="39"/>
      <c r="FZ93" s="39"/>
      <c r="GA93" s="39"/>
      <c r="GB93" s="39"/>
      <c r="GC93" s="39"/>
      <c r="GD93" s="39"/>
      <c r="GE93" s="39"/>
      <c r="GF93" s="39"/>
      <c r="GG93" s="39"/>
      <c r="GH93" s="39"/>
      <c r="GI93" s="39"/>
      <c r="GJ93" s="39"/>
      <c r="GK93" s="39"/>
      <c r="GL93" s="742"/>
      <c r="GM93" s="979">
        <f t="shared" si="144"/>
        <v>0</v>
      </c>
      <c r="GN93" s="772">
        <f t="shared" si="284"/>
        <v>0</v>
      </c>
      <c r="GO93" s="367"/>
      <c r="GP93" s="898">
        <f>HA93+HB93+HF93</f>
        <v>0</v>
      </c>
      <c r="GQ93" s="367" t="e">
        <f t="shared" si="256"/>
        <v>#DIV/0!</v>
      </c>
      <c r="GR93" s="367">
        <f t="shared" si="299"/>
        <v>0</v>
      </c>
      <c r="GS93" s="367"/>
      <c r="GT93" s="367"/>
      <c r="GU93" s="367" t="e">
        <f>#REF!/AE93</f>
        <v>#REF!</v>
      </c>
      <c r="GV93" s="367">
        <f t="shared" si="309"/>
        <v>0</v>
      </c>
      <c r="GW93" s="367"/>
      <c r="GX93" s="367"/>
      <c r="GY93" s="727">
        <f t="shared" si="249"/>
        <v>0</v>
      </c>
      <c r="GZ93" s="367"/>
      <c r="HA93" s="367"/>
      <c r="HB93" s="367"/>
      <c r="HC93" s="369" t="e">
        <f t="shared" si="257"/>
        <v>#DIV/0!</v>
      </c>
      <c r="HD93" s="372"/>
      <c r="HE93" s="372"/>
      <c r="HF93" s="367"/>
      <c r="HG93" s="367">
        <f t="shared" si="258"/>
        <v>0</v>
      </c>
      <c r="HH93" s="370">
        <f t="shared" si="259"/>
        <v>0</v>
      </c>
      <c r="HI93" s="367"/>
      <c r="HJ93" s="367"/>
      <c r="HK93" s="368" t="e">
        <f>(#REF!+#REF!+HJ93)/AE93</f>
        <v>#REF!</v>
      </c>
      <c r="HL93" s="367"/>
      <c r="HM93" s="367">
        <f t="shared" si="260"/>
        <v>0</v>
      </c>
      <c r="HN93" s="83" t="e">
        <f>(#REF!+#REF!+HJ93+HL93)/(HI93+#REF!-HO93)</f>
        <v>#REF!</v>
      </c>
      <c r="HO93" s="367"/>
      <c r="HP93" s="367"/>
      <c r="HQ93" s="367">
        <f>FH93</f>
        <v>0</v>
      </c>
      <c r="HR93" s="898"/>
      <c r="HS93" s="898"/>
      <c r="HT93" s="898"/>
      <c r="HU93" s="898"/>
      <c r="HV93" s="898"/>
      <c r="HW93" s="898"/>
      <c r="HX93" s="898"/>
      <c r="HY93" s="898"/>
      <c r="HZ93" s="898"/>
      <c r="IA93" s="373" t="e">
        <f>#REF!+HI93</f>
        <v>#REF!</v>
      </c>
      <c r="IB93" s="373"/>
      <c r="IC93" s="373"/>
      <c r="ID93" s="373"/>
      <c r="IE93" s="373"/>
      <c r="IF93" s="373"/>
    </row>
    <row r="94" spans="1:240" ht="20.100000000000001" customHeight="1">
      <c r="A94" s="221" t="s">
        <v>367</v>
      </c>
      <c r="B94" s="221"/>
      <c r="C94" s="39" t="s">
        <v>14</v>
      </c>
      <c r="D94" s="39" t="s">
        <v>92</v>
      </c>
      <c r="E94" s="39">
        <v>2020</v>
      </c>
      <c r="F94" s="39"/>
      <c r="G94" s="39" t="s">
        <v>341</v>
      </c>
      <c r="H94" s="39"/>
      <c r="I94" s="39" t="s">
        <v>318</v>
      </c>
      <c r="J94" s="39"/>
      <c r="K94" s="39" t="s">
        <v>391</v>
      </c>
      <c r="L94" s="199" t="s">
        <v>392</v>
      </c>
      <c r="M94" s="129" t="s">
        <v>46</v>
      </c>
      <c r="N94" s="130" t="s">
        <v>390</v>
      </c>
      <c r="O94" s="131">
        <v>35396</v>
      </c>
      <c r="P94" s="178"/>
      <c r="Q94" s="178"/>
      <c r="R94" s="178"/>
      <c r="S94" s="178"/>
      <c r="T94" s="178"/>
      <c r="U94" s="546"/>
      <c r="V94" s="546"/>
      <c r="W94" s="546"/>
      <c r="X94" s="178"/>
      <c r="Y94" s="162"/>
      <c r="Z94" s="736" t="e">
        <f t="shared" si="213"/>
        <v>#DIV/0!</v>
      </c>
      <c r="AA94" s="162"/>
      <c r="AB94" s="162"/>
      <c r="AC94" s="163"/>
      <c r="AD94" s="39" t="s">
        <v>340</v>
      </c>
      <c r="AE94" s="674">
        <f t="shared" si="214"/>
        <v>26</v>
      </c>
      <c r="AF94" s="674">
        <f t="shared" si="215"/>
        <v>0</v>
      </c>
      <c r="AG94" s="50"/>
      <c r="AH94" s="50"/>
      <c r="AI94" s="50"/>
      <c r="AJ94" s="39">
        <v>26</v>
      </c>
      <c r="AK94" s="209"/>
      <c r="AL94" s="422"/>
      <c r="AM94" s="875">
        <f t="shared" si="216"/>
        <v>0</v>
      </c>
      <c r="AN94" s="10">
        <f t="shared" si="217"/>
        <v>0</v>
      </c>
      <c r="AO94" s="43"/>
      <c r="AP94" s="43"/>
      <c r="AQ94" s="43"/>
      <c r="AR94" s="61"/>
      <c r="AS94" s="61"/>
      <c r="AT94" s="61"/>
      <c r="AU94" s="61"/>
      <c r="AV94" s="61"/>
      <c r="AW94" s="43"/>
      <c r="AX94" s="59"/>
      <c r="AY94" s="61"/>
      <c r="AZ94" s="43"/>
      <c r="BA94" s="39"/>
      <c r="BB94" s="39"/>
      <c r="BC94" s="39"/>
      <c r="BD94" s="39"/>
      <c r="BE94" s="39"/>
      <c r="BF94" s="39"/>
      <c r="BG94" s="39"/>
      <c r="BH94" s="39"/>
      <c r="BI94" s="159"/>
      <c r="BJ94" s="75"/>
      <c r="BK94" s="867"/>
      <c r="BL94" s="125"/>
      <c r="BM94" s="158"/>
      <c r="BN94" s="1007">
        <f t="shared" si="308"/>
        <v>0</v>
      </c>
      <c r="BO94" s="954"/>
      <c r="BP94" s="125"/>
      <c r="BQ94" s="125"/>
      <c r="BR94" s="225"/>
      <c r="BS94" s="224">
        <f t="shared" si="218"/>
        <v>731</v>
      </c>
      <c r="BT94" s="605"/>
      <c r="BU94" s="782"/>
      <c r="BV94" s="783"/>
      <c r="BW94" s="783"/>
      <c r="BX94" s="783"/>
      <c r="BY94" s="702"/>
      <c r="BZ94" s="708"/>
      <c r="CA94" s="703"/>
      <c r="CB94" s="703"/>
      <c r="CC94" s="703"/>
      <c r="CD94" s="699"/>
      <c r="CE94" s="699"/>
      <c r="CF94" s="699"/>
      <c r="CG94" s="699"/>
      <c r="CH94" s="699"/>
      <c r="CI94" s="699"/>
      <c r="CJ94" s="699"/>
      <c r="CK94" s="699"/>
      <c r="CL94" s="699"/>
      <c r="CM94" s="699"/>
      <c r="CN94" s="699"/>
      <c r="CO94" s="699"/>
      <c r="CP94" s="699"/>
      <c r="CQ94" s="490"/>
      <c r="CR94" s="490"/>
      <c r="CS94" s="490"/>
      <c r="CT94" s="492" t="str">
        <f t="shared" si="219"/>
        <v>0</v>
      </c>
      <c r="CU94" s="490"/>
      <c r="CV94" s="490"/>
      <c r="CW94" s="492" t="str">
        <f t="shared" si="220"/>
        <v>0</v>
      </c>
      <c r="CX94" s="490"/>
      <c r="CY94" s="490">
        <f t="shared" ca="1" si="300"/>
        <v>43647</v>
      </c>
      <c r="CZ94" s="492" t="str">
        <f t="shared" ca="1" si="221"/>
        <v>0</v>
      </c>
      <c r="DA94" s="490"/>
      <c r="DB94" s="490">
        <f t="shared" ca="1" si="301"/>
        <v>43647</v>
      </c>
      <c r="DC94" s="492" t="str">
        <f t="shared" ca="1" si="222"/>
        <v>0</v>
      </c>
      <c r="DD94" s="493"/>
      <c r="DE94" s="490">
        <f t="shared" ca="1" si="298"/>
        <v>43647</v>
      </c>
      <c r="DF94" s="492" t="str">
        <f t="shared" ca="1" si="223"/>
        <v>0</v>
      </c>
      <c r="DG94" s="438"/>
      <c r="DH94" s="494"/>
      <c r="DI94" s="479"/>
      <c r="DJ94" s="480"/>
      <c r="DK94" s="481" t="str">
        <f t="shared" si="285"/>
        <v>0</v>
      </c>
      <c r="DL94" s="479">
        <v>44378</v>
      </c>
      <c r="DM94" s="617">
        <v>44378</v>
      </c>
      <c r="DN94" s="326"/>
      <c r="DO94" s="432">
        <f t="shared" si="302"/>
        <v>1479.2666666666667</v>
      </c>
      <c r="DP94" s="481">
        <f t="shared" si="225"/>
        <v>0</v>
      </c>
      <c r="DQ94" s="618">
        <v>31</v>
      </c>
      <c r="DR94" s="188">
        <f t="shared" si="226"/>
        <v>34</v>
      </c>
      <c r="DS94" s="479"/>
      <c r="DT94" s="484">
        <f t="shared" ca="1" si="227"/>
        <v>43647</v>
      </c>
      <c r="DU94" s="481" t="str">
        <f t="shared" ca="1" si="228"/>
        <v>0</v>
      </c>
      <c r="DV94" s="479"/>
      <c r="DW94" s="497">
        <f t="shared" ca="1" si="229"/>
        <v>43647</v>
      </c>
      <c r="DX94" s="482" t="str">
        <f t="shared" ca="1" si="230"/>
        <v>0</v>
      </c>
      <c r="DY94" s="483"/>
      <c r="DZ94" s="497">
        <f t="shared" ca="1" si="231"/>
        <v>43647</v>
      </c>
      <c r="EA94" s="481" t="str">
        <f t="shared" ca="1" si="295"/>
        <v>0</v>
      </c>
      <c r="EB94" s="484">
        <v>43531</v>
      </c>
      <c r="EC94" s="484">
        <f t="shared" ca="1" si="233"/>
        <v>43647</v>
      </c>
      <c r="ED94" s="481">
        <f t="shared" ca="1" si="234"/>
        <v>116</v>
      </c>
      <c r="EE94" s="485"/>
      <c r="EF94" s="485"/>
      <c r="EG94" s="481" t="str">
        <f t="shared" si="235"/>
        <v>0</v>
      </c>
      <c r="EH94" s="484"/>
      <c r="EI94" s="484">
        <f t="shared" ca="1" si="236"/>
        <v>43647</v>
      </c>
      <c r="EJ94" s="481" t="str">
        <f t="shared" ca="1" si="237"/>
        <v>0</v>
      </c>
      <c r="EK94" s="484">
        <v>43608</v>
      </c>
      <c r="EL94" s="484">
        <f t="shared" ca="1" si="238"/>
        <v>43647</v>
      </c>
      <c r="EM94" s="481">
        <f t="shared" ca="1" si="239"/>
        <v>39</v>
      </c>
      <c r="EN94" s="485"/>
      <c r="EO94" s="485"/>
      <c r="EP94" s="485"/>
      <c r="EQ94" s="654">
        <f t="shared" si="303"/>
        <v>45323</v>
      </c>
      <c r="ER94" s="653">
        <f t="shared" si="304"/>
        <v>45413</v>
      </c>
      <c r="ES94" s="650">
        <f t="shared" si="305"/>
        <v>3</v>
      </c>
      <c r="ET94" s="904">
        <f t="shared" ca="1" si="306"/>
        <v>58.866666666666667</v>
      </c>
      <c r="EU94" s="750">
        <f t="shared" ca="1" si="243"/>
        <v>44378</v>
      </c>
      <c r="EV94" s="748"/>
      <c r="EW94" s="737"/>
      <c r="EX94" s="749">
        <f t="shared" si="310"/>
        <v>45538</v>
      </c>
      <c r="EY94" s="443"/>
      <c r="EZ94" s="747">
        <f t="shared" si="307"/>
        <v>45352</v>
      </c>
      <c r="FA94" s="653">
        <f>DATE(YEAR(EX94),MONTH(EX94)+1,DAY(EX94))</f>
        <v>45568</v>
      </c>
      <c r="FB94" s="518"/>
      <c r="FC94" s="647">
        <f t="shared" si="244"/>
        <v>7.2</v>
      </c>
      <c r="FD94" s="635"/>
      <c r="FE94" s="192">
        <f t="shared" si="245"/>
        <v>0</v>
      </c>
      <c r="FF94" s="91"/>
      <c r="FG94" s="502"/>
      <c r="FH94" s="502">
        <v>0</v>
      </c>
      <c r="FI94" s="502"/>
      <c r="FJ94" s="502"/>
      <c r="FK94" s="502"/>
      <c r="FL94" s="664" t="e">
        <f t="shared" si="261"/>
        <v>#DIV/0!</v>
      </c>
      <c r="FM94" s="499"/>
      <c r="FN94" s="511"/>
      <c r="FO94" s="499"/>
      <c r="FP94" s="499"/>
      <c r="FQ94" s="94"/>
      <c r="FR94" s="94"/>
      <c r="FS94" s="94"/>
      <c r="FT94" s="94"/>
      <c r="FU94" s="94"/>
      <c r="FV94" s="39"/>
      <c r="FW94" s="212">
        <f t="shared" si="246"/>
        <v>45778</v>
      </c>
      <c r="FX94" s="212"/>
      <c r="FY94" s="39"/>
      <c r="FZ94" s="39"/>
      <c r="GA94" s="39"/>
      <c r="GB94" s="39"/>
      <c r="GC94" s="39"/>
      <c r="GD94" s="39"/>
      <c r="GE94" s="39"/>
      <c r="GF94" s="39"/>
      <c r="GG94" s="39"/>
      <c r="GH94" s="39"/>
      <c r="GI94" s="39"/>
      <c r="GJ94" s="39"/>
      <c r="GK94" s="39"/>
      <c r="GL94" s="742"/>
      <c r="GM94" s="979">
        <f t="shared" si="144"/>
        <v>0</v>
      </c>
      <c r="GN94" s="772">
        <f t="shared" si="284"/>
        <v>0</v>
      </c>
      <c r="GO94" s="367"/>
      <c r="GP94" s="898">
        <f>HA94+HB94+HF94</f>
        <v>0</v>
      </c>
      <c r="GQ94" s="367" t="e">
        <f t="shared" si="256"/>
        <v>#DIV/0!</v>
      </c>
      <c r="GR94" s="367">
        <f t="shared" si="299"/>
        <v>0</v>
      </c>
      <c r="GS94" s="367"/>
      <c r="GT94" s="367"/>
      <c r="GU94" s="367" t="e">
        <f>#REF!/AE94</f>
        <v>#REF!</v>
      </c>
      <c r="GV94" s="367">
        <f t="shared" si="309"/>
        <v>0</v>
      </c>
      <c r="GW94" s="367"/>
      <c r="GX94" s="367"/>
      <c r="GY94" s="727">
        <f t="shared" si="249"/>
        <v>0</v>
      </c>
      <c r="GZ94" s="367"/>
      <c r="HA94" s="367"/>
      <c r="HB94" s="367"/>
      <c r="HC94" s="369" t="e">
        <f t="shared" si="257"/>
        <v>#DIV/0!</v>
      </c>
      <c r="HD94" s="372"/>
      <c r="HE94" s="372"/>
      <c r="HF94" s="367"/>
      <c r="HG94" s="367">
        <f t="shared" si="258"/>
        <v>0</v>
      </c>
      <c r="HH94" s="370">
        <f t="shared" si="259"/>
        <v>0</v>
      </c>
      <c r="HI94" s="367"/>
      <c r="HJ94" s="367"/>
      <c r="HK94" s="368" t="e">
        <f>(#REF!+#REF!+HJ94)/AE94</f>
        <v>#REF!</v>
      </c>
      <c r="HL94" s="367"/>
      <c r="HM94" s="367">
        <f t="shared" si="260"/>
        <v>0</v>
      </c>
      <c r="HN94" s="83" t="e">
        <f>(#REF!+#REF!+HJ94+HL94)/(HI94+#REF!-HO94)</f>
        <v>#REF!</v>
      </c>
      <c r="HO94" s="367"/>
      <c r="HP94" s="367"/>
      <c r="HQ94" s="367">
        <f>FH94</f>
        <v>0</v>
      </c>
      <c r="HR94" s="898"/>
      <c r="HS94" s="898"/>
      <c r="HT94" s="898"/>
      <c r="HU94" s="898"/>
      <c r="HV94" s="898"/>
      <c r="HW94" s="898"/>
      <c r="HX94" s="898"/>
      <c r="HY94" s="898"/>
      <c r="HZ94" s="898"/>
      <c r="IA94" s="373" t="e">
        <f>#REF!+HI94</f>
        <v>#REF!</v>
      </c>
      <c r="IB94" s="373"/>
      <c r="IC94" s="373"/>
      <c r="ID94" s="373"/>
      <c r="IE94" s="373"/>
      <c r="IF94" s="373"/>
    </row>
    <row r="95" spans="1:240" ht="20.100000000000001" customHeight="1">
      <c r="A95" s="221" t="s">
        <v>366</v>
      </c>
      <c r="B95" s="221"/>
      <c r="C95" s="39" t="s">
        <v>21</v>
      </c>
      <c r="D95" s="39" t="s">
        <v>92</v>
      </c>
      <c r="E95" s="39">
        <v>2020</v>
      </c>
      <c r="F95" s="39"/>
      <c r="G95" s="39" t="s">
        <v>341</v>
      </c>
      <c r="H95" s="39"/>
      <c r="I95" s="39" t="s">
        <v>318</v>
      </c>
      <c r="J95" s="39"/>
      <c r="K95" s="39" t="s">
        <v>191</v>
      </c>
      <c r="L95" s="199" t="s">
        <v>393</v>
      </c>
      <c r="M95" s="129"/>
      <c r="N95" s="130"/>
      <c r="O95" s="131"/>
      <c r="P95" s="178"/>
      <c r="Q95" s="178"/>
      <c r="R95" s="178"/>
      <c r="S95" s="178"/>
      <c r="T95" s="178"/>
      <c r="U95" s="546"/>
      <c r="V95" s="546"/>
      <c r="W95" s="546"/>
      <c r="X95" s="178"/>
      <c r="Y95" s="162"/>
      <c r="Z95" s="736" t="e">
        <f t="shared" si="213"/>
        <v>#DIV/0!</v>
      </c>
      <c r="AA95" s="162"/>
      <c r="AB95" s="162"/>
      <c r="AC95" s="163"/>
      <c r="AD95" s="39" t="s">
        <v>340</v>
      </c>
      <c r="AE95" s="674">
        <f t="shared" ref="AE95:AE131" si="311">SUM(AG95:AJ95)</f>
        <v>83</v>
      </c>
      <c r="AF95" s="674">
        <f t="shared" ref="AF95:AF126" si="312">AE95-AJ95</f>
        <v>0</v>
      </c>
      <c r="AG95" s="50"/>
      <c r="AH95" s="50"/>
      <c r="AI95" s="50"/>
      <c r="AJ95" s="149">
        <v>83</v>
      </c>
      <c r="AK95" s="209"/>
      <c r="AL95" s="426"/>
      <c r="AM95" s="875">
        <f t="shared" ref="AM95:AM126" si="313">AK95/AE95</f>
        <v>0</v>
      </c>
      <c r="AN95" s="10">
        <f t="shared" ref="AN95:AN126" si="314">AL95/AE95</f>
        <v>0</v>
      </c>
      <c r="AO95" s="43"/>
      <c r="AP95" s="43"/>
      <c r="AQ95" s="43"/>
      <c r="AR95" s="61"/>
      <c r="AS95" s="61"/>
      <c r="AT95" s="61"/>
      <c r="AU95" s="61"/>
      <c r="AV95" s="61"/>
      <c r="AW95" s="43"/>
      <c r="AX95" s="59"/>
      <c r="AY95" s="61"/>
      <c r="AZ95" s="43"/>
      <c r="BA95" s="39"/>
      <c r="BB95" s="39"/>
      <c r="BC95" s="39"/>
      <c r="BD95" s="39"/>
      <c r="BE95" s="39"/>
      <c r="BF95" s="39"/>
      <c r="BG95" s="39"/>
      <c r="BH95" s="39"/>
      <c r="BI95" s="159"/>
      <c r="BJ95" s="75"/>
      <c r="BK95" s="867"/>
      <c r="BL95" s="125"/>
      <c r="BM95" s="158"/>
      <c r="BN95" s="1007">
        <f t="shared" si="308"/>
        <v>0</v>
      </c>
      <c r="BO95" s="954"/>
      <c r="BP95" s="125"/>
      <c r="BQ95" s="125"/>
      <c r="BR95" s="225"/>
      <c r="BS95" s="224">
        <f t="shared" si="218"/>
        <v>731</v>
      </c>
      <c r="BT95" s="605"/>
      <c r="BU95" s="782"/>
      <c r="BV95" s="783"/>
      <c r="BW95" s="783"/>
      <c r="BX95" s="783"/>
      <c r="BY95" s="702"/>
      <c r="BZ95" s="708"/>
      <c r="CA95" s="703"/>
      <c r="CB95" s="703"/>
      <c r="CC95" s="703"/>
      <c r="CD95" s="699"/>
      <c r="CE95" s="699"/>
      <c r="CF95" s="699"/>
      <c r="CG95" s="699"/>
      <c r="CH95" s="699"/>
      <c r="CI95" s="699"/>
      <c r="CJ95" s="699"/>
      <c r="CK95" s="699"/>
      <c r="CL95" s="699"/>
      <c r="CM95" s="699"/>
      <c r="CN95" s="699"/>
      <c r="CO95" s="699"/>
      <c r="CP95" s="699"/>
      <c r="CQ95" s="488"/>
      <c r="CR95" s="490"/>
      <c r="CS95" s="490"/>
      <c r="CT95" s="492" t="str">
        <f t="shared" ref="CT95:CT126" si="315">IF(AND(CR95&gt;0,CS95&gt;0),CS95-CR95,"0")</f>
        <v>0</v>
      </c>
      <c r="CU95" s="490"/>
      <c r="CV95" s="490"/>
      <c r="CW95" s="492" t="str">
        <f t="shared" ref="CW95:CW126" si="316">IF(AND(CU95&gt;0,CV95&gt;0),CV95-CU95,"0")</f>
        <v>0</v>
      </c>
      <c r="CX95" s="490"/>
      <c r="CY95" s="490">
        <f t="shared" ca="1" si="300"/>
        <v>43647</v>
      </c>
      <c r="CZ95" s="492" t="str">
        <f t="shared" ref="CZ95:CZ126" ca="1" si="317">IF(AND(CX95&gt;0,CY95&gt;0),CY95-CX95,"0")</f>
        <v>0</v>
      </c>
      <c r="DA95" s="490"/>
      <c r="DB95" s="490">
        <f t="shared" ca="1" si="301"/>
        <v>43647</v>
      </c>
      <c r="DC95" s="492" t="str">
        <f t="shared" ref="DC95:DC126" ca="1" si="318">IF(AND(DA95&gt;0,DB95&gt;0),DB95-DA95,"0")</f>
        <v>0</v>
      </c>
      <c r="DD95" s="493"/>
      <c r="DE95" s="490">
        <f t="shared" ca="1" si="298"/>
        <v>43647</v>
      </c>
      <c r="DF95" s="492" t="str">
        <f t="shared" ref="DF95:DF126" ca="1" si="319">IF(AND(DD95&gt;0,DE95&gt;0),DE95-DD95,"0")</f>
        <v>0</v>
      </c>
      <c r="DG95" s="438"/>
      <c r="DH95" s="494"/>
      <c r="DI95" s="479"/>
      <c r="DJ95" s="480"/>
      <c r="DK95" s="481" t="str">
        <f t="shared" si="285"/>
        <v>0</v>
      </c>
      <c r="DL95" s="479">
        <v>44378</v>
      </c>
      <c r="DM95" s="617">
        <v>44378</v>
      </c>
      <c r="DN95" s="326"/>
      <c r="DO95" s="432">
        <f t="shared" si="302"/>
        <v>1479.2666666666667</v>
      </c>
      <c r="DP95" s="481">
        <f t="shared" si="225"/>
        <v>0</v>
      </c>
      <c r="DQ95" s="618">
        <v>32</v>
      </c>
      <c r="DR95" s="188">
        <f t="shared" si="226"/>
        <v>35</v>
      </c>
      <c r="DS95" s="479"/>
      <c r="DT95" s="484">
        <f t="shared" ca="1" si="227"/>
        <v>43647</v>
      </c>
      <c r="DU95" s="481" t="str">
        <f t="shared" ca="1" si="228"/>
        <v>0</v>
      </c>
      <c r="DV95" s="479"/>
      <c r="DW95" s="497">
        <f t="shared" ca="1" si="229"/>
        <v>43647</v>
      </c>
      <c r="DX95" s="482" t="str">
        <f t="shared" ca="1" si="230"/>
        <v>0</v>
      </c>
      <c r="DY95" s="483"/>
      <c r="DZ95" s="497">
        <f t="shared" ca="1" si="231"/>
        <v>43647</v>
      </c>
      <c r="EA95" s="481" t="str">
        <f t="shared" ca="1" si="295"/>
        <v>0</v>
      </c>
      <c r="EB95" s="484">
        <v>43532</v>
      </c>
      <c r="EC95" s="484">
        <f t="shared" ca="1" si="233"/>
        <v>43647</v>
      </c>
      <c r="ED95" s="481">
        <f t="shared" ca="1" si="234"/>
        <v>115</v>
      </c>
      <c r="EE95" s="485"/>
      <c r="EF95" s="485"/>
      <c r="EG95" s="481" t="str">
        <f t="shared" si="235"/>
        <v>0</v>
      </c>
      <c r="EH95" s="484"/>
      <c r="EI95" s="484">
        <f t="shared" ca="1" si="236"/>
        <v>43647</v>
      </c>
      <c r="EJ95" s="481" t="str">
        <f t="shared" ca="1" si="237"/>
        <v>0</v>
      </c>
      <c r="EK95" s="484">
        <v>43609</v>
      </c>
      <c r="EL95" s="484">
        <f t="shared" ca="1" si="238"/>
        <v>43647</v>
      </c>
      <c r="EM95" s="481">
        <f t="shared" ca="1" si="239"/>
        <v>38</v>
      </c>
      <c r="EN95" s="485"/>
      <c r="EO95" s="485"/>
      <c r="EP95" s="485"/>
      <c r="EQ95" s="654">
        <f t="shared" si="303"/>
        <v>45352</v>
      </c>
      <c r="ER95" s="653">
        <f t="shared" si="304"/>
        <v>45444</v>
      </c>
      <c r="ES95" s="650">
        <f t="shared" si="305"/>
        <v>3.0666666666666669</v>
      </c>
      <c r="ET95" s="904">
        <f t="shared" ca="1" si="306"/>
        <v>59.9</v>
      </c>
      <c r="EU95" s="750">
        <f t="shared" ref="EU95:EU125" ca="1" si="320">DATE(YEAR(DW95)+2,MONTH(DW95),DAY(DW95))</f>
        <v>44378</v>
      </c>
      <c r="EV95" s="748"/>
      <c r="EW95" s="737"/>
      <c r="EX95" s="749">
        <f t="shared" si="310"/>
        <v>45568</v>
      </c>
      <c r="EY95" s="443"/>
      <c r="EZ95" s="747">
        <f t="shared" si="307"/>
        <v>45383</v>
      </c>
      <c r="FA95" s="653">
        <f>DATE(YEAR(EX95),MONTH(EX95)+1,DAY(EX95))</f>
        <v>45599</v>
      </c>
      <c r="FB95" s="518"/>
      <c r="FC95" s="647">
        <f t="shared" si="244"/>
        <v>7.2</v>
      </c>
      <c r="FD95" s="635"/>
      <c r="FE95" s="192">
        <f t="shared" si="245"/>
        <v>0</v>
      </c>
      <c r="FF95" s="91"/>
      <c r="FG95" s="502"/>
      <c r="FH95" s="502">
        <v>0</v>
      </c>
      <c r="FI95" s="502"/>
      <c r="FJ95" s="502"/>
      <c r="FK95" s="502"/>
      <c r="FL95" s="664" t="e">
        <f t="shared" si="261"/>
        <v>#DIV/0!</v>
      </c>
      <c r="FM95" s="499"/>
      <c r="FN95" s="511"/>
      <c r="FO95" s="499"/>
      <c r="FP95" s="499"/>
      <c r="FQ95" s="94"/>
      <c r="FR95" s="94"/>
      <c r="FS95" s="94"/>
      <c r="FT95" s="94"/>
      <c r="FU95" s="94"/>
      <c r="FV95" s="39"/>
      <c r="FW95" s="212">
        <f t="shared" si="246"/>
        <v>45809</v>
      </c>
      <c r="FX95" s="212"/>
      <c r="FY95" s="39"/>
      <c r="FZ95" s="39"/>
      <c r="GA95" s="39"/>
      <c r="GB95" s="39"/>
      <c r="GC95" s="39"/>
      <c r="GD95" s="39"/>
      <c r="GE95" s="39"/>
      <c r="GF95" s="39"/>
      <c r="GG95" s="39"/>
      <c r="GH95" s="39"/>
      <c r="GI95" s="39"/>
      <c r="GJ95" s="39"/>
      <c r="GK95" s="39"/>
      <c r="GL95" s="742"/>
      <c r="GM95" s="979">
        <f t="shared" si="144"/>
        <v>0</v>
      </c>
      <c r="GN95" s="772">
        <f t="shared" si="284"/>
        <v>0</v>
      </c>
      <c r="GO95" s="367"/>
      <c r="GP95" s="898">
        <f>HA95+HB95+HF95</f>
        <v>0</v>
      </c>
      <c r="GQ95" s="367" t="e">
        <f t="shared" si="256"/>
        <v>#DIV/0!</v>
      </c>
      <c r="GR95" s="367">
        <f t="shared" si="299"/>
        <v>0</v>
      </c>
      <c r="GS95" s="367"/>
      <c r="GT95" s="367"/>
      <c r="GU95" s="367" t="e">
        <f>#REF!/AE95</f>
        <v>#REF!</v>
      </c>
      <c r="GV95" s="367">
        <f t="shared" si="309"/>
        <v>0</v>
      </c>
      <c r="GW95" s="367"/>
      <c r="GX95" s="367"/>
      <c r="GY95" s="727">
        <f t="shared" si="249"/>
        <v>0</v>
      </c>
      <c r="GZ95" s="367"/>
      <c r="HA95" s="367"/>
      <c r="HB95" s="367"/>
      <c r="HC95" s="369" t="e">
        <f t="shared" si="257"/>
        <v>#DIV/0!</v>
      </c>
      <c r="HD95" s="372"/>
      <c r="HE95" s="372"/>
      <c r="HF95" s="367"/>
      <c r="HG95" s="367">
        <f t="shared" si="258"/>
        <v>0</v>
      </c>
      <c r="HH95" s="370">
        <f t="shared" si="259"/>
        <v>0</v>
      </c>
      <c r="HI95" s="367"/>
      <c r="HJ95" s="367"/>
      <c r="HK95" s="368" t="e">
        <f>(#REF!+#REF!+HJ95)/AE95</f>
        <v>#REF!</v>
      </c>
      <c r="HL95" s="367"/>
      <c r="HM95" s="367">
        <f t="shared" si="260"/>
        <v>0</v>
      </c>
      <c r="HN95" s="83" t="e">
        <f>(#REF!+#REF!+HJ95+HL95)/(HI95+#REF!-HO95)</f>
        <v>#REF!</v>
      </c>
      <c r="HO95" s="367"/>
      <c r="HP95" s="367"/>
      <c r="HQ95" s="367">
        <f>FH95</f>
        <v>0</v>
      </c>
      <c r="HR95" s="898"/>
      <c r="HS95" s="898"/>
      <c r="HT95" s="898"/>
      <c r="HU95" s="898"/>
      <c r="HV95" s="898"/>
      <c r="HW95" s="898"/>
      <c r="HX95" s="898"/>
      <c r="HY95" s="898"/>
      <c r="HZ95" s="898"/>
      <c r="IA95" s="373" t="e">
        <f>#REF!+HI95</f>
        <v>#REF!</v>
      </c>
      <c r="IB95" s="373"/>
      <c r="IC95" s="373"/>
      <c r="ID95" s="373"/>
      <c r="IE95" s="373"/>
      <c r="IF95" s="373"/>
    </row>
    <row r="96" spans="1:240" ht="20.100000000000001" customHeight="1">
      <c r="A96" s="676" t="s">
        <v>916</v>
      </c>
      <c r="B96" s="66"/>
      <c r="C96" s="39" t="s">
        <v>21</v>
      </c>
      <c r="D96" s="39" t="s">
        <v>92</v>
      </c>
      <c r="E96" s="39">
        <v>2020</v>
      </c>
      <c r="F96" s="39"/>
      <c r="G96" s="39" t="s">
        <v>299</v>
      </c>
      <c r="H96" s="39" t="s">
        <v>147</v>
      </c>
      <c r="I96" s="41" t="s">
        <v>190</v>
      </c>
      <c r="J96" s="39"/>
      <c r="K96" s="39" t="s">
        <v>795</v>
      </c>
      <c r="L96" s="199"/>
      <c r="M96" s="129"/>
      <c r="N96" s="130"/>
      <c r="O96" s="131"/>
      <c r="P96" s="161">
        <v>33407</v>
      </c>
      <c r="Q96" s="161"/>
      <c r="R96" s="161"/>
      <c r="S96" s="161">
        <f>Q96/AE96</f>
        <v>0</v>
      </c>
      <c r="T96" s="161">
        <f>Q96/P96</f>
        <v>0</v>
      </c>
      <c r="U96" s="167">
        <f>R96/P96</f>
        <v>0</v>
      </c>
      <c r="V96" s="167" t="e">
        <f>R96/AL96</f>
        <v>#DIV/0!</v>
      </c>
      <c r="W96" s="167">
        <f>R96/AE96</f>
        <v>0</v>
      </c>
      <c r="X96" s="161">
        <f>P96/AE96</f>
        <v>187.67977528089887</v>
      </c>
      <c r="Y96" s="162"/>
      <c r="Z96" s="736">
        <f t="shared" si="213"/>
        <v>53.282246235818839</v>
      </c>
      <c r="AA96" s="162"/>
      <c r="AB96" s="162"/>
      <c r="AC96" s="163"/>
      <c r="AD96" s="39" t="s">
        <v>10</v>
      </c>
      <c r="AE96" s="674">
        <f t="shared" si="311"/>
        <v>178</v>
      </c>
      <c r="AF96" s="674">
        <f t="shared" si="312"/>
        <v>178</v>
      </c>
      <c r="AG96" s="39">
        <v>62</v>
      </c>
      <c r="AH96" s="39">
        <f>36+48</f>
        <v>84</v>
      </c>
      <c r="AI96" s="39">
        <v>32</v>
      </c>
      <c r="AJ96" s="50"/>
      <c r="AK96" s="692"/>
      <c r="AL96" s="426"/>
      <c r="AM96" s="875">
        <f t="shared" si="313"/>
        <v>0</v>
      </c>
      <c r="AN96" s="10">
        <f t="shared" si="314"/>
        <v>0</v>
      </c>
      <c r="AO96" s="43"/>
      <c r="AP96" s="43"/>
      <c r="AQ96" s="43"/>
      <c r="AR96" s="61"/>
      <c r="AS96" s="61"/>
      <c r="AT96" s="61"/>
      <c r="AU96" s="61"/>
      <c r="AV96" s="61"/>
      <c r="AW96" s="43"/>
      <c r="AX96" s="59"/>
      <c r="AY96" s="61"/>
      <c r="AZ96" s="43"/>
      <c r="BA96" s="42"/>
      <c r="BB96" s="39"/>
      <c r="BC96" s="39"/>
      <c r="BD96" s="39"/>
      <c r="BE96" s="39"/>
      <c r="BF96" s="39"/>
      <c r="BG96" s="184">
        <v>43426</v>
      </c>
      <c r="BH96" s="143"/>
      <c r="BI96" s="159"/>
      <c r="BJ96" s="75"/>
      <c r="BK96" s="867" t="s">
        <v>250</v>
      </c>
      <c r="BL96" s="125"/>
      <c r="BM96" s="158"/>
      <c r="BN96" s="1007">
        <f t="shared" si="308"/>
        <v>0</v>
      </c>
      <c r="BO96" s="954"/>
      <c r="BP96" s="125"/>
      <c r="BQ96" s="125"/>
      <c r="BR96" s="225"/>
      <c r="BS96" s="224">
        <f t="shared" si="218"/>
        <v>731</v>
      </c>
      <c r="BT96" s="605"/>
      <c r="BU96" s="224" t="str">
        <f>IF(FA96&gt;BS96,"oui","non")</f>
        <v>oui</v>
      </c>
      <c r="BV96" s="784">
        <f>(BS96-FA96)/30</f>
        <v>-1474.8666666666666</v>
      </c>
      <c r="BW96" s="605">
        <f>IF((BV96*FD96)&lt;0,"0",BV96*FD96)</f>
        <v>0</v>
      </c>
      <c r="BX96" s="605">
        <f>BT96-BW96</f>
        <v>0</v>
      </c>
      <c r="BY96" s="702"/>
      <c r="BZ96" s="708"/>
      <c r="CA96" s="703"/>
      <c r="CB96" s="703"/>
      <c r="CC96" s="703"/>
      <c r="CD96" s="699"/>
      <c r="CE96" s="699"/>
      <c r="CF96" s="699"/>
      <c r="CG96" s="699"/>
      <c r="CH96" s="699"/>
      <c r="CI96" s="699"/>
      <c r="CJ96" s="699"/>
      <c r="CK96" s="699"/>
      <c r="CL96" s="699"/>
      <c r="CM96" s="699"/>
      <c r="CN96" s="699"/>
      <c r="CO96" s="699"/>
      <c r="CP96" s="699"/>
      <c r="CQ96" s="488"/>
      <c r="CR96" s="490"/>
      <c r="CS96" s="490"/>
      <c r="CT96" s="492" t="str">
        <f t="shared" si="315"/>
        <v>0</v>
      </c>
      <c r="CU96" s="490"/>
      <c r="CV96" s="490"/>
      <c r="CW96" s="492" t="str">
        <f t="shared" si="316"/>
        <v>0</v>
      </c>
      <c r="CX96" s="490"/>
      <c r="CY96" s="490">
        <f t="shared" ca="1" si="300"/>
        <v>43647</v>
      </c>
      <c r="CZ96" s="492" t="str">
        <f t="shared" ca="1" si="317"/>
        <v>0</v>
      </c>
      <c r="DA96" s="490"/>
      <c r="DB96" s="490">
        <f t="shared" ca="1" si="301"/>
        <v>43647</v>
      </c>
      <c r="DC96" s="492" t="str">
        <f t="shared" ca="1" si="318"/>
        <v>0</v>
      </c>
      <c r="DD96" s="493"/>
      <c r="DE96" s="490">
        <f t="shared" ca="1" si="298"/>
        <v>43647</v>
      </c>
      <c r="DF96" s="492" t="str">
        <f t="shared" ca="1" si="319"/>
        <v>0</v>
      </c>
      <c r="DG96" s="438"/>
      <c r="DH96" s="494"/>
      <c r="DI96" s="479"/>
      <c r="DJ96" s="480"/>
      <c r="DK96" s="481" t="str">
        <f t="shared" si="285"/>
        <v>0</v>
      </c>
      <c r="DL96" s="479">
        <v>44378</v>
      </c>
      <c r="DM96" s="617">
        <v>44247</v>
      </c>
      <c r="DN96" s="326"/>
      <c r="DO96" s="432">
        <f t="shared" si="302"/>
        <v>1474.9</v>
      </c>
      <c r="DP96" s="481">
        <f t="shared" si="225"/>
        <v>-131</v>
      </c>
      <c r="DQ96" s="618">
        <v>22</v>
      </c>
      <c r="DR96" s="188">
        <f t="shared" si="226"/>
        <v>25</v>
      </c>
      <c r="DS96" s="479"/>
      <c r="DT96" s="484">
        <f t="shared" ca="1" si="227"/>
        <v>43647</v>
      </c>
      <c r="DU96" s="481" t="str">
        <f t="shared" ca="1" si="228"/>
        <v>0</v>
      </c>
      <c r="DV96" s="479"/>
      <c r="DW96" s="497">
        <f t="shared" ca="1" si="229"/>
        <v>43647</v>
      </c>
      <c r="DX96" s="482" t="str">
        <f t="shared" ca="1" si="230"/>
        <v>0</v>
      </c>
      <c r="DY96" s="483"/>
      <c r="DZ96" s="497">
        <f t="shared" ca="1" si="231"/>
        <v>43647</v>
      </c>
      <c r="EA96" s="481" t="str">
        <f t="shared" ca="1" si="295"/>
        <v>0</v>
      </c>
      <c r="EB96" s="484"/>
      <c r="EC96" s="484">
        <f t="shared" ca="1" si="233"/>
        <v>43647</v>
      </c>
      <c r="ED96" s="481" t="str">
        <f t="shared" ca="1" si="234"/>
        <v>0</v>
      </c>
      <c r="EE96" s="485"/>
      <c r="EF96" s="485"/>
      <c r="EG96" s="481" t="str">
        <f t="shared" si="235"/>
        <v>0</v>
      </c>
      <c r="EH96" s="484"/>
      <c r="EI96" s="484">
        <f t="shared" ca="1" si="236"/>
        <v>43647</v>
      </c>
      <c r="EJ96" s="481" t="str">
        <f t="shared" ca="1" si="237"/>
        <v>0</v>
      </c>
      <c r="EK96" s="484"/>
      <c r="EL96" s="484">
        <f t="shared" ca="1" si="238"/>
        <v>43647</v>
      </c>
      <c r="EM96" s="481" t="str">
        <f t="shared" ca="1" si="239"/>
        <v>0</v>
      </c>
      <c r="EN96" s="484"/>
      <c r="EO96" s="484"/>
      <c r="EP96" s="484"/>
      <c r="EQ96" s="654">
        <f t="shared" si="303"/>
        <v>44915</v>
      </c>
      <c r="ER96" s="653">
        <f t="shared" si="304"/>
        <v>45005</v>
      </c>
      <c r="ES96" s="650">
        <f t="shared" si="305"/>
        <v>3</v>
      </c>
      <c r="ET96" s="904">
        <f t="shared" ca="1" si="306"/>
        <v>45.266666666666666</v>
      </c>
      <c r="EU96" s="653">
        <f t="shared" ca="1" si="320"/>
        <v>44378</v>
      </c>
      <c r="EV96" s="748"/>
      <c r="EW96" s="737"/>
      <c r="EX96" s="749">
        <f t="shared" si="310"/>
        <v>45129</v>
      </c>
      <c r="EY96" s="443"/>
      <c r="EZ96" s="747">
        <f t="shared" si="307"/>
        <v>44946</v>
      </c>
      <c r="FA96" s="653">
        <f>DATE(YEAR(EZ96),MONTH(EZ96)+1,DAY(EZ96))</f>
        <v>44977</v>
      </c>
      <c r="FB96" s="518"/>
      <c r="FC96" s="647">
        <f t="shared" si="244"/>
        <v>1.0333333333333334</v>
      </c>
      <c r="FD96" s="635"/>
      <c r="FE96" s="192">
        <f t="shared" si="245"/>
        <v>0</v>
      </c>
      <c r="FF96" s="91"/>
      <c r="FG96" s="502"/>
      <c r="FH96" s="502"/>
      <c r="FI96" s="502"/>
      <c r="FJ96" s="502"/>
      <c r="FK96" s="502"/>
      <c r="FL96" s="664">
        <f t="shared" si="261"/>
        <v>0</v>
      </c>
      <c r="FM96" s="499"/>
      <c r="FN96" s="511"/>
      <c r="FO96" s="499"/>
      <c r="FP96" s="499"/>
      <c r="FQ96" s="94"/>
      <c r="FR96" s="94"/>
      <c r="FS96" s="94"/>
      <c r="FT96" s="94"/>
      <c r="FU96" s="94"/>
      <c r="FV96" s="39"/>
      <c r="FW96" s="212">
        <f t="shared" si="246"/>
        <v>45371</v>
      </c>
      <c r="FX96" s="212"/>
      <c r="FY96" s="39"/>
      <c r="FZ96" s="39"/>
      <c r="GA96" s="39"/>
      <c r="GB96" s="39"/>
      <c r="GC96" s="39"/>
      <c r="GD96" s="39"/>
      <c r="GE96" s="39"/>
      <c r="GF96" s="39"/>
      <c r="GG96" s="39"/>
      <c r="GH96" s="39"/>
      <c r="GI96" s="39"/>
      <c r="GJ96" s="39"/>
      <c r="GK96" s="39"/>
      <c r="GL96" s="742"/>
      <c r="GM96" s="979">
        <f t="shared" si="144"/>
        <v>32801100.000000004</v>
      </c>
      <c r="GN96" s="772">
        <f t="shared" si="284"/>
        <v>32801100.000000004</v>
      </c>
      <c r="GO96" s="53">
        <f>GN96</f>
        <v>32801100.000000004</v>
      </c>
      <c r="GP96" s="898">
        <f t="shared" ref="GP96:GP134" si="321">HA96+HB96+HF96+HJ96</f>
        <v>2025000</v>
      </c>
      <c r="GQ96" s="35" t="e">
        <f t="shared" ref="GQ96:GQ100" si="322">GN96/AL96</f>
        <v>#DIV/0!</v>
      </c>
      <c r="GR96" s="35">
        <f t="shared" ref="GR96:GR100" si="323">GN96/AE96</f>
        <v>184275.84269662923</v>
      </c>
      <c r="GS96" s="53">
        <v>10625226.923076924</v>
      </c>
      <c r="GT96" s="577"/>
      <c r="GU96" s="35">
        <f>GS96/AE96</f>
        <v>59692.286084701816</v>
      </c>
      <c r="GV96" s="53">
        <v>20150873.07692308</v>
      </c>
      <c r="GW96" s="67"/>
      <c r="GX96" s="67"/>
      <c r="GY96" s="567">
        <f t="shared" si="249"/>
        <v>113207.1521175454</v>
      </c>
      <c r="GZ96" s="53"/>
      <c r="HA96" s="53">
        <v>2025000</v>
      </c>
      <c r="HB96" s="53"/>
      <c r="HC96" s="28">
        <f t="shared" si="257"/>
        <v>6.1735734472319517E-2</v>
      </c>
      <c r="HD96" s="53"/>
      <c r="HE96" s="53"/>
      <c r="HF96" s="53"/>
      <c r="HG96" s="35">
        <f t="shared" si="258"/>
        <v>11376.404494382023</v>
      </c>
      <c r="HH96" s="35">
        <f t="shared" si="259"/>
        <v>71068.690579083835</v>
      </c>
      <c r="HI96" s="70"/>
      <c r="HJ96" s="70"/>
      <c r="HK96" s="19">
        <f t="shared" ref="HK96:HK100" si="324">(GS96+HA96+HJ96)/AE96</f>
        <v>71068.690579083835</v>
      </c>
      <c r="HL96" s="70"/>
      <c r="HM96" s="35">
        <f t="shared" si="260"/>
        <v>71068.690579083835</v>
      </c>
      <c r="HN96" s="36">
        <f>(GS96+HA96+HJ96+HL96)/(HI96+GN96-HO96)</f>
        <v>0.38566471621613063</v>
      </c>
      <c r="HO96" s="70"/>
      <c r="HP96" s="70"/>
      <c r="HQ96" s="53"/>
      <c r="HR96" s="898"/>
      <c r="HS96" s="907">
        <f t="shared" ref="HS96:HS134" si="325">HR96/GN96</f>
        <v>0</v>
      </c>
      <c r="HT96" s="898">
        <f t="shared" ref="HT96:HT134" si="326">GN96-HR96</f>
        <v>32801100.000000004</v>
      </c>
      <c r="HU96" s="898">
        <f ca="1">IF(ET96&lt;DATEDIF(TODAY(),$HU$1,"M"),HT96,(HT96/ET96*DATEDIF(TODAY(),$HU$1,"M")))*0</f>
        <v>0</v>
      </c>
      <c r="HV96" s="907">
        <f ca="1">(HR96+HU96)/GN96</f>
        <v>0</v>
      </c>
      <c r="HW96" s="898"/>
      <c r="HX96" s="898">
        <f>GP96-HW96</f>
        <v>2025000</v>
      </c>
      <c r="HY96" s="898">
        <f>HW96/GP96</f>
        <v>0</v>
      </c>
      <c r="HZ96" s="898"/>
      <c r="IA96" s="73" t="e">
        <f>#REF!+HI96</f>
        <v>#REF!</v>
      </c>
      <c r="IB96" s="752"/>
      <c r="IC96" s="73"/>
      <c r="ID96" s="73"/>
      <c r="IE96" s="73"/>
      <c r="IF96" s="73"/>
    </row>
    <row r="97" spans="1:240" ht="27.75" customHeight="1">
      <c r="A97" s="66" t="s">
        <v>928</v>
      </c>
      <c r="B97" s="768"/>
      <c r="C97" s="39" t="s">
        <v>21</v>
      </c>
      <c r="D97" s="39" t="s">
        <v>92</v>
      </c>
      <c r="E97" s="39">
        <v>2020</v>
      </c>
      <c r="F97" s="39"/>
      <c r="G97" s="39" t="s">
        <v>854</v>
      </c>
      <c r="H97" s="39"/>
      <c r="I97" s="39" t="s">
        <v>190</v>
      </c>
      <c r="J97" s="39"/>
      <c r="K97" s="39" t="s">
        <v>870</v>
      </c>
      <c r="L97" s="199"/>
      <c r="M97" s="129"/>
      <c r="N97" s="130"/>
      <c r="O97" s="131"/>
      <c r="P97" s="161">
        <v>20320</v>
      </c>
      <c r="Q97" s="161"/>
      <c r="R97" s="161"/>
      <c r="S97" s="161">
        <f>Q97/AE97</f>
        <v>0</v>
      </c>
      <c r="T97" s="161">
        <f>Q97/P97</f>
        <v>0</v>
      </c>
      <c r="U97" s="167">
        <f>R97/P97</f>
        <v>0</v>
      </c>
      <c r="V97" s="167" t="e">
        <f>R97/AL97</f>
        <v>#DIV/0!</v>
      </c>
      <c r="W97" s="167">
        <f>R97/AE97</f>
        <v>0</v>
      </c>
      <c r="X97" s="161">
        <f>P97/AE97</f>
        <v>290.28571428571428</v>
      </c>
      <c r="Y97" s="162"/>
      <c r="Z97" s="736">
        <f t="shared" si="213"/>
        <v>34.448818897637793</v>
      </c>
      <c r="AA97" s="162" t="s">
        <v>871</v>
      </c>
      <c r="AB97" s="162">
        <v>1370</v>
      </c>
      <c r="AC97" s="163">
        <v>0.2</v>
      </c>
      <c r="AD97" s="39" t="s">
        <v>10</v>
      </c>
      <c r="AE97" s="674">
        <f t="shared" si="311"/>
        <v>70</v>
      </c>
      <c r="AF97" s="674">
        <f t="shared" si="312"/>
        <v>70</v>
      </c>
      <c r="AG97" s="50"/>
      <c r="AH97" s="39">
        <v>70</v>
      </c>
      <c r="AI97" s="50"/>
      <c r="AJ97" s="593"/>
      <c r="AK97" s="209"/>
      <c r="AL97" s="422"/>
      <c r="AM97" s="875">
        <f t="shared" si="313"/>
        <v>0</v>
      </c>
      <c r="AN97" s="43">
        <f t="shared" si="314"/>
        <v>0</v>
      </c>
      <c r="AO97" s="43"/>
      <c r="AP97" s="43"/>
      <c r="AQ97" s="43"/>
      <c r="AR97" s="61"/>
      <c r="AS97" s="61"/>
      <c r="AT97" s="61"/>
      <c r="AU97" s="61"/>
      <c r="AV97" s="61"/>
      <c r="AW97" s="43"/>
      <c r="AX97" s="59"/>
      <c r="AY97" s="61"/>
      <c r="AZ97" s="43"/>
      <c r="BA97" s="39"/>
      <c r="BB97" s="39"/>
      <c r="BC97" s="39"/>
      <c r="BD97" s="39"/>
      <c r="BE97" s="39"/>
      <c r="BF97" s="39"/>
      <c r="BG97" s="184"/>
      <c r="BH97" s="87"/>
      <c r="BI97" s="159"/>
      <c r="BJ97" s="75"/>
      <c r="BK97" s="867" t="s">
        <v>250</v>
      </c>
      <c r="BL97" s="125"/>
      <c r="BM97" s="158"/>
      <c r="BN97" s="1007">
        <f t="shared" si="308"/>
        <v>0</v>
      </c>
      <c r="BO97" s="954"/>
      <c r="BP97" s="125"/>
      <c r="BQ97" s="125"/>
      <c r="BR97" s="225"/>
      <c r="BS97" s="224"/>
      <c r="BT97" s="605"/>
      <c r="BU97" s="224"/>
      <c r="BV97" s="784"/>
      <c r="BW97" s="605"/>
      <c r="BX97" s="605"/>
      <c r="BY97" s="702"/>
      <c r="BZ97" s="708"/>
      <c r="CA97" s="703"/>
      <c r="CB97" s="703"/>
      <c r="CC97" s="703"/>
      <c r="CD97" s="699"/>
      <c r="CE97" s="699"/>
      <c r="CF97" s="699"/>
      <c r="CG97" s="699"/>
      <c r="CH97" s="699"/>
      <c r="CI97" s="699"/>
      <c r="CJ97" s="699"/>
      <c r="CK97" s="699"/>
      <c r="CL97" s="699"/>
      <c r="CM97" s="699"/>
      <c r="CN97" s="699"/>
      <c r="CO97" s="699"/>
      <c r="CP97" s="699"/>
      <c r="CQ97" s="237"/>
      <c r="CR97" s="95"/>
      <c r="CS97" s="95"/>
      <c r="CT97" s="475" t="str">
        <f t="shared" si="315"/>
        <v>0</v>
      </c>
      <c r="CU97" s="95"/>
      <c r="CV97" s="95"/>
      <c r="CW97" s="475" t="str">
        <f t="shared" si="316"/>
        <v>0</v>
      </c>
      <c r="CX97" s="490"/>
      <c r="CY97" s="490"/>
      <c r="CZ97" s="492" t="str">
        <f t="shared" si="317"/>
        <v>0</v>
      </c>
      <c r="DA97" s="490"/>
      <c r="DB97" s="490"/>
      <c r="DC97" s="492" t="str">
        <f t="shared" si="318"/>
        <v>0</v>
      </c>
      <c r="DD97" s="490"/>
      <c r="DE97" s="490"/>
      <c r="DF97" s="492" t="str">
        <f t="shared" si="319"/>
        <v>0</v>
      </c>
      <c r="DG97" s="438"/>
      <c r="DH97" s="494"/>
      <c r="DI97" s="479"/>
      <c r="DJ97" s="484"/>
      <c r="DK97" s="481"/>
      <c r="DL97" s="680"/>
      <c r="DM97" s="617">
        <v>44247</v>
      </c>
      <c r="DN97" s="326"/>
      <c r="DO97" s="432">
        <f t="shared" si="302"/>
        <v>1474.9</v>
      </c>
      <c r="DP97" s="481" t="str">
        <f t="shared" si="225"/>
        <v>0</v>
      </c>
      <c r="DQ97" s="618">
        <v>22</v>
      </c>
      <c r="DR97" s="188">
        <f t="shared" si="226"/>
        <v>25</v>
      </c>
      <c r="DS97" s="479"/>
      <c r="DT97" s="484"/>
      <c r="DU97" s="481" t="str">
        <f t="shared" si="228"/>
        <v>0</v>
      </c>
      <c r="DV97" s="479"/>
      <c r="DW97" s="497"/>
      <c r="DX97" s="482" t="str">
        <f t="shared" si="230"/>
        <v>0</v>
      </c>
      <c r="DY97" s="483"/>
      <c r="DZ97" s="497">
        <f t="shared" ca="1" si="231"/>
        <v>43647</v>
      </c>
      <c r="EA97" s="481" t="str">
        <f t="shared" ca="1" si="295"/>
        <v>0</v>
      </c>
      <c r="EB97" s="484"/>
      <c r="EC97" s="484">
        <f t="shared" ca="1" si="233"/>
        <v>43647</v>
      </c>
      <c r="ED97" s="481" t="str">
        <f t="shared" ca="1" si="234"/>
        <v>0</v>
      </c>
      <c r="EE97" s="485"/>
      <c r="EF97" s="485"/>
      <c r="EG97" s="481" t="str">
        <f t="shared" si="235"/>
        <v>0</v>
      </c>
      <c r="EH97" s="484"/>
      <c r="EI97" s="484">
        <f t="shared" ca="1" si="236"/>
        <v>43647</v>
      </c>
      <c r="EJ97" s="481" t="str">
        <f t="shared" ca="1" si="237"/>
        <v>0</v>
      </c>
      <c r="EK97" s="484"/>
      <c r="EL97" s="484">
        <f t="shared" ca="1" si="238"/>
        <v>43647</v>
      </c>
      <c r="EM97" s="481" t="str">
        <f t="shared" ca="1" si="239"/>
        <v>0</v>
      </c>
      <c r="EN97" s="484"/>
      <c r="EO97" s="484"/>
      <c r="EP97" s="484"/>
      <c r="EQ97" s="654">
        <f t="shared" si="303"/>
        <v>44915</v>
      </c>
      <c r="ER97" s="653">
        <f t="shared" si="304"/>
        <v>45005</v>
      </c>
      <c r="ES97" s="650">
        <f t="shared" si="305"/>
        <v>3</v>
      </c>
      <c r="ET97" s="904">
        <f t="shared" ca="1" si="306"/>
        <v>45.266666666666666</v>
      </c>
      <c r="EU97" s="653">
        <f t="shared" si="320"/>
        <v>731</v>
      </c>
      <c r="EV97" s="748"/>
      <c r="EW97" s="737"/>
      <c r="EX97" s="749"/>
      <c r="EY97" s="443"/>
      <c r="EZ97" s="747">
        <f t="shared" si="307"/>
        <v>44946</v>
      </c>
      <c r="FA97" s="653">
        <f>DATE(YEAR(EZ97),MONTH(EZ97)+1,DAY(EZ97))</f>
        <v>44977</v>
      </c>
      <c r="FB97" s="518"/>
      <c r="FC97" s="647"/>
      <c r="FD97" s="635"/>
      <c r="FE97" s="192"/>
      <c r="FF97" s="91"/>
      <c r="FG97" s="502"/>
      <c r="FH97" s="502"/>
      <c r="FI97" s="502"/>
      <c r="FJ97" s="502"/>
      <c r="FK97" s="502"/>
      <c r="FL97" s="664"/>
      <c r="FM97" s="499"/>
      <c r="FN97" s="511"/>
      <c r="FO97" s="499"/>
      <c r="FP97" s="499"/>
      <c r="FQ97" s="94"/>
      <c r="FR97" s="94"/>
      <c r="FS97" s="94"/>
      <c r="FT97" s="94"/>
      <c r="FU97" s="94"/>
      <c r="FV97" s="39"/>
      <c r="FW97" s="212"/>
      <c r="FX97" s="212"/>
      <c r="FY97" s="39"/>
      <c r="FZ97" s="39"/>
      <c r="GA97" s="39"/>
      <c r="GB97" s="39"/>
      <c r="GC97" s="39"/>
      <c r="GD97" s="39"/>
      <c r="GE97" s="39"/>
      <c r="GF97" s="39"/>
      <c r="GG97" s="39"/>
      <c r="GH97" s="39"/>
      <c r="GI97" s="39"/>
      <c r="GJ97" s="39"/>
      <c r="GK97" s="39"/>
      <c r="GL97" s="742"/>
      <c r="GM97" s="979">
        <f t="shared" si="144"/>
        <v>12525448.823631732</v>
      </c>
      <c r="GN97" s="772">
        <f t="shared" si="284"/>
        <v>12525448.823631732</v>
      </c>
      <c r="GO97" s="53">
        <f t="shared" ref="GO97:GO100" si="327">GN97</f>
        <v>12525448.823631732</v>
      </c>
      <c r="GP97" s="898">
        <f t="shared" si="321"/>
        <v>1950000</v>
      </c>
      <c r="GQ97" s="35" t="e">
        <f t="shared" si="322"/>
        <v>#DIV/0!</v>
      </c>
      <c r="GR97" s="35">
        <f t="shared" si="323"/>
        <v>178934.98319473903</v>
      </c>
      <c r="GS97" s="53">
        <v>3778580.9279999989</v>
      </c>
      <c r="GT97" s="577"/>
      <c r="GU97" s="35">
        <f>GS97/AE97</f>
        <v>53979.72754285713</v>
      </c>
      <c r="GV97" s="53">
        <f t="shared" ref="GV97:GV103" si="328">GW97+GX97</f>
        <v>6796867.8956317324</v>
      </c>
      <c r="GW97" s="67">
        <v>1359373.5791263466</v>
      </c>
      <c r="GX97" s="67">
        <v>5437494.3165053856</v>
      </c>
      <c r="GY97" s="567">
        <f t="shared" si="249"/>
        <v>97098.112794739034</v>
      </c>
      <c r="GZ97" s="53"/>
      <c r="HA97" s="53">
        <v>1950000</v>
      </c>
      <c r="HB97" s="53"/>
      <c r="HC97" s="28">
        <f t="shared" si="257"/>
        <v>0.15568304397371693</v>
      </c>
      <c r="HD97" s="53"/>
      <c r="HE97" s="53"/>
      <c r="HF97" s="53"/>
      <c r="HG97" s="35">
        <f t="shared" ref="HG97:HG100" si="329">HA97/AE97</f>
        <v>27857.142857142859</v>
      </c>
      <c r="HH97" s="35">
        <f t="shared" ref="HH97:HH100" si="330">(GS97+HA97)/AE97</f>
        <v>81836.870399999985</v>
      </c>
      <c r="HI97" s="70"/>
      <c r="HJ97" s="70"/>
      <c r="HK97" s="19">
        <f t="shared" si="324"/>
        <v>81836.870399999985</v>
      </c>
      <c r="HL97" s="70"/>
      <c r="HM97" s="35">
        <f t="shared" ref="HM97:HM100" si="331">(GS97+HA97+HJ97+HL97)/AE97</f>
        <v>81836.870399999985</v>
      </c>
      <c r="HN97" s="36">
        <f t="shared" ref="HN97:HN100" si="332">(GS97+HA97+HJ97+HL97)/(HI97+GN97-HO97)</f>
        <v>0.45735534180554877</v>
      </c>
      <c r="HO97" s="70"/>
      <c r="HP97" s="70"/>
      <c r="HQ97" s="53"/>
      <c r="HR97" s="898"/>
      <c r="HS97" s="907">
        <f t="shared" si="325"/>
        <v>0</v>
      </c>
      <c r="HT97" s="898">
        <f t="shared" si="326"/>
        <v>12525448.823631732</v>
      </c>
      <c r="HU97" s="898">
        <f ca="1">IF(ET97&lt;DATEDIF(TODAY(),$HU$1,"M"),HT97,(HT97/ET97*DATEDIF(TODAY(),$HU$1,"M")))*0</f>
        <v>0</v>
      </c>
      <c r="HV97" s="907">
        <f ca="1">(HR97+HU97)/GN97</f>
        <v>0</v>
      </c>
      <c r="HW97" s="898"/>
      <c r="HX97" s="898">
        <f>GP97-HW97</f>
        <v>1950000</v>
      </c>
      <c r="HY97" s="898">
        <f>HW97/GP97</f>
        <v>0</v>
      </c>
      <c r="HZ97" s="898"/>
      <c r="IA97" s="73"/>
      <c r="IB97" s="752"/>
      <c r="IC97" s="73"/>
      <c r="ID97" s="73"/>
      <c r="IE97" s="73"/>
      <c r="IF97" s="73"/>
    </row>
    <row r="98" spans="1:240" ht="20.100000000000001" customHeight="1">
      <c r="A98" s="66" t="s">
        <v>915</v>
      </c>
      <c r="B98" s="66"/>
      <c r="C98" s="39" t="s">
        <v>21</v>
      </c>
      <c r="D98" s="39" t="s">
        <v>92</v>
      </c>
      <c r="E98" s="39">
        <v>2020</v>
      </c>
      <c r="F98" s="39"/>
      <c r="G98" s="39"/>
      <c r="H98" s="39"/>
      <c r="I98" s="39" t="s">
        <v>318</v>
      </c>
      <c r="J98" s="39"/>
      <c r="K98" s="39" t="s">
        <v>912</v>
      </c>
      <c r="L98" s="199"/>
      <c r="M98" s="129"/>
      <c r="N98" s="130"/>
      <c r="O98" s="131"/>
      <c r="P98" s="178"/>
      <c r="Q98" s="178"/>
      <c r="R98" s="178"/>
      <c r="S98" s="178"/>
      <c r="T98" s="178"/>
      <c r="U98" s="546"/>
      <c r="V98" s="546"/>
      <c r="W98" s="546"/>
      <c r="X98" s="178"/>
      <c r="Y98" s="162"/>
      <c r="Z98" s="736"/>
      <c r="AA98" s="162"/>
      <c r="AB98" s="162"/>
      <c r="AC98" s="163"/>
      <c r="AD98" s="39" t="s">
        <v>9</v>
      </c>
      <c r="AE98" s="674">
        <f t="shared" si="311"/>
        <v>123</v>
      </c>
      <c r="AF98" s="674">
        <f t="shared" si="312"/>
        <v>123</v>
      </c>
      <c r="AG98" s="50"/>
      <c r="AH98" s="50"/>
      <c r="AI98" s="149">
        <f>93+30</f>
        <v>123</v>
      </c>
      <c r="AJ98" s="50"/>
      <c r="AK98" s="209"/>
      <c r="AL98" s="422"/>
      <c r="AM98" s="875">
        <f t="shared" si="313"/>
        <v>0</v>
      </c>
      <c r="AN98" s="43">
        <f t="shared" si="314"/>
        <v>0</v>
      </c>
      <c r="AO98" s="43"/>
      <c r="AP98" s="43"/>
      <c r="AQ98" s="43"/>
      <c r="AR98" s="61"/>
      <c r="AS98" s="61"/>
      <c r="AT98" s="61"/>
      <c r="AU98" s="61"/>
      <c r="AV98" s="61"/>
      <c r="AW98" s="43"/>
      <c r="AX98" s="59"/>
      <c r="AY98" s="61"/>
      <c r="AZ98" s="43"/>
      <c r="BA98" s="39"/>
      <c r="BB98" s="39"/>
      <c r="BC98" s="39"/>
      <c r="BD98" s="39"/>
      <c r="BE98" s="39"/>
      <c r="BF98" s="39"/>
      <c r="BG98" s="39"/>
      <c r="BH98" s="39"/>
      <c r="BI98" s="159"/>
      <c r="BJ98" s="75"/>
      <c r="BK98" s="867" t="s">
        <v>250</v>
      </c>
      <c r="BL98" s="125"/>
      <c r="BM98" s="158"/>
      <c r="BN98" s="1007">
        <f t="shared" si="308"/>
        <v>0</v>
      </c>
      <c r="BO98" s="954"/>
      <c r="BP98" s="125"/>
      <c r="BQ98" s="125"/>
      <c r="BR98" s="225"/>
      <c r="BS98" s="224"/>
      <c r="BT98" s="605"/>
      <c r="BU98" s="782"/>
      <c r="BV98" s="783"/>
      <c r="BW98" s="783"/>
      <c r="BX98" s="783"/>
      <c r="BY98" s="702"/>
      <c r="BZ98" s="708"/>
      <c r="CA98" s="703"/>
      <c r="CB98" s="703"/>
      <c r="CC98" s="703"/>
      <c r="CD98" s="699"/>
      <c r="CE98" s="699"/>
      <c r="CF98" s="699"/>
      <c r="CG98" s="699"/>
      <c r="CH98" s="699"/>
      <c r="CI98" s="699"/>
      <c r="CJ98" s="699"/>
      <c r="CK98" s="699"/>
      <c r="CL98" s="699"/>
      <c r="CM98" s="699"/>
      <c r="CN98" s="699"/>
      <c r="CO98" s="699"/>
      <c r="CP98" s="699"/>
      <c r="CQ98" s="488"/>
      <c r="CR98" s="490"/>
      <c r="CS98" s="490"/>
      <c r="CT98" s="492" t="str">
        <f t="shared" si="315"/>
        <v>0</v>
      </c>
      <c r="CU98" s="490"/>
      <c r="CV98" s="490"/>
      <c r="CW98" s="492" t="str">
        <f t="shared" si="316"/>
        <v>0</v>
      </c>
      <c r="CX98" s="490"/>
      <c r="CY98" s="490"/>
      <c r="CZ98" s="492" t="str">
        <f t="shared" si="317"/>
        <v>0</v>
      </c>
      <c r="DA98" s="490"/>
      <c r="DB98" s="490"/>
      <c r="DC98" s="492" t="str">
        <f t="shared" si="318"/>
        <v>0</v>
      </c>
      <c r="DD98" s="493"/>
      <c r="DE98" s="490"/>
      <c r="DF98" s="492" t="str">
        <f t="shared" si="319"/>
        <v>0</v>
      </c>
      <c r="DG98" s="438"/>
      <c r="DH98" s="494"/>
      <c r="DI98" s="479"/>
      <c r="DJ98" s="480"/>
      <c r="DK98" s="481"/>
      <c r="DL98" s="680"/>
      <c r="DM98" s="617">
        <v>44247</v>
      </c>
      <c r="DN98" s="326"/>
      <c r="DO98" s="432">
        <f t="shared" si="302"/>
        <v>1474.9</v>
      </c>
      <c r="DP98" s="481" t="str">
        <f t="shared" si="225"/>
        <v>0</v>
      </c>
      <c r="DQ98" s="618">
        <v>24</v>
      </c>
      <c r="DR98" s="188">
        <f t="shared" si="226"/>
        <v>27</v>
      </c>
      <c r="DS98" s="479"/>
      <c r="DT98" s="484"/>
      <c r="DU98" s="481" t="str">
        <f t="shared" si="228"/>
        <v>0</v>
      </c>
      <c r="DV98" s="479"/>
      <c r="DW98" s="497"/>
      <c r="DX98" s="482" t="str">
        <f t="shared" si="230"/>
        <v>0</v>
      </c>
      <c r="DY98" s="483"/>
      <c r="DZ98" s="497">
        <f t="shared" ca="1" si="231"/>
        <v>43647</v>
      </c>
      <c r="EA98" s="481" t="str">
        <f t="shared" ca="1" si="295"/>
        <v>0</v>
      </c>
      <c r="EB98" s="484"/>
      <c r="EC98" s="484">
        <f t="shared" ca="1" si="233"/>
        <v>43647</v>
      </c>
      <c r="ED98" s="481" t="str">
        <f t="shared" ca="1" si="234"/>
        <v>0</v>
      </c>
      <c r="EE98" s="485"/>
      <c r="EF98" s="485"/>
      <c r="EG98" s="481" t="str">
        <f t="shared" si="235"/>
        <v>0</v>
      </c>
      <c r="EH98" s="484"/>
      <c r="EI98" s="484">
        <f t="shared" ca="1" si="236"/>
        <v>43647</v>
      </c>
      <c r="EJ98" s="481" t="str">
        <f t="shared" ca="1" si="237"/>
        <v>0</v>
      </c>
      <c r="EK98" s="484"/>
      <c r="EL98" s="484">
        <f t="shared" ca="1" si="238"/>
        <v>43647</v>
      </c>
      <c r="EM98" s="481" t="str">
        <f t="shared" ca="1" si="239"/>
        <v>0</v>
      </c>
      <c r="EN98" s="485"/>
      <c r="EO98" s="485"/>
      <c r="EP98" s="485"/>
      <c r="EQ98" s="654">
        <f t="shared" si="303"/>
        <v>44977</v>
      </c>
      <c r="ER98" s="653">
        <f t="shared" si="304"/>
        <v>45066</v>
      </c>
      <c r="ES98" s="650">
        <f t="shared" si="305"/>
        <v>2.9666666666666668</v>
      </c>
      <c r="ET98" s="904">
        <f t="shared" ca="1" si="306"/>
        <v>47.3</v>
      </c>
      <c r="EU98" s="653">
        <f t="shared" si="320"/>
        <v>731</v>
      </c>
      <c r="EV98" s="748"/>
      <c r="EW98" s="737"/>
      <c r="EX98" s="749"/>
      <c r="EY98" s="443"/>
      <c r="EZ98" s="747">
        <f t="shared" si="307"/>
        <v>45005</v>
      </c>
      <c r="FA98" s="653">
        <f>DATE(YEAR(EZ98),MONTH(EZ98)+1,DAY(EZ98))</f>
        <v>45036</v>
      </c>
      <c r="FB98" s="518"/>
      <c r="FC98" s="647"/>
      <c r="FD98" s="635"/>
      <c r="FE98" s="192"/>
      <c r="FF98" s="91"/>
      <c r="FG98" s="502"/>
      <c r="FH98" s="502"/>
      <c r="FI98" s="502"/>
      <c r="FJ98" s="502"/>
      <c r="FK98" s="502"/>
      <c r="FL98" s="664"/>
      <c r="FM98" s="499"/>
      <c r="FN98" s="511"/>
      <c r="FO98" s="499"/>
      <c r="FP98" s="499"/>
      <c r="FQ98" s="94"/>
      <c r="FR98" s="94"/>
      <c r="FS98" s="94"/>
      <c r="FT98" s="94"/>
      <c r="FU98" s="94"/>
      <c r="FV98" s="39"/>
      <c r="FW98" s="212"/>
      <c r="FX98" s="212"/>
      <c r="FY98" s="39"/>
      <c r="FZ98" s="39"/>
      <c r="GA98" s="39"/>
      <c r="GB98" s="39"/>
      <c r="GC98" s="39"/>
      <c r="GD98" s="39"/>
      <c r="GE98" s="39"/>
      <c r="GF98" s="39"/>
      <c r="GG98" s="39"/>
      <c r="GH98" s="39"/>
      <c r="GI98" s="39"/>
      <c r="GJ98" s="39"/>
      <c r="GK98" s="39"/>
      <c r="GL98" s="742"/>
      <c r="GM98" s="979">
        <f t="shared" si="144"/>
        <v>18855280.833233792</v>
      </c>
      <c r="GN98" s="772">
        <f t="shared" si="284"/>
        <v>18855280.833233792</v>
      </c>
      <c r="GO98" s="53">
        <f t="shared" si="327"/>
        <v>18855280.833233792</v>
      </c>
      <c r="GP98" s="898">
        <f t="shared" si="321"/>
        <v>0</v>
      </c>
      <c r="GQ98" s="35" t="e">
        <f t="shared" si="322"/>
        <v>#DIV/0!</v>
      </c>
      <c r="GR98" s="35">
        <f t="shared" si="323"/>
        <v>153294.96612385198</v>
      </c>
      <c r="GS98" s="53">
        <v>6837223.4146341439</v>
      </c>
      <c r="GT98" s="577"/>
      <c r="GU98" s="35">
        <f>GS98/AE98</f>
        <v>55587.182232797917</v>
      </c>
      <c r="GV98" s="53">
        <f t="shared" si="328"/>
        <v>12018057.418599648</v>
      </c>
      <c r="GW98" s="67">
        <v>2403611.4837199301</v>
      </c>
      <c r="GX98" s="67">
        <v>9614445.9348797183</v>
      </c>
      <c r="GY98" s="567">
        <f t="shared" si="249"/>
        <v>97707.783891054045</v>
      </c>
      <c r="GZ98" s="53"/>
      <c r="HA98" s="53"/>
      <c r="HB98" s="53"/>
      <c r="HC98" s="28">
        <f t="shared" si="257"/>
        <v>0</v>
      </c>
      <c r="HD98" s="53"/>
      <c r="HE98" s="53"/>
      <c r="HF98" s="53"/>
      <c r="HG98" s="35">
        <f t="shared" si="329"/>
        <v>0</v>
      </c>
      <c r="HH98" s="35">
        <f t="shared" si="330"/>
        <v>55587.182232797917</v>
      </c>
      <c r="HI98" s="70"/>
      <c r="HJ98" s="71"/>
      <c r="HK98" s="19">
        <f t="shared" si="324"/>
        <v>55587.182232797917</v>
      </c>
      <c r="HL98" s="70"/>
      <c r="HM98" s="35">
        <f t="shared" si="331"/>
        <v>55587.182232797917</v>
      </c>
      <c r="HN98" s="36">
        <f t="shared" si="332"/>
        <v>0.3626158355903692</v>
      </c>
      <c r="HO98" s="70"/>
      <c r="HP98" s="70"/>
      <c r="HQ98" s="53"/>
      <c r="HR98" s="898"/>
      <c r="HS98" s="907">
        <f t="shared" si="325"/>
        <v>0</v>
      </c>
      <c r="HT98" s="898">
        <f t="shared" si="326"/>
        <v>18855280.833233792</v>
      </c>
      <c r="HU98" s="898">
        <f ca="1">IF(ET98&lt;DATEDIF(TODAY(),$HU$1,"M"),HT98,(HT98/ET98*DATEDIF(TODAY(),$HU$1,"M")))*0</f>
        <v>0</v>
      </c>
      <c r="HV98" s="907">
        <f ca="1">(HR98+HU98)/GN98</f>
        <v>0</v>
      </c>
      <c r="HW98" s="898"/>
      <c r="HX98" s="898">
        <f>GP98-HW98</f>
        <v>0</v>
      </c>
      <c r="HY98" s="898" t="e">
        <f>HW98/GP98</f>
        <v>#DIV/0!</v>
      </c>
      <c r="HZ98" s="898"/>
      <c r="IA98" s="73"/>
      <c r="IB98" s="752"/>
      <c r="IC98" s="73"/>
      <c r="ID98" s="73"/>
      <c r="IE98" s="73"/>
      <c r="IF98" s="73"/>
    </row>
    <row r="99" spans="1:240" ht="30" customHeight="1">
      <c r="A99" s="74" t="s">
        <v>879</v>
      </c>
      <c r="B99" s="297"/>
      <c r="C99" s="40" t="s">
        <v>25</v>
      </c>
      <c r="D99" s="40" t="s">
        <v>94</v>
      </c>
      <c r="E99" s="39">
        <v>2020</v>
      </c>
      <c r="F99" s="40" t="s">
        <v>925</v>
      </c>
      <c r="G99" s="39" t="s">
        <v>854</v>
      </c>
      <c r="H99" s="39" t="s">
        <v>705</v>
      </c>
      <c r="I99" s="40" t="s">
        <v>318</v>
      </c>
      <c r="J99" s="39"/>
      <c r="K99" s="40" t="s">
        <v>880</v>
      </c>
      <c r="L99" s="160" t="s">
        <v>876</v>
      </c>
      <c r="M99" s="129"/>
      <c r="N99" s="130"/>
      <c r="O99" s="131"/>
      <c r="P99" s="166"/>
      <c r="Q99" s="166"/>
      <c r="R99" s="166"/>
      <c r="S99" s="161"/>
      <c r="T99" s="161"/>
      <c r="U99" s="167"/>
      <c r="V99" s="167"/>
      <c r="W99" s="167"/>
      <c r="X99" s="161"/>
      <c r="Y99" s="168"/>
      <c r="Z99" s="736"/>
      <c r="AA99" s="168"/>
      <c r="AB99" s="162"/>
      <c r="AC99" s="163"/>
      <c r="AD99" s="40" t="s">
        <v>9</v>
      </c>
      <c r="AE99" s="674">
        <f t="shared" si="311"/>
        <v>25</v>
      </c>
      <c r="AF99" s="674">
        <f t="shared" si="312"/>
        <v>25</v>
      </c>
      <c r="AG99" s="40">
        <v>25</v>
      </c>
      <c r="AH99" s="50"/>
      <c r="AI99" s="50"/>
      <c r="AJ99" s="88"/>
      <c r="AK99" s="43"/>
      <c r="AL99" s="422"/>
      <c r="AM99" s="875">
        <f t="shared" si="313"/>
        <v>0</v>
      </c>
      <c r="AN99" s="43">
        <f t="shared" si="314"/>
        <v>0</v>
      </c>
      <c r="AO99" s="43"/>
      <c r="AP99" s="43"/>
      <c r="AQ99" s="43"/>
      <c r="AR99" s="61"/>
      <c r="AS99" s="61"/>
      <c r="AT99" s="61"/>
      <c r="AU99" s="45"/>
      <c r="AV99" s="43"/>
      <c r="AW99" s="59"/>
      <c r="AX99" s="61"/>
      <c r="AY99" s="61"/>
      <c r="AZ99" s="43"/>
      <c r="BA99" s="42"/>
      <c r="BB99" s="39"/>
      <c r="BC99" s="39"/>
      <c r="BD99" s="39"/>
      <c r="BE99" s="39"/>
      <c r="BF99" s="39"/>
      <c r="BG99" s="183"/>
      <c r="BH99" s="39"/>
      <c r="BI99" s="159"/>
      <c r="BJ99" s="75"/>
      <c r="BK99" s="867" t="s">
        <v>250</v>
      </c>
      <c r="BL99" s="125"/>
      <c r="BM99" s="158"/>
      <c r="BN99" s="1007">
        <f t="shared" si="308"/>
        <v>0</v>
      </c>
      <c r="BO99" s="954"/>
      <c r="BP99" s="125"/>
      <c r="BQ99" s="125"/>
      <c r="BR99" s="225"/>
      <c r="BS99" s="224"/>
      <c r="BT99" s="605"/>
      <c r="BU99" s="224"/>
      <c r="BV99" s="784"/>
      <c r="BW99" s="605"/>
      <c r="BX99" s="605"/>
      <c r="BY99" s="76"/>
      <c r="BZ99" s="77"/>
      <c r="CA99" s="703"/>
      <c r="CB99" s="703"/>
      <c r="CC99" s="703"/>
      <c r="CD99" s="699"/>
      <c r="CE99" s="699"/>
      <c r="CF99" s="699"/>
      <c r="CG99" s="699"/>
      <c r="CH99" s="699"/>
      <c r="CI99" s="699"/>
      <c r="CJ99" s="699"/>
      <c r="CK99" s="699"/>
      <c r="CL99" s="699"/>
      <c r="CM99" s="699"/>
      <c r="CN99" s="699"/>
      <c r="CO99" s="699"/>
      <c r="CP99" s="699"/>
      <c r="CQ99" s="490"/>
      <c r="CR99" s="490"/>
      <c r="CS99" s="490"/>
      <c r="CT99" s="492" t="str">
        <f t="shared" si="315"/>
        <v>0</v>
      </c>
      <c r="CU99" s="490"/>
      <c r="CV99" s="490"/>
      <c r="CW99" s="492" t="str">
        <f t="shared" si="316"/>
        <v>0</v>
      </c>
      <c r="CX99" s="490"/>
      <c r="CY99" s="490"/>
      <c r="CZ99" s="492" t="str">
        <f t="shared" si="317"/>
        <v>0</v>
      </c>
      <c r="DA99" s="493"/>
      <c r="DB99" s="490"/>
      <c r="DC99" s="492" t="str">
        <f t="shared" si="318"/>
        <v>0</v>
      </c>
      <c r="DD99" s="493"/>
      <c r="DE99" s="490"/>
      <c r="DF99" s="492" t="str">
        <f t="shared" si="319"/>
        <v>0</v>
      </c>
      <c r="DG99" s="39"/>
      <c r="DH99" s="491"/>
      <c r="DI99" s="479"/>
      <c r="DJ99" s="480"/>
      <c r="DK99" s="481"/>
      <c r="DL99" s="680"/>
      <c r="DM99" s="617">
        <v>44367</v>
      </c>
      <c r="DN99" s="677"/>
      <c r="DO99" s="432">
        <f t="shared" si="302"/>
        <v>1478.9</v>
      </c>
      <c r="DP99" s="481" t="str">
        <f t="shared" si="225"/>
        <v>0</v>
      </c>
      <c r="DQ99" s="618">
        <v>16</v>
      </c>
      <c r="DR99" s="188">
        <f t="shared" si="226"/>
        <v>19</v>
      </c>
      <c r="DS99" s="479"/>
      <c r="DT99" s="484"/>
      <c r="DU99" s="481" t="str">
        <f t="shared" si="228"/>
        <v>0</v>
      </c>
      <c r="DV99" s="479"/>
      <c r="DW99" s="497"/>
      <c r="DX99" s="482" t="str">
        <f t="shared" si="230"/>
        <v>0</v>
      </c>
      <c r="DY99" s="483"/>
      <c r="DZ99" s="497">
        <f t="shared" ca="1" si="231"/>
        <v>43647</v>
      </c>
      <c r="EA99" s="481" t="str">
        <f t="shared" ca="1" si="295"/>
        <v>0</v>
      </c>
      <c r="EB99" s="484"/>
      <c r="EC99" s="484">
        <f t="shared" ca="1" si="233"/>
        <v>43647</v>
      </c>
      <c r="ED99" s="481" t="str">
        <f t="shared" ca="1" si="234"/>
        <v>0</v>
      </c>
      <c r="EE99" s="485"/>
      <c r="EF99" s="485"/>
      <c r="EG99" s="481" t="str">
        <f t="shared" si="235"/>
        <v>0</v>
      </c>
      <c r="EH99" s="484"/>
      <c r="EI99" s="484">
        <f t="shared" ca="1" si="236"/>
        <v>43647</v>
      </c>
      <c r="EJ99" s="481" t="str">
        <f t="shared" ca="1" si="237"/>
        <v>0</v>
      </c>
      <c r="EK99" s="484"/>
      <c r="EL99" s="484">
        <f t="shared" ca="1" si="238"/>
        <v>43647</v>
      </c>
      <c r="EM99" s="481" t="str">
        <f t="shared" ca="1" si="239"/>
        <v>0</v>
      </c>
      <c r="EN99" s="484"/>
      <c r="EO99" s="484"/>
      <c r="EP99" s="484"/>
      <c r="EQ99" s="654">
        <f t="shared" si="303"/>
        <v>44854</v>
      </c>
      <c r="ER99" s="653">
        <f t="shared" si="304"/>
        <v>44946</v>
      </c>
      <c r="ES99" s="650">
        <f t="shared" si="305"/>
        <v>3.0666666666666669</v>
      </c>
      <c r="ET99" s="904">
        <f t="shared" ca="1" si="306"/>
        <v>43.3</v>
      </c>
      <c r="EU99" s="653">
        <f t="shared" si="320"/>
        <v>731</v>
      </c>
      <c r="EV99" s="775"/>
      <c r="EW99" s="737"/>
      <c r="EX99" s="749"/>
      <c r="EY99" s="443"/>
      <c r="EZ99" s="747">
        <f t="shared" si="307"/>
        <v>44885</v>
      </c>
      <c r="FA99" s="653">
        <f>DATE(YEAR(EZ99),MONTH(EZ99)+1,DAY(EZ99))</f>
        <v>44915</v>
      </c>
      <c r="FB99" s="518"/>
      <c r="FC99" s="647"/>
      <c r="FD99" s="635"/>
      <c r="FE99" s="192"/>
      <c r="FF99" s="145"/>
      <c r="FG99" s="502"/>
      <c r="FH99" s="502"/>
      <c r="FI99" s="502"/>
      <c r="FJ99" s="502"/>
      <c r="FK99" s="502"/>
      <c r="FL99" s="664"/>
      <c r="FM99" s="499"/>
      <c r="FN99" s="511"/>
      <c r="FO99" s="499"/>
      <c r="FP99" s="499"/>
      <c r="FQ99" s="94"/>
      <c r="FR99" s="94"/>
      <c r="FS99" s="94"/>
      <c r="FT99" s="94"/>
      <c r="FU99" s="94"/>
      <c r="FV99" s="39"/>
      <c r="FW99" s="212"/>
      <c r="FX99" s="212"/>
      <c r="FY99" s="39"/>
      <c r="FZ99" s="39"/>
      <c r="GA99" s="39"/>
      <c r="GB99" s="39"/>
      <c r="GC99" s="39"/>
      <c r="GD99" s="39"/>
      <c r="GE99" s="39"/>
      <c r="GF99" s="39"/>
      <c r="GG99" s="39"/>
      <c r="GH99" s="39"/>
      <c r="GI99" s="39"/>
      <c r="GJ99" s="39"/>
      <c r="GK99" s="39"/>
      <c r="GL99" s="742"/>
      <c r="GM99" s="979">
        <f t="shared" si="144"/>
        <v>3918196.3067388507</v>
      </c>
      <c r="GN99" s="772">
        <f t="shared" si="284"/>
        <v>3918196.3067388507</v>
      </c>
      <c r="GO99" s="53">
        <f t="shared" si="327"/>
        <v>3918196.3067388507</v>
      </c>
      <c r="GP99" s="898">
        <f t="shared" si="321"/>
        <v>375000</v>
      </c>
      <c r="GQ99" s="35" t="e">
        <f t="shared" si="322"/>
        <v>#DIV/0!</v>
      </c>
      <c r="GR99" s="35">
        <f t="shared" si="323"/>
        <v>156727.85226955402</v>
      </c>
      <c r="GS99" s="53">
        <v>1280832.0547667083</v>
      </c>
      <c r="GT99" s="577"/>
      <c r="GU99" s="35">
        <f>GS99/AE99</f>
        <v>51233.282190668331</v>
      </c>
      <c r="GV99" s="53">
        <f t="shared" si="328"/>
        <v>2262364.2519721426</v>
      </c>
      <c r="GW99" s="67">
        <v>319237.96940944175</v>
      </c>
      <c r="GX99" s="67">
        <v>1943126.2825627008</v>
      </c>
      <c r="GY99" s="567">
        <f t="shared" si="249"/>
        <v>90494.570078885707</v>
      </c>
      <c r="GZ99" s="53"/>
      <c r="HA99" s="52">
        <v>375000</v>
      </c>
      <c r="HB99" s="53"/>
      <c r="HC99" s="28">
        <f t="shared" si="257"/>
        <v>9.5707302708402525E-2</v>
      </c>
      <c r="HD99" s="53"/>
      <c r="HE99" s="53"/>
      <c r="HF99" s="53"/>
      <c r="HG99" s="35">
        <f t="shared" si="329"/>
        <v>15000</v>
      </c>
      <c r="HH99" s="35">
        <f t="shared" si="330"/>
        <v>66233.282190668338</v>
      </c>
      <c r="HI99" s="70"/>
      <c r="HJ99" s="70"/>
      <c r="HK99" s="19">
        <f t="shared" si="324"/>
        <v>66233.282190668338</v>
      </c>
      <c r="HL99" s="70"/>
      <c r="HM99" s="35">
        <f t="shared" si="331"/>
        <v>66233.282190668338</v>
      </c>
      <c r="HN99" s="36">
        <f t="shared" si="332"/>
        <v>0.42260058586622268</v>
      </c>
      <c r="HO99" s="70"/>
      <c r="HP99" s="70"/>
      <c r="HQ99" s="53"/>
      <c r="HR99" s="898"/>
      <c r="HS99" s="907">
        <f t="shared" si="325"/>
        <v>0</v>
      </c>
      <c r="HT99" s="898">
        <f t="shared" si="326"/>
        <v>3918196.3067388507</v>
      </c>
      <c r="HU99" s="898">
        <f ca="1">IF(ET99&lt;DATEDIF(TODAY(),$HU$1,"M"),HT99,(HT99/ET99*DATEDIF(TODAY(),$HU$1,"M")))*0+70000</f>
        <v>70000</v>
      </c>
      <c r="HV99" s="907">
        <f ca="1">(HR99+HU99)/GN99</f>
        <v>1.7865363172235138E-2</v>
      </c>
      <c r="HW99" s="898"/>
      <c r="HX99" s="898">
        <f>GP99-HW99</f>
        <v>375000</v>
      </c>
      <c r="HY99" s="898">
        <f>HW99/GP99</f>
        <v>0</v>
      </c>
      <c r="HZ99" s="898"/>
      <c r="IA99" s="73"/>
      <c r="IB99" s="752"/>
      <c r="IC99" s="73"/>
      <c r="ID99" s="73"/>
      <c r="IE99" s="73"/>
      <c r="IF99" s="73"/>
    </row>
    <row r="100" spans="1:240" ht="20.100000000000001" customHeight="1">
      <c r="A100" s="74" t="s">
        <v>878</v>
      </c>
      <c r="B100" s="297"/>
      <c r="C100" s="40" t="s">
        <v>25</v>
      </c>
      <c r="D100" s="40" t="s">
        <v>94</v>
      </c>
      <c r="E100" s="39">
        <v>2020</v>
      </c>
      <c r="F100" s="40" t="s">
        <v>925</v>
      </c>
      <c r="G100" s="88"/>
      <c r="H100" s="88"/>
      <c r="I100" s="40" t="s">
        <v>318</v>
      </c>
      <c r="J100" s="39"/>
      <c r="K100" s="40" t="s">
        <v>877</v>
      </c>
      <c r="L100" s="160" t="s">
        <v>876</v>
      </c>
      <c r="M100" s="129"/>
      <c r="N100" s="130"/>
      <c r="O100" s="131"/>
      <c r="P100" s="166"/>
      <c r="Q100" s="166"/>
      <c r="R100" s="166"/>
      <c r="S100" s="161"/>
      <c r="T100" s="161"/>
      <c r="U100" s="167"/>
      <c r="V100" s="167"/>
      <c r="W100" s="167"/>
      <c r="X100" s="161"/>
      <c r="Y100" s="168"/>
      <c r="Z100" s="736"/>
      <c r="AA100" s="168"/>
      <c r="AB100" s="162"/>
      <c r="AC100" s="163"/>
      <c r="AD100" s="40" t="s">
        <v>10</v>
      </c>
      <c r="AE100" s="674">
        <f t="shared" si="311"/>
        <v>15</v>
      </c>
      <c r="AF100" s="674">
        <f t="shared" si="312"/>
        <v>15</v>
      </c>
      <c r="AG100" s="50"/>
      <c r="AH100" s="40">
        <v>15</v>
      </c>
      <c r="AI100" s="50"/>
      <c r="AJ100" s="88"/>
      <c r="AK100" s="43"/>
      <c r="AL100" s="422"/>
      <c r="AM100" s="875">
        <f t="shared" si="313"/>
        <v>0</v>
      </c>
      <c r="AN100" s="43">
        <f t="shared" si="314"/>
        <v>0</v>
      </c>
      <c r="AO100" s="43"/>
      <c r="AP100" s="43"/>
      <c r="AQ100" s="43"/>
      <c r="AR100" s="61"/>
      <c r="AS100" s="61"/>
      <c r="AT100" s="61"/>
      <c r="AU100" s="45"/>
      <c r="AV100" s="43"/>
      <c r="AW100" s="59"/>
      <c r="AX100" s="61"/>
      <c r="AY100" s="61"/>
      <c r="AZ100" s="43"/>
      <c r="BA100" s="42"/>
      <c r="BB100" s="39"/>
      <c r="BC100" s="39"/>
      <c r="BD100" s="39"/>
      <c r="BE100" s="39"/>
      <c r="BF100" s="39"/>
      <c r="BG100" s="183"/>
      <c r="BH100" s="39"/>
      <c r="BI100" s="159"/>
      <c r="BJ100" s="75"/>
      <c r="BK100" s="867" t="s">
        <v>250</v>
      </c>
      <c r="BL100" s="125"/>
      <c r="BM100" s="158"/>
      <c r="BN100" s="1007">
        <f t="shared" si="308"/>
        <v>0</v>
      </c>
      <c r="BO100" s="954"/>
      <c r="BP100" s="125"/>
      <c r="BQ100" s="125"/>
      <c r="BR100" s="225"/>
      <c r="BS100" s="224"/>
      <c r="BT100" s="605"/>
      <c r="BU100" s="224"/>
      <c r="BV100" s="784"/>
      <c r="BW100" s="605"/>
      <c r="BX100" s="605"/>
      <c r="BY100" s="76"/>
      <c r="BZ100" s="77"/>
      <c r="CA100" s="703"/>
      <c r="CB100" s="703"/>
      <c r="CC100" s="703"/>
      <c r="CD100" s="699"/>
      <c r="CE100" s="699"/>
      <c r="CF100" s="699"/>
      <c r="CG100" s="699"/>
      <c r="CH100" s="699"/>
      <c r="CI100" s="699"/>
      <c r="CJ100" s="699"/>
      <c r="CK100" s="699"/>
      <c r="CL100" s="699"/>
      <c r="CM100" s="699"/>
      <c r="CN100" s="699"/>
      <c r="CO100" s="699"/>
      <c r="CP100" s="699"/>
      <c r="CQ100" s="490"/>
      <c r="CR100" s="490"/>
      <c r="CS100" s="490"/>
      <c r="CT100" s="492" t="str">
        <f t="shared" si="315"/>
        <v>0</v>
      </c>
      <c r="CU100" s="490"/>
      <c r="CV100" s="490"/>
      <c r="CW100" s="492" t="str">
        <f t="shared" si="316"/>
        <v>0</v>
      </c>
      <c r="CX100" s="490"/>
      <c r="CY100" s="490"/>
      <c r="CZ100" s="492" t="str">
        <f t="shared" si="317"/>
        <v>0</v>
      </c>
      <c r="DA100" s="493"/>
      <c r="DB100" s="490"/>
      <c r="DC100" s="492" t="str">
        <f t="shared" si="318"/>
        <v>0</v>
      </c>
      <c r="DD100" s="493"/>
      <c r="DE100" s="490"/>
      <c r="DF100" s="492" t="str">
        <f t="shared" si="319"/>
        <v>0</v>
      </c>
      <c r="DG100" s="39"/>
      <c r="DH100" s="491"/>
      <c r="DI100" s="479"/>
      <c r="DJ100" s="480"/>
      <c r="DK100" s="481"/>
      <c r="DL100" s="680"/>
      <c r="DM100" s="617">
        <v>44367</v>
      </c>
      <c r="DN100" s="677"/>
      <c r="DO100" s="432">
        <f t="shared" si="302"/>
        <v>1478.9</v>
      </c>
      <c r="DP100" s="481" t="str">
        <f t="shared" si="225"/>
        <v>0</v>
      </c>
      <c r="DQ100" s="618">
        <v>16</v>
      </c>
      <c r="DR100" s="188">
        <f t="shared" si="226"/>
        <v>19</v>
      </c>
      <c r="DS100" s="479"/>
      <c r="DT100" s="484"/>
      <c r="DU100" s="481" t="str">
        <f t="shared" si="228"/>
        <v>0</v>
      </c>
      <c r="DV100" s="479"/>
      <c r="DW100" s="497"/>
      <c r="DX100" s="482" t="str">
        <f t="shared" si="230"/>
        <v>0</v>
      </c>
      <c r="DY100" s="483"/>
      <c r="DZ100" s="497">
        <f t="shared" ca="1" si="231"/>
        <v>43647</v>
      </c>
      <c r="EA100" s="481" t="str">
        <f t="shared" ca="1" si="295"/>
        <v>0</v>
      </c>
      <c r="EB100" s="484"/>
      <c r="EC100" s="484">
        <f t="shared" ca="1" si="233"/>
        <v>43647</v>
      </c>
      <c r="ED100" s="481" t="str">
        <f t="shared" ca="1" si="234"/>
        <v>0</v>
      </c>
      <c r="EE100" s="485"/>
      <c r="EF100" s="485"/>
      <c r="EG100" s="481" t="str">
        <f t="shared" si="235"/>
        <v>0</v>
      </c>
      <c r="EH100" s="484"/>
      <c r="EI100" s="484">
        <f t="shared" ca="1" si="236"/>
        <v>43647</v>
      </c>
      <c r="EJ100" s="481" t="str">
        <f t="shared" ca="1" si="237"/>
        <v>0</v>
      </c>
      <c r="EK100" s="484"/>
      <c r="EL100" s="484">
        <f t="shared" ca="1" si="238"/>
        <v>43647</v>
      </c>
      <c r="EM100" s="481" t="str">
        <f t="shared" ca="1" si="239"/>
        <v>0</v>
      </c>
      <c r="EN100" s="484"/>
      <c r="EO100" s="484"/>
      <c r="EP100" s="484"/>
      <c r="EQ100" s="654">
        <f t="shared" si="303"/>
        <v>44854</v>
      </c>
      <c r="ER100" s="653">
        <f t="shared" si="304"/>
        <v>44946</v>
      </c>
      <c r="ES100" s="650">
        <f t="shared" si="305"/>
        <v>3.0666666666666669</v>
      </c>
      <c r="ET100" s="904">
        <f t="shared" ca="1" si="306"/>
        <v>43.3</v>
      </c>
      <c r="EU100" s="653">
        <f t="shared" si="320"/>
        <v>731</v>
      </c>
      <c r="EV100" s="775"/>
      <c r="EW100" s="737"/>
      <c r="EX100" s="749"/>
      <c r="EY100" s="443"/>
      <c r="EZ100" s="747">
        <f t="shared" si="307"/>
        <v>44885</v>
      </c>
      <c r="FA100" s="653">
        <f>DATE(YEAR(EZ100),MONTH(EZ100)+1,DAY(EZ100))</f>
        <v>44915</v>
      </c>
      <c r="FB100" s="518"/>
      <c r="FC100" s="647"/>
      <c r="FD100" s="635"/>
      <c r="FE100" s="192"/>
      <c r="FF100" s="145"/>
      <c r="FG100" s="502"/>
      <c r="FH100" s="502"/>
      <c r="FI100" s="502"/>
      <c r="FJ100" s="502"/>
      <c r="FK100" s="502"/>
      <c r="FL100" s="664"/>
      <c r="FM100" s="499"/>
      <c r="FN100" s="511"/>
      <c r="FO100" s="499"/>
      <c r="FP100" s="499"/>
      <c r="FQ100" s="94"/>
      <c r="FR100" s="94"/>
      <c r="FS100" s="94"/>
      <c r="FT100" s="94"/>
      <c r="FU100" s="94"/>
      <c r="FV100" s="39"/>
      <c r="FW100" s="212"/>
      <c r="FX100" s="212"/>
      <c r="FY100" s="39"/>
      <c r="FZ100" s="39"/>
      <c r="GA100" s="39"/>
      <c r="GB100" s="39"/>
      <c r="GC100" s="39"/>
      <c r="GD100" s="39"/>
      <c r="GE100" s="39"/>
      <c r="GF100" s="39"/>
      <c r="GG100" s="39"/>
      <c r="GH100" s="39"/>
      <c r="GI100" s="39"/>
      <c r="GJ100" s="39"/>
      <c r="GK100" s="39"/>
      <c r="GL100" s="742"/>
      <c r="GM100" s="979">
        <f t="shared" si="144"/>
        <v>1380063.7134521496</v>
      </c>
      <c r="GN100" s="772">
        <f t="shared" si="284"/>
        <v>1380063.7134521496</v>
      </c>
      <c r="GO100" s="53">
        <f t="shared" si="327"/>
        <v>1380063.7134521496</v>
      </c>
      <c r="GP100" s="898">
        <f t="shared" si="321"/>
        <v>300000</v>
      </c>
      <c r="GQ100" s="35" t="e">
        <f t="shared" si="322"/>
        <v>#DIV/0!</v>
      </c>
      <c r="GR100" s="35">
        <f t="shared" si="323"/>
        <v>92004.247563476645</v>
      </c>
      <c r="GS100" s="53">
        <v>385831.64870106638</v>
      </c>
      <c r="GT100" s="577"/>
      <c r="GU100" s="35">
        <f>GS100/AE100</f>
        <v>25722.109913404427</v>
      </c>
      <c r="GV100" s="53">
        <f t="shared" si="328"/>
        <v>694232.06475108338</v>
      </c>
      <c r="GW100" s="67">
        <v>100710.98810404856</v>
      </c>
      <c r="GX100" s="67">
        <v>593521.07664703485</v>
      </c>
      <c r="GY100" s="567">
        <f t="shared" si="249"/>
        <v>46282.137650072225</v>
      </c>
      <c r="GZ100" s="53"/>
      <c r="HA100" s="52">
        <v>300000</v>
      </c>
      <c r="HB100" s="53"/>
      <c r="HC100" s="28">
        <f t="shared" ref="HC100:HC107" si="333">HA100/GN100</f>
        <v>0.21738126803549332</v>
      </c>
      <c r="HD100" s="53"/>
      <c r="HE100" s="53"/>
      <c r="HF100" s="53"/>
      <c r="HG100" s="35">
        <f t="shared" si="329"/>
        <v>20000</v>
      </c>
      <c r="HH100" s="35">
        <f t="shared" si="330"/>
        <v>45722.109913404427</v>
      </c>
      <c r="HI100" s="70"/>
      <c r="HJ100" s="70"/>
      <c r="HK100" s="19">
        <f t="shared" si="324"/>
        <v>45722.109913404427</v>
      </c>
      <c r="HL100" s="70"/>
      <c r="HM100" s="35">
        <f t="shared" si="331"/>
        <v>45722.109913404427</v>
      </c>
      <c r="HN100" s="36">
        <f t="shared" si="332"/>
        <v>0.49695651151170273</v>
      </c>
      <c r="HO100" s="70"/>
      <c r="HP100" s="70"/>
      <c r="HQ100" s="53"/>
      <c r="HR100" s="898"/>
      <c r="HS100" s="907">
        <f t="shared" si="325"/>
        <v>0</v>
      </c>
      <c r="HT100" s="898">
        <f t="shared" si="326"/>
        <v>1380063.7134521496</v>
      </c>
      <c r="HU100" s="898">
        <f ca="1">IF(ET100&lt;DATEDIF(TODAY(),$HU$1,"M"),HT100,(HT100/ET100*DATEDIF(TODAY(),$HU$1,"M")))*0+70000</f>
        <v>70000</v>
      </c>
      <c r="HV100" s="907">
        <f ca="1">(HR100+HU100)/GN100</f>
        <v>5.0722295874948441E-2</v>
      </c>
      <c r="HW100" s="898"/>
      <c r="HX100" s="898">
        <f>GP100-HW100</f>
        <v>300000</v>
      </c>
      <c r="HY100" s="898">
        <f>HW100/GP100</f>
        <v>0</v>
      </c>
      <c r="HZ100" s="898"/>
      <c r="IA100" s="73"/>
      <c r="IB100" s="752"/>
      <c r="IC100" s="73"/>
      <c r="ID100" s="73"/>
      <c r="IE100" s="73"/>
      <c r="IF100" s="73"/>
    </row>
    <row r="101" spans="1:240" ht="15" customHeight="1">
      <c r="A101" s="66" t="s">
        <v>744</v>
      </c>
      <c r="B101" s="297"/>
      <c r="C101" s="39" t="s">
        <v>25</v>
      </c>
      <c r="D101" s="39" t="s">
        <v>94</v>
      </c>
      <c r="E101" s="39">
        <v>2022</v>
      </c>
      <c r="F101" s="39"/>
      <c r="G101" s="39"/>
      <c r="H101" s="39"/>
      <c r="I101" s="41" t="s">
        <v>318</v>
      </c>
      <c r="J101" s="39"/>
      <c r="K101" s="39" t="s">
        <v>471</v>
      </c>
      <c r="L101" s="199" t="s">
        <v>745</v>
      </c>
      <c r="M101" s="129"/>
      <c r="N101" s="130"/>
      <c r="O101" s="131"/>
      <c r="P101" s="161">
        <v>10113</v>
      </c>
      <c r="Q101" s="161">
        <v>1097000</v>
      </c>
      <c r="R101" s="161">
        <f>Q101</f>
        <v>1097000</v>
      </c>
      <c r="S101" s="161">
        <f t="shared" ref="S101:S128" si="334">Q101/AE101</f>
        <v>12465.90909090909</v>
      </c>
      <c r="T101" s="161">
        <f t="shared" ref="T101:T121" si="335">Q101/P101</f>
        <v>108.47424107584297</v>
      </c>
      <c r="U101" s="167">
        <f t="shared" ref="U101:U121" si="336">R101/P101</f>
        <v>108.47424107584297</v>
      </c>
      <c r="V101" s="167" t="e">
        <f t="shared" ref="V101:V121" si="337">R101/AL101</f>
        <v>#DIV/0!</v>
      </c>
      <c r="W101" s="167">
        <f t="shared" ref="W101:W128" si="338">R101/AE101</f>
        <v>12465.90909090909</v>
      </c>
      <c r="X101" s="161">
        <f t="shared" ref="X101:X121" si="339">P101/AE101</f>
        <v>114.92045454545455</v>
      </c>
      <c r="Y101" s="162"/>
      <c r="Z101" s="736">
        <f t="shared" ref="Z101:Z128" si="340">10000*AE101/P101</f>
        <v>87.016711163848512</v>
      </c>
      <c r="AA101" s="162" t="s">
        <v>152</v>
      </c>
      <c r="AB101" s="162"/>
      <c r="AC101" s="163"/>
      <c r="AD101" s="39" t="s">
        <v>10</v>
      </c>
      <c r="AE101" s="674">
        <f t="shared" si="311"/>
        <v>88</v>
      </c>
      <c r="AF101" s="674">
        <f t="shared" si="312"/>
        <v>88</v>
      </c>
      <c r="AG101" s="50"/>
      <c r="AH101" s="39">
        <v>88</v>
      </c>
      <c r="AI101" s="50"/>
      <c r="AJ101" s="39"/>
      <c r="AK101" s="692"/>
      <c r="AL101" s="422"/>
      <c r="AM101" s="875">
        <f t="shared" si="313"/>
        <v>0</v>
      </c>
      <c r="AN101" s="10">
        <f t="shared" si="314"/>
        <v>0</v>
      </c>
      <c r="AO101" s="43"/>
      <c r="AP101" s="43"/>
      <c r="AQ101" s="43"/>
      <c r="AR101" s="61"/>
      <c r="AS101" s="61"/>
      <c r="AT101" s="61"/>
      <c r="AU101" s="61"/>
      <c r="AV101" s="61"/>
      <c r="AW101" s="43"/>
      <c r="AX101" s="59"/>
      <c r="AY101" s="61"/>
      <c r="AZ101" s="43"/>
      <c r="BA101" s="42"/>
      <c r="BB101" s="39"/>
      <c r="BC101" s="39"/>
      <c r="BD101" s="39"/>
      <c r="BE101" s="39"/>
      <c r="BF101" s="39"/>
      <c r="BG101" s="184"/>
      <c r="BH101" s="143"/>
      <c r="BI101" s="159"/>
      <c r="BJ101" s="75"/>
      <c r="BK101" s="867" t="s">
        <v>250</v>
      </c>
      <c r="BL101" s="125"/>
      <c r="BM101" s="158"/>
      <c r="BN101" s="1007">
        <f t="shared" si="308"/>
        <v>0</v>
      </c>
      <c r="BO101" s="954"/>
      <c r="BP101" s="125"/>
      <c r="BQ101" s="125"/>
      <c r="BR101" s="225"/>
      <c r="BS101" s="224">
        <f>DATE(YEAR(BR101),MONTH(BR101)+24,DAY(BR101))</f>
        <v>731</v>
      </c>
      <c r="BT101" s="605"/>
      <c r="BU101" s="224" t="str">
        <f>IF(FA101&gt;BS101,"oui","non")</f>
        <v>oui</v>
      </c>
      <c r="BV101" s="784">
        <f>(BS101-FA101)/30</f>
        <v>-1496.6</v>
      </c>
      <c r="BW101" s="605">
        <f>IF((BV101*FD101)&lt;0,"0",BV101*FD101)</f>
        <v>0</v>
      </c>
      <c r="BX101" s="605">
        <f>BT101-BW101</f>
        <v>0</v>
      </c>
      <c r="BY101" s="702"/>
      <c r="BZ101" s="708"/>
      <c r="CA101" s="703"/>
      <c r="CB101" s="703"/>
      <c r="CC101" s="703"/>
      <c r="CD101" s="699"/>
      <c r="CE101" s="699"/>
      <c r="CF101" s="699"/>
      <c r="CG101" s="699"/>
      <c r="CH101" s="699"/>
      <c r="CI101" s="699"/>
      <c r="CJ101" s="699"/>
      <c r="CK101" s="699"/>
      <c r="CL101" s="699"/>
      <c r="CM101" s="699"/>
      <c r="CN101" s="699"/>
      <c r="CO101" s="699"/>
      <c r="CP101" s="699"/>
      <c r="CQ101" s="488"/>
      <c r="CR101" s="490"/>
      <c r="CS101" s="490"/>
      <c r="CT101" s="492" t="str">
        <f t="shared" si="315"/>
        <v>0</v>
      </c>
      <c r="CU101" s="490"/>
      <c r="CV101" s="490"/>
      <c r="CW101" s="492" t="str">
        <f t="shared" si="316"/>
        <v>0</v>
      </c>
      <c r="CX101" s="490"/>
      <c r="CY101" s="490"/>
      <c r="CZ101" s="492" t="str">
        <f t="shared" si="317"/>
        <v>0</v>
      </c>
      <c r="DA101" s="490"/>
      <c r="DB101" s="490"/>
      <c r="DC101" s="492" t="str">
        <f t="shared" si="318"/>
        <v>0</v>
      </c>
      <c r="DD101" s="493"/>
      <c r="DE101" s="490"/>
      <c r="DF101" s="492" t="str">
        <f t="shared" si="319"/>
        <v>0</v>
      </c>
      <c r="DG101" s="438"/>
      <c r="DH101" s="494"/>
      <c r="DI101" s="479"/>
      <c r="DJ101" s="480"/>
      <c r="DK101" s="481"/>
      <c r="DL101" s="479"/>
      <c r="DM101" s="617">
        <v>44378</v>
      </c>
      <c r="DN101" s="326"/>
      <c r="DO101" s="432">
        <f t="shared" si="302"/>
        <v>1479.2666666666667</v>
      </c>
      <c r="DP101" s="481" t="str">
        <f t="shared" si="225"/>
        <v>0</v>
      </c>
      <c r="DQ101" s="618">
        <v>33</v>
      </c>
      <c r="DR101" s="188">
        <f t="shared" si="226"/>
        <v>36</v>
      </c>
      <c r="DS101" s="479"/>
      <c r="DT101" s="484">
        <f ca="1">IF(DS101&lt;TODAY(),TODAY(),DS101)</f>
        <v>43647</v>
      </c>
      <c r="DU101" s="481" t="str">
        <f t="shared" ca="1" si="228"/>
        <v>0</v>
      </c>
      <c r="DV101" s="479"/>
      <c r="DW101" s="497">
        <f ca="1">IF(DV101&lt;TODAY(),TODAY(),DV101)</f>
        <v>43647</v>
      </c>
      <c r="DX101" s="482" t="str">
        <f t="shared" ca="1" si="230"/>
        <v>0</v>
      </c>
      <c r="DY101" s="483"/>
      <c r="DZ101" s="497">
        <f t="shared" ca="1" si="231"/>
        <v>43647</v>
      </c>
      <c r="EA101" s="481" t="str">
        <f t="shared" ca="1" si="295"/>
        <v>0</v>
      </c>
      <c r="EB101" s="484">
        <v>43533</v>
      </c>
      <c r="EC101" s="484">
        <f t="shared" ca="1" si="233"/>
        <v>43647</v>
      </c>
      <c r="ED101" s="481">
        <f t="shared" ca="1" si="234"/>
        <v>114</v>
      </c>
      <c r="EE101" s="485"/>
      <c r="EF101" s="485"/>
      <c r="EG101" s="481" t="str">
        <f t="shared" si="235"/>
        <v>0</v>
      </c>
      <c r="EH101" s="484"/>
      <c r="EI101" s="484">
        <f t="shared" ca="1" si="236"/>
        <v>43647</v>
      </c>
      <c r="EJ101" s="481" t="str">
        <f t="shared" ca="1" si="237"/>
        <v>0</v>
      </c>
      <c r="EK101" s="484">
        <v>43610</v>
      </c>
      <c r="EL101" s="484">
        <f t="shared" ca="1" si="238"/>
        <v>43647</v>
      </c>
      <c r="EM101" s="481">
        <f t="shared" ca="1" si="239"/>
        <v>37</v>
      </c>
      <c r="EN101" s="484"/>
      <c r="EO101" s="484"/>
      <c r="EP101" s="484"/>
      <c r="EQ101" s="654">
        <f t="shared" si="303"/>
        <v>45383</v>
      </c>
      <c r="ER101" s="653">
        <f t="shared" si="304"/>
        <v>45474</v>
      </c>
      <c r="ES101" s="650">
        <f t="shared" si="305"/>
        <v>3.0333333333333332</v>
      </c>
      <c r="ET101" s="904">
        <f t="shared" ca="1" si="306"/>
        <v>60.9</v>
      </c>
      <c r="EU101" s="653">
        <f t="shared" ca="1" si="320"/>
        <v>44378</v>
      </c>
      <c r="EV101" s="748"/>
      <c r="EW101" s="737"/>
      <c r="EX101" s="749">
        <f>DATE(YEAR(ER101),MONTH(ER101)+4,DAY(ER101)+2)</f>
        <v>45599</v>
      </c>
      <c r="EY101" s="443"/>
      <c r="EZ101" s="747">
        <f t="shared" si="307"/>
        <v>45413</v>
      </c>
      <c r="FA101" s="653">
        <f>DATE(YEAR(EX101),MONTH(EX101)+1,DAY(EX101))</f>
        <v>45629</v>
      </c>
      <c r="FB101" s="518"/>
      <c r="FC101" s="647">
        <f>(DATEDIF(EZ101,FA101,"d"))/30</f>
        <v>7.2</v>
      </c>
      <c r="FD101" s="635"/>
      <c r="FE101" s="192">
        <f>FD101*FC101</f>
        <v>0</v>
      </c>
      <c r="FF101" s="91"/>
      <c r="FG101" s="502">
        <v>0</v>
      </c>
      <c r="FH101" s="502">
        <v>0</v>
      </c>
      <c r="FI101" s="502"/>
      <c r="FJ101" s="502"/>
      <c r="FK101" s="502"/>
      <c r="FL101" s="664" t="e">
        <f>FK101/GN101</f>
        <v>#DIV/0!</v>
      </c>
      <c r="FM101" s="499"/>
      <c r="FN101" s="511"/>
      <c r="FO101" s="499"/>
      <c r="FP101" s="499"/>
      <c r="FQ101" s="94"/>
      <c r="FR101" s="94"/>
      <c r="FS101" s="94"/>
      <c r="FT101" s="94"/>
      <c r="FU101" s="94"/>
      <c r="FV101" s="39"/>
      <c r="FW101" s="212">
        <f>DATE(YEAR(ER101)+1,MONTH(ER101),DAY(ER101))</f>
        <v>45839</v>
      </c>
      <c r="FX101" s="212"/>
      <c r="FY101" s="39"/>
      <c r="FZ101" s="39"/>
      <c r="GA101" s="39"/>
      <c r="GB101" s="39"/>
      <c r="GC101" s="39"/>
      <c r="GD101" s="39"/>
      <c r="GE101" s="39"/>
      <c r="GF101" s="39"/>
      <c r="GG101" s="39"/>
      <c r="GH101" s="39"/>
      <c r="GI101" s="39"/>
      <c r="GJ101" s="39"/>
      <c r="GK101" s="39"/>
      <c r="GL101" s="742"/>
      <c r="GM101" s="979">
        <f t="shared" ref="GM101:GM134" si="341">GS101+GV101+HA101+HQ101+GZ101+HF101+HD101+HE101</f>
        <v>0</v>
      </c>
      <c r="GN101" s="772">
        <f t="shared" si="284"/>
        <v>0</v>
      </c>
      <c r="GO101" s="53">
        <f>GN101</f>
        <v>0</v>
      </c>
      <c r="GP101" s="898">
        <f t="shared" si="321"/>
        <v>0</v>
      </c>
      <c r="GQ101" s="35" t="e">
        <f t="shared" ref="GQ101:GQ134" si="342">GN101/AL101</f>
        <v>#DIV/0!</v>
      </c>
      <c r="GR101" s="35" t="e">
        <f>#REF!/AE101</f>
        <v>#REF!</v>
      </c>
      <c r="GS101" s="53"/>
      <c r="GT101" s="577"/>
      <c r="GU101" s="35"/>
      <c r="GV101" s="53">
        <f t="shared" si="328"/>
        <v>0</v>
      </c>
      <c r="GW101" s="67"/>
      <c r="GX101" s="67"/>
      <c r="GY101" s="568">
        <f t="shared" si="249"/>
        <v>0</v>
      </c>
      <c r="GZ101" s="53"/>
      <c r="HA101" s="53"/>
      <c r="HB101" s="53"/>
      <c r="HC101" s="28" t="e">
        <f t="shared" si="333"/>
        <v>#DIV/0!</v>
      </c>
      <c r="HD101" s="53"/>
      <c r="HE101" s="53"/>
      <c r="HF101" s="53"/>
      <c r="HG101" s="35">
        <f>HA101/AE101</f>
        <v>0</v>
      </c>
      <c r="HH101" s="35">
        <f>(GS101+HA101)/AE101</f>
        <v>0</v>
      </c>
      <c r="HI101" s="70"/>
      <c r="HJ101" s="70"/>
      <c r="HK101" s="19" t="e">
        <f>(#REF!+#REF!+HJ101)/AE101</f>
        <v>#REF!</v>
      </c>
      <c r="HL101" s="70"/>
      <c r="HM101" s="35">
        <f>(GS101+HA101+HJ101+HL101)/AE101</f>
        <v>0</v>
      </c>
      <c r="HN101" s="36" t="e">
        <f>(GS101+HA101+HJ101+HL101)/(HI101+GN101-HO101)</f>
        <v>#DIV/0!</v>
      </c>
      <c r="HO101" s="70"/>
      <c r="HP101" s="70"/>
      <c r="HQ101" s="53"/>
      <c r="HR101" s="898"/>
      <c r="HS101" s="907" t="e">
        <f t="shared" si="325"/>
        <v>#DIV/0!</v>
      </c>
      <c r="HT101" s="898">
        <f t="shared" si="326"/>
        <v>0</v>
      </c>
      <c r="HU101" s="898">
        <f t="shared" ref="HU101:HU134" ca="1" si="343">IF(ET101&lt;DATEDIF(TODAY(),$HU$1,"M"),HT101,(HT101/ET101*DATEDIF(TODAY(),$HU$1,"M")))</f>
        <v>0</v>
      </c>
      <c r="HV101" s="898"/>
      <c r="HW101" s="898"/>
      <c r="HX101" s="898"/>
      <c r="HY101" s="898"/>
      <c r="HZ101" s="898"/>
      <c r="IA101" s="73" t="e">
        <f>#REF!+HI101</f>
        <v>#REF!</v>
      </c>
      <c r="IB101" s="752"/>
      <c r="IC101" s="73"/>
      <c r="ID101" s="73"/>
      <c r="IE101" s="73"/>
      <c r="IF101" s="73"/>
    </row>
    <row r="102" spans="1:240" ht="15" customHeight="1">
      <c r="A102" s="74" t="s">
        <v>751</v>
      </c>
      <c r="B102" s="74"/>
      <c r="C102" s="39" t="s">
        <v>31</v>
      </c>
      <c r="D102" s="39" t="s">
        <v>92</v>
      </c>
      <c r="E102" s="39"/>
      <c r="F102" s="39"/>
      <c r="G102" s="39"/>
      <c r="H102" s="39"/>
      <c r="I102" s="41" t="s">
        <v>318</v>
      </c>
      <c r="J102" s="39"/>
      <c r="K102" s="39" t="s">
        <v>748</v>
      </c>
      <c r="L102" s="199" t="s">
        <v>749</v>
      </c>
      <c r="M102" s="129"/>
      <c r="N102" s="130"/>
      <c r="O102" s="131"/>
      <c r="P102" s="161">
        <f>3472+1996</f>
        <v>5468</v>
      </c>
      <c r="Q102" s="161"/>
      <c r="R102" s="161"/>
      <c r="S102" s="161">
        <f t="shared" si="334"/>
        <v>0</v>
      </c>
      <c r="T102" s="161">
        <f t="shared" si="335"/>
        <v>0</v>
      </c>
      <c r="U102" s="167">
        <f t="shared" si="336"/>
        <v>0</v>
      </c>
      <c r="V102" s="167" t="e">
        <f t="shared" si="337"/>
        <v>#DIV/0!</v>
      </c>
      <c r="W102" s="167">
        <f t="shared" si="338"/>
        <v>0</v>
      </c>
      <c r="X102" s="161">
        <f t="shared" si="339"/>
        <v>97.642857142857139</v>
      </c>
      <c r="Y102" s="162"/>
      <c r="Z102" s="736">
        <f t="shared" si="340"/>
        <v>102.41404535479151</v>
      </c>
      <c r="AA102" s="162" t="s">
        <v>750</v>
      </c>
      <c r="AB102" s="162">
        <v>400</v>
      </c>
      <c r="AC102" s="163"/>
      <c r="AD102" s="39" t="s">
        <v>10</v>
      </c>
      <c r="AE102" s="674">
        <f t="shared" si="311"/>
        <v>56</v>
      </c>
      <c r="AF102" s="674">
        <f t="shared" si="312"/>
        <v>56</v>
      </c>
      <c r="AG102" s="50"/>
      <c r="AH102" s="39">
        <v>56</v>
      </c>
      <c r="AI102" s="50">
        <v>0</v>
      </c>
      <c r="AJ102" s="50"/>
      <c r="AK102" s="692"/>
      <c r="AL102" s="422"/>
      <c r="AM102" s="875">
        <f t="shared" si="313"/>
        <v>0</v>
      </c>
      <c r="AN102" s="10">
        <f t="shared" si="314"/>
        <v>0</v>
      </c>
      <c r="AO102" s="43"/>
      <c r="AP102" s="43"/>
      <c r="AQ102" s="43"/>
      <c r="AR102" s="61"/>
      <c r="AS102" s="61"/>
      <c r="AT102" s="61"/>
      <c r="AU102" s="61"/>
      <c r="AV102" s="61"/>
      <c r="AW102" s="43"/>
      <c r="AX102" s="59"/>
      <c r="AY102" s="61"/>
      <c r="AZ102" s="43"/>
      <c r="BA102" s="42"/>
      <c r="BB102" s="39"/>
      <c r="BC102" s="39"/>
      <c r="BD102" s="39"/>
      <c r="BE102" s="39"/>
      <c r="BF102" s="39"/>
      <c r="BG102" s="184">
        <v>43426</v>
      </c>
      <c r="BH102" s="143"/>
      <c r="BI102" s="159"/>
      <c r="BJ102" s="75"/>
      <c r="BK102" s="867" t="s">
        <v>250</v>
      </c>
      <c r="BL102" s="125"/>
      <c r="BM102" s="158"/>
      <c r="BN102" s="1007">
        <f t="shared" si="308"/>
        <v>0</v>
      </c>
      <c r="BO102" s="954"/>
      <c r="BP102" s="125"/>
      <c r="BQ102" s="125"/>
      <c r="BR102" s="225"/>
      <c r="BS102" s="224">
        <f>DATE(YEAR(BR102),MONTH(BR102)+24,DAY(BR102))</f>
        <v>731</v>
      </c>
      <c r="BT102" s="605"/>
      <c r="BU102" s="224" t="str">
        <f>IF(FA102&gt;BS102,"oui","non")</f>
        <v>oui</v>
      </c>
      <c r="BV102" s="784">
        <f>(BS102-FA102)/30</f>
        <v>-1496.6</v>
      </c>
      <c r="BW102" s="605">
        <f>IF((BV102*FD102)&lt;0,"0",BV102*FD102)</f>
        <v>0</v>
      </c>
      <c r="BX102" s="605">
        <f>BT102-BW102</f>
        <v>0</v>
      </c>
      <c r="BY102" s="702"/>
      <c r="BZ102" s="708"/>
      <c r="CA102" s="703"/>
      <c r="CB102" s="703"/>
      <c r="CC102" s="703"/>
      <c r="CD102" s="699"/>
      <c r="CE102" s="699"/>
      <c r="CF102" s="699"/>
      <c r="CG102" s="699"/>
      <c r="CH102" s="699"/>
      <c r="CI102" s="699"/>
      <c r="CJ102" s="699"/>
      <c r="CK102" s="699"/>
      <c r="CL102" s="699"/>
      <c r="CM102" s="699"/>
      <c r="CN102" s="699"/>
      <c r="CO102" s="699"/>
      <c r="CP102" s="699"/>
      <c r="CQ102" s="488"/>
      <c r="CR102" s="490"/>
      <c r="CS102" s="490"/>
      <c r="CT102" s="492" t="str">
        <f t="shared" si="315"/>
        <v>0</v>
      </c>
      <c r="CU102" s="490"/>
      <c r="CV102" s="490"/>
      <c r="CW102" s="492" t="str">
        <f t="shared" si="316"/>
        <v>0</v>
      </c>
      <c r="CX102" s="490"/>
      <c r="CY102" s="490">
        <f ca="1">IF(CX102&lt;TODAY(),TODAY(),CX102)</f>
        <v>43647</v>
      </c>
      <c r="CZ102" s="492" t="str">
        <f t="shared" ca="1" si="317"/>
        <v>0</v>
      </c>
      <c r="DA102" s="490"/>
      <c r="DB102" s="490">
        <f ca="1">IF(DA102&lt;TODAY(),TODAY(),DA102)</f>
        <v>43647</v>
      </c>
      <c r="DC102" s="492" t="str">
        <f t="shared" ca="1" si="318"/>
        <v>0</v>
      </c>
      <c r="DD102" s="493"/>
      <c r="DE102" s="490">
        <f ca="1">IF(DD102&lt;TODAY(),TODAY(),DD102)</f>
        <v>43647</v>
      </c>
      <c r="DF102" s="492" t="str">
        <f t="shared" ca="1" si="319"/>
        <v>0</v>
      </c>
      <c r="DG102" s="438"/>
      <c r="DH102" s="494"/>
      <c r="DI102" s="479"/>
      <c r="DJ102" s="480"/>
      <c r="DK102" s="481" t="str">
        <f>IF(AND(DI102&gt;0,DJ102&gt;0),DJ102-DI102,"0")</f>
        <v>0</v>
      </c>
      <c r="DL102" s="479">
        <v>44378</v>
      </c>
      <c r="DM102" s="617">
        <v>44378</v>
      </c>
      <c r="DN102" s="326"/>
      <c r="DO102" s="432">
        <f t="shared" si="302"/>
        <v>1479.2666666666667</v>
      </c>
      <c r="DP102" s="481">
        <f t="shared" si="225"/>
        <v>0</v>
      </c>
      <c r="DQ102" s="618">
        <v>33</v>
      </c>
      <c r="DR102" s="188">
        <f t="shared" si="226"/>
        <v>36</v>
      </c>
      <c r="DS102" s="479"/>
      <c r="DT102" s="484">
        <f ca="1">IF(DS102&lt;TODAY(),TODAY(),DS102)</f>
        <v>43647</v>
      </c>
      <c r="DU102" s="481" t="str">
        <f t="shared" ca="1" si="228"/>
        <v>0</v>
      </c>
      <c r="DV102" s="479"/>
      <c r="DW102" s="497">
        <f ca="1">IF(DV102&lt;TODAY(),TODAY(),DV102)</f>
        <v>43647</v>
      </c>
      <c r="DX102" s="482" t="str">
        <f t="shared" ca="1" si="230"/>
        <v>0</v>
      </c>
      <c r="DY102" s="483"/>
      <c r="DZ102" s="497">
        <f t="shared" ca="1" si="231"/>
        <v>43647</v>
      </c>
      <c r="EA102" s="481" t="str">
        <f t="shared" ca="1" si="295"/>
        <v>0</v>
      </c>
      <c r="EB102" s="484">
        <v>43533</v>
      </c>
      <c r="EC102" s="484">
        <f t="shared" ca="1" si="233"/>
        <v>43647</v>
      </c>
      <c r="ED102" s="481">
        <f t="shared" ca="1" si="234"/>
        <v>114</v>
      </c>
      <c r="EE102" s="485"/>
      <c r="EF102" s="485"/>
      <c r="EG102" s="481" t="str">
        <f t="shared" si="235"/>
        <v>0</v>
      </c>
      <c r="EH102" s="484"/>
      <c r="EI102" s="484">
        <f t="shared" ca="1" si="236"/>
        <v>43647</v>
      </c>
      <c r="EJ102" s="481" t="str">
        <f t="shared" ca="1" si="237"/>
        <v>0</v>
      </c>
      <c r="EK102" s="484">
        <v>43610</v>
      </c>
      <c r="EL102" s="484">
        <f t="shared" ca="1" si="238"/>
        <v>43647</v>
      </c>
      <c r="EM102" s="481">
        <f t="shared" ca="1" si="239"/>
        <v>37</v>
      </c>
      <c r="EN102" s="484"/>
      <c r="EO102" s="484"/>
      <c r="EP102" s="484"/>
      <c r="EQ102" s="654">
        <f t="shared" si="303"/>
        <v>45383</v>
      </c>
      <c r="ER102" s="653">
        <f t="shared" si="304"/>
        <v>45474</v>
      </c>
      <c r="ES102" s="650">
        <f t="shared" si="305"/>
        <v>3.0333333333333332</v>
      </c>
      <c r="ET102" s="904">
        <f t="shared" ca="1" si="306"/>
        <v>60.9</v>
      </c>
      <c r="EU102" s="653">
        <f t="shared" ca="1" si="320"/>
        <v>44378</v>
      </c>
      <c r="EV102" s="748"/>
      <c r="EW102" s="737"/>
      <c r="EX102" s="749">
        <f>DATE(YEAR(ER102),MONTH(ER102)+4,DAY(ER102)+2)</f>
        <v>45599</v>
      </c>
      <c r="EY102" s="443"/>
      <c r="EZ102" s="747">
        <f t="shared" si="307"/>
        <v>45413</v>
      </c>
      <c r="FA102" s="653">
        <f>DATE(YEAR(EX102),MONTH(EX102)+1,DAY(EX102))</f>
        <v>45629</v>
      </c>
      <c r="FB102" s="518"/>
      <c r="FC102" s="647">
        <f>(DATEDIF(EZ102,FA102,"d"))/30</f>
        <v>7.2</v>
      </c>
      <c r="FD102" s="635"/>
      <c r="FE102" s="192">
        <f>FD102*FC102</f>
        <v>0</v>
      </c>
      <c r="FF102" s="91"/>
      <c r="FG102" s="502"/>
      <c r="FH102" s="502"/>
      <c r="FI102" s="502"/>
      <c r="FJ102" s="502"/>
      <c r="FK102" s="502"/>
      <c r="FL102" s="664" t="e">
        <f>FK102/GN102</f>
        <v>#DIV/0!</v>
      </c>
      <c r="FM102" s="499"/>
      <c r="FN102" s="511"/>
      <c r="FO102" s="499"/>
      <c r="FP102" s="499"/>
      <c r="FQ102" s="94"/>
      <c r="FR102" s="94"/>
      <c r="FS102" s="94"/>
      <c r="FT102" s="94"/>
      <c r="FU102" s="94"/>
      <c r="FV102" s="39"/>
      <c r="FW102" s="212">
        <f>DATE(YEAR(ER102)+1,MONTH(ER102),DAY(ER102))</f>
        <v>45839</v>
      </c>
      <c r="FX102" s="212"/>
      <c r="FY102" s="39"/>
      <c r="FZ102" s="39"/>
      <c r="GA102" s="39"/>
      <c r="GB102" s="39"/>
      <c r="GC102" s="39"/>
      <c r="GD102" s="39"/>
      <c r="GE102" s="39"/>
      <c r="GF102" s="39"/>
      <c r="GG102" s="39"/>
      <c r="GH102" s="39"/>
      <c r="GI102" s="39"/>
      <c r="GJ102" s="39"/>
      <c r="GK102" s="39"/>
      <c r="GL102" s="742"/>
      <c r="GM102" s="979">
        <f t="shared" si="341"/>
        <v>0</v>
      </c>
      <c r="GN102" s="772">
        <f t="shared" si="284"/>
        <v>0</v>
      </c>
      <c r="GO102" s="53">
        <f>GN102</f>
        <v>0</v>
      </c>
      <c r="GP102" s="898">
        <f t="shared" si="321"/>
        <v>0</v>
      </c>
      <c r="GQ102" s="35" t="e">
        <f t="shared" si="342"/>
        <v>#DIV/0!</v>
      </c>
      <c r="GR102" s="35" t="e">
        <f>#REF!/AE102</f>
        <v>#REF!</v>
      </c>
      <c r="GS102" s="53"/>
      <c r="GT102" s="577"/>
      <c r="GU102" s="35"/>
      <c r="GV102" s="53">
        <f t="shared" si="328"/>
        <v>0</v>
      </c>
      <c r="GW102" s="67"/>
      <c r="GX102" s="67"/>
      <c r="GY102" s="567">
        <f t="shared" si="249"/>
        <v>0</v>
      </c>
      <c r="GZ102" s="53"/>
      <c r="HA102" s="53"/>
      <c r="HB102" s="53"/>
      <c r="HC102" s="28" t="e">
        <f t="shared" si="333"/>
        <v>#DIV/0!</v>
      </c>
      <c r="HD102" s="53"/>
      <c r="HE102" s="53"/>
      <c r="HF102" s="53"/>
      <c r="HG102" s="35">
        <f>HA102/AE102</f>
        <v>0</v>
      </c>
      <c r="HH102" s="35">
        <f>(GS102+HA102)/AE102</f>
        <v>0</v>
      </c>
      <c r="HI102" s="70"/>
      <c r="HJ102" s="70"/>
      <c r="HK102" s="19" t="e">
        <f>(#REF!+#REF!+HJ102)/AE102</f>
        <v>#REF!</v>
      </c>
      <c r="HL102" s="70"/>
      <c r="HM102" s="35">
        <f>(GS102+HA102+HJ102+HL102)/AE102</f>
        <v>0</v>
      </c>
      <c r="HN102" s="36" t="e">
        <f>(GS102+HA102+HJ102+HL102)/(HI102+GN102-HO102)</f>
        <v>#DIV/0!</v>
      </c>
      <c r="HO102" s="70"/>
      <c r="HP102" s="70"/>
      <c r="HQ102" s="53"/>
      <c r="HR102" s="898"/>
      <c r="HS102" s="907" t="e">
        <f t="shared" si="325"/>
        <v>#DIV/0!</v>
      </c>
      <c r="HT102" s="898">
        <f t="shared" si="326"/>
        <v>0</v>
      </c>
      <c r="HU102" s="898">
        <f t="shared" ca="1" si="343"/>
        <v>0</v>
      </c>
      <c r="HV102" s="898"/>
      <c r="HW102" s="898"/>
      <c r="HX102" s="898"/>
      <c r="HY102" s="898"/>
      <c r="HZ102" s="898"/>
      <c r="IA102" s="73" t="e">
        <f>#REF!+HI102</f>
        <v>#REF!</v>
      </c>
      <c r="IB102" s="752"/>
      <c r="IC102" s="73"/>
      <c r="ID102" s="73"/>
      <c r="IE102" s="73"/>
      <c r="IF102" s="73"/>
    </row>
    <row r="103" spans="1:240" ht="15" customHeight="1">
      <c r="A103" s="66" t="s">
        <v>838</v>
      </c>
      <c r="B103" s="297"/>
      <c r="C103" s="39" t="s">
        <v>21</v>
      </c>
      <c r="D103" s="39" t="s">
        <v>92</v>
      </c>
      <c r="E103" s="39"/>
      <c r="F103" s="39"/>
      <c r="G103" s="39"/>
      <c r="H103" s="39"/>
      <c r="I103" s="41" t="s">
        <v>318</v>
      </c>
      <c r="J103" s="39"/>
      <c r="K103" s="39" t="s">
        <v>839</v>
      </c>
      <c r="L103" s="199"/>
      <c r="M103" s="129"/>
      <c r="N103" s="130"/>
      <c r="O103" s="131"/>
      <c r="P103" s="161">
        <v>1268</v>
      </c>
      <c r="Q103" s="161">
        <v>317000</v>
      </c>
      <c r="R103" s="161">
        <f>Q103</f>
        <v>317000</v>
      </c>
      <c r="S103" s="161">
        <f t="shared" si="334"/>
        <v>9057.1428571428569</v>
      </c>
      <c r="T103" s="161">
        <f t="shared" si="335"/>
        <v>250</v>
      </c>
      <c r="U103" s="167">
        <f t="shared" si="336"/>
        <v>250</v>
      </c>
      <c r="V103" s="167" t="e">
        <f t="shared" si="337"/>
        <v>#DIV/0!</v>
      </c>
      <c r="W103" s="167">
        <f t="shared" si="338"/>
        <v>9057.1428571428569</v>
      </c>
      <c r="X103" s="161">
        <f t="shared" si="339"/>
        <v>36.228571428571428</v>
      </c>
      <c r="Y103" s="162"/>
      <c r="Z103" s="736">
        <f t="shared" si="340"/>
        <v>276.02523659305996</v>
      </c>
      <c r="AA103" s="162"/>
      <c r="AB103" s="162"/>
      <c r="AC103" s="163"/>
      <c r="AD103" s="39" t="s">
        <v>10</v>
      </c>
      <c r="AE103" s="674">
        <f t="shared" si="311"/>
        <v>35</v>
      </c>
      <c r="AF103" s="674">
        <f t="shared" si="312"/>
        <v>35</v>
      </c>
      <c r="AG103" s="50"/>
      <c r="AH103" s="39">
        <v>35</v>
      </c>
      <c r="AI103" s="50"/>
      <c r="AJ103" s="50"/>
      <c r="AK103" s="692"/>
      <c r="AL103" s="422"/>
      <c r="AM103" s="875">
        <f t="shared" si="313"/>
        <v>0</v>
      </c>
      <c r="AN103" s="10">
        <f t="shared" si="314"/>
        <v>0</v>
      </c>
      <c r="AO103" s="43"/>
      <c r="AP103" s="43"/>
      <c r="AQ103" s="43"/>
      <c r="AR103" s="61"/>
      <c r="AS103" s="61"/>
      <c r="AT103" s="61"/>
      <c r="AU103" s="61"/>
      <c r="AV103" s="61"/>
      <c r="AW103" s="43"/>
      <c r="AX103" s="59"/>
      <c r="AY103" s="61"/>
      <c r="AZ103" s="43"/>
      <c r="BA103" s="42"/>
      <c r="BB103" s="39"/>
      <c r="BC103" s="39"/>
      <c r="BD103" s="39"/>
      <c r="BE103" s="39"/>
      <c r="BF103" s="39"/>
      <c r="BG103" s="184"/>
      <c r="BH103" s="143"/>
      <c r="BI103" s="159"/>
      <c r="BJ103" s="75"/>
      <c r="BK103" s="867" t="s">
        <v>250</v>
      </c>
      <c r="BL103" s="125"/>
      <c r="BM103" s="158"/>
      <c r="BN103" s="1007">
        <f t="shared" si="308"/>
        <v>0</v>
      </c>
      <c r="BO103" s="954"/>
      <c r="BP103" s="125"/>
      <c r="BQ103" s="125"/>
      <c r="BR103" s="225"/>
      <c r="BS103" s="224">
        <f>DATE(YEAR(BR103),MONTH(BR103)+24,DAY(BR103))</f>
        <v>731</v>
      </c>
      <c r="BT103" s="605"/>
      <c r="BU103" s="224" t="str">
        <f>IF(FA103&gt;BS103,"oui","non")</f>
        <v>oui</v>
      </c>
      <c r="BV103" s="784">
        <f>(BS103-FA103)/30</f>
        <v>-1496.6</v>
      </c>
      <c r="BW103" s="605">
        <f>IF((BV103*FD103)&lt;0,"0",BV103*FD103)</f>
        <v>0</v>
      </c>
      <c r="BX103" s="605">
        <f>BT103-BW103</f>
        <v>0</v>
      </c>
      <c r="BY103" s="702"/>
      <c r="BZ103" s="708"/>
      <c r="CA103" s="703"/>
      <c r="CB103" s="703"/>
      <c r="CC103" s="703"/>
      <c r="CD103" s="699"/>
      <c r="CE103" s="699"/>
      <c r="CF103" s="699"/>
      <c r="CG103" s="699"/>
      <c r="CH103" s="699"/>
      <c r="CI103" s="699"/>
      <c r="CJ103" s="699"/>
      <c r="CK103" s="699"/>
      <c r="CL103" s="699"/>
      <c r="CM103" s="699"/>
      <c r="CN103" s="699"/>
      <c r="CO103" s="699"/>
      <c r="CP103" s="699"/>
      <c r="CQ103" s="488"/>
      <c r="CR103" s="490"/>
      <c r="CS103" s="490"/>
      <c r="CT103" s="492" t="str">
        <f t="shared" si="315"/>
        <v>0</v>
      </c>
      <c r="CU103" s="490"/>
      <c r="CV103" s="490"/>
      <c r="CW103" s="492" t="str">
        <f t="shared" si="316"/>
        <v>0</v>
      </c>
      <c r="CX103" s="490"/>
      <c r="CY103" s="490"/>
      <c r="CZ103" s="492" t="str">
        <f t="shared" si="317"/>
        <v>0</v>
      </c>
      <c r="DA103" s="490"/>
      <c r="DB103" s="490"/>
      <c r="DC103" s="492" t="str">
        <f t="shared" si="318"/>
        <v>0</v>
      </c>
      <c r="DD103" s="493"/>
      <c r="DE103" s="490"/>
      <c r="DF103" s="492" t="str">
        <f t="shared" si="319"/>
        <v>0</v>
      </c>
      <c r="DG103" s="438"/>
      <c r="DH103" s="494"/>
      <c r="DI103" s="479"/>
      <c r="DJ103" s="480"/>
      <c r="DK103" s="481"/>
      <c r="DL103" s="479"/>
      <c r="DM103" s="617">
        <v>44378</v>
      </c>
      <c r="DN103" s="326"/>
      <c r="DO103" s="432">
        <f t="shared" si="302"/>
        <v>1479.2666666666667</v>
      </c>
      <c r="DP103" s="481" t="str">
        <f t="shared" si="225"/>
        <v>0</v>
      </c>
      <c r="DQ103" s="618">
        <v>33</v>
      </c>
      <c r="DR103" s="188">
        <f t="shared" si="226"/>
        <v>36</v>
      </c>
      <c r="DS103" s="479"/>
      <c r="DT103" s="484">
        <f ca="1">IF(DS103&lt;TODAY(),TODAY(),DS103)</f>
        <v>43647</v>
      </c>
      <c r="DU103" s="481" t="str">
        <f t="shared" ca="1" si="228"/>
        <v>0</v>
      </c>
      <c r="DV103" s="479"/>
      <c r="DW103" s="497">
        <f ca="1">IF(DV103&lt;TODAY(),TODAY(),DV103)</f>
        <v>43647</v>
      </c>
      <c r="DX103" s="482" t="str">
        <f t="shared" ca="1" si="230"/>
        <v>0</v>
      </c>
      <c r="DY103" s="483"/>
      <c r="DZ103" s="497">
        <f t="shared" ca="1" si="231"/>
        <v>43647</v>
      </c>
      <c r="EA103" s="481" t="str">
        <f t="shared" ca="1" si="295"/>
        <v>0</v>
      </c>
      <c r="EB103" s="484">
        <v>43533</v>
      </c>
      <c r="EC103" s="484">
        <f t="shared" ca="1" si="233"/>
        <v>43647</v>
      </c>
      <c r="ED103" s="481">
        <f t="shared" ca="1" si="234"/>
        <v>114</v>
      </c>
      <c r="EE103" s="485"/>
      <c r="EF103" s="485"/>
      <c r="EG103" s="481" t="str">
        <f t="shared" si="235"/>
        <v>0</v>
      </c>
      <c r="EH103" s="484"/>
      <c r="EI103" s="484">
        <f t="shared" ca="1" si="236"/>
        <v>43647</v>
      </c>
      <c r="EJ103" s="481" t="str">
        <f t="shared" ca="1" si="237"/>
        <v>0</v>
      </c>
      <c r="EK103" s="484">
        <v>43610</v>
      </c>
      <c r="EL103" s="484">
        <f t="shared" ca="1" si="238"/>
        <v>43647</v>
      </c>
      <c r="EM103" s="481">
        <f t="shared" ca="1" si="239"/>
        <v>37</v>
      </c>
      <c r="EN103" s="484"/>
      <c r="EO103" s="484"/>
      <c r="EP103" s="484"/>
      <c r="EQ103" s="654">
        <f t="shared" si="303"/>
        <v>45383</v>
      </c>
      <c r="ER103" s="653">
        <f t="shared" si="304"/>
        <v>45474</v>
      </c>
      <c r="ES103" s="650">
        <f t="shared" si="305"/>
        <v>3.0333333333333332</v>
      </c>
      <c r="ET103" s="904">
        <f t="shared" ca="1" si="306"/>
        <v>60.9</v>
      </c>
      <c r="EU103" s="653">
        <f t="shared" ca="1" si="320"/>
        <v>44378</v>
      </c>
      <c r="EV103" s="748"/>
      <c r="EW103" s="737"/>
      <c r="EX103" s="749">
        <f>DATE(YEAR(ER103),MONTH(ER103)+4,DAY(ER103)+2)</f>
        <v>45599</v>
      </c>
      <c r="EY103" s="443"/>
      <c r="EZ103" s="747">
        <f t="shared" si="307"/>
        <v>45413</v>
      </c>
      <c r="FA103" s="653">
        <f>DATE(YEAR(EX103),MONTH(EX103)+1,DAY(EX103))</f>
        <v>45629</v>
      </c>
      <c r="FB103" s="518"/>
      <c r="FC103" s="647">
        <f>(DATEDIF(EZ103,FA103,"d"))/30</f>
        <v>7.2</v>
      </c>
      <c r="FD103" s="635"/>
      <c r="FE103" s="192">
        <f>FD103*FC103</f>
        <v>0</v>
      </c>
      <c r="FF103" s="91"/>
      <c r="FG103" s="502">
        <v>0</v>
      </c>
      <c r="FH103" s="502">
        <v>0</v>
      </c>
      <c r="FI103" s="502"/>
      <c r="FJ103" s="502"/>
      <c r="FK103" s="502"/>
      <c r="FL103" s="664" t="e">
        <f>FK103/GN103</f>
        <v>#DIV/0!</v>
      </c>
      <c r="FM103" s="499"/>
      <c r="FN103" s="511"/>
      <c r="FO103" s="499"/>
      <c r="FP103" s="499"/>
      <c r="FQ103" s="94"/>
      <c r="FR103" s="94"/>
      <c r="FS103" s="94"/>
      <c r="FT103" s="94"/>
      <c r="FU103" s="94"/>
      <c r="FV103" s="39"/>
      <c r="FW103" s="212">
        <f>DATE(YEAR(ER103)+1,MONTH(ER103),DAY(ER103))</f>
        <v>45839</v>
      </c>
      <c r="FX103" s="212"/>
      <c r="FY103" s="39"/>
      <c r="FZ103" s="39"/>
      <c r="GA103" s="39"/>
      <c r="GB103" s="39"/>
      <c r="GC103" s="39"/>
      <c r="GD103" s="39"/>
      <c r="GE103" s="39"/>
      <c r="GF103" s="39"/>
      <c r="GG103" s="39"/>
      <c r="GH103" s="39"/>
      <c r="GI103" s="39"/>
      <c r="GJ103" s="39"/>
      <c r="GK103" s="39"/>
      <c r="GL103" s="742"/>
      <c r="GM103" s="979">
        <f t="shared" si="341"/>
        <v>0</v>
      </c>
      <c r="GN103" s="772">
        <f t="shared" ref="GN103:GN134" si="344">GS103+GV103+HA103+HQ103+GZ103+HF103+HD103+HE103</f>
        <v>0</v>
      </c>
      <c r="GO103" s="53">
        <f>GN103</f>
        <v>0</v>
      </c>
      <c r="GP103" s="898">
        <f t="shared" si="321"/>
        <v>0</v>
      </c>
      <c r="GQ103" s="35" t="e">
        <f t="shared" si="342"/>
        <v>#DIV/0!</v>
      </c>
      <c r="GR103" s="35" t="e">
        <f>#REF!/AE103</f>
        <v>#REF!</v>
      </c>
      <c r="GS103" s="53"/>
      <c r="GT103" s="577"/>
      <c r="GU103" s="35"/>
      <c r="GV103" s="53">
        <f t="shared" si="328"/>
        <v>0</v>
      </c>
      <c r="GW103" s="67"/>
      <c r="GX103" s="67"/>
      <c r="GY103" s="568">
        <f t="shared" si="249"/>
        <v>0</v>
      </c>
      <c r="GZ103" s="53"/>
      <c r="HA103" s="53"/>
      <c r="HB103" s="53"/>
      <c r="HC103" s="28" t="e">
        <f t="shared" si="333"/>
        <v>#DIV/0!</v>
      </c>
      <c r="HD103" s="53"/>
      <c r="HE103" s="53"/>
      <c r="HF103" s="53"/>
      <c r="HG103" s="35">
        <f>HA103/AE103</f>
        <v>0</v>
      </c>
      <c r="HH103" s="35">
        <f>(GS103+HA103)/AE103</f>
        <v>0</v>
      </c>
      <c r="HI103" s="70"/>
      <c r="HJ103" s="70"/>
      <c r="HK103" s="35" t="e">
        <f>(#REF!+#REF!+HJ103)/AE103</f>
        <v>#REF!</v>
      </c>
      <c r="HL103" s="70"/>
      <c r="HM103" s="35">
        <f>(GS103+HA103+HJ103+HL103)/AE103</f>
        <v>0</v>
      </c>
      <c r="HN103" s="36" t="e">
        <f>(GS103+HA103+HJ103+HL103)/(HI103+GN103-HO103)</f>
        <v>#DIV/0!</v>
      </c>
      <c r="HO103" s="70"/>
      <c r="HP103" s="70"/>
      <c r="HQ103" s="53"/>
      <c r="HR103" s="898"/>
      <c r="HS103" s="907" t="e">
        <f t="shared" si="325"/>
        <v>#DIV/0!</v>
      </c>
      <c r="HT103" s="898">
        <f t="shared" si="326"/>
        <v>0</v>
      </c>
      <c r="HU103" s="898">
        <f t="shared" ca="1" si="343"/>
        <v>0</v>
      </c>
      <c r="HV103" s="898"/>
      <c r="HW103" s="898"/>
      <c r="HX103" s="898"/>
      <c r="HY103" s="898"/>
      <c r="HZ103" s="898"/>
      <c r="IA103" s="73" t="e">
        <f>#REF!+HI103</f>
        <v>#REF!</v>
      </c>
      <c r="IB103" s="752"/>
      <c r="IC103" s="73"/>
      <c r="ID103" s="73"/>
      <c r="IE103" s="73"/>
      <c r="IF103" s="73"/>
    </row>
    <row r="104" spans="1:240" ht="15" customHeight="1">
      <c r="A104" s="74" t="s">
        <v>866</v>
      </c>
      <c r="B104" s="74"/>
      <c r="C104" s="39" t="s">
        <v>131</v>
      </c>
      <c r="D104" s="39" t="s">
        <v>94</v>
      </c>
      <c r="E104" s="39">
        <v>2021</v>
      </c>
      <c r="F104" s="39"/>
      <c r="G104" s="39"/>
      <c r="H104" s="39"/>
      <c r="I104" s="41" t="s">
        <v>318</v>
      </c>
      <c r="J104" s="39"/>
      <c r="K104" s="39" t="s">
        <v>856</v>
      </c>
      <c r="L104" s="199"/>
      <c r="M104" s="129" t="s">
        <v>768</v>
      </c>
      <c r="N104" s="130"/>
      <c r="O104" s="131"/>
      <c r="P104" s="161">
        <v>4000</v>
      </c>
      <c r="Q104" s="161">
        <v>394000</v>
      </c>
      <c r="R104" s="161">
        <v>354000</v>
      </c>
      <c r="S104" s="161">
        <f t="shared" si="334"/>
        <v>16416.666666666668</v>
      </c>
      <c r="T104" s="161">
        <f t="shared" si="335"/>
        <v>98.5</v>
      </c>
      <c r="U104" s="167">
        <f t="shared" si="336"/>
        <v>88.5</v>
      </c>
      <c r="V104" s="167" t="e">
        <f t="shared" si="337"/>
        <v>#DIV/0!</v>
      </c>
      <c r="W104" s="167">
        <f t="shared" si="338"/>
        <v>14750</v>
      </c>
      <c r="X104" s="161">
        <f t="shared" si="339"/>
        <v>166.66666666666666</v>
      </c>
      <c r="Y104" s="162"/>
      <c r="Z104" s="736">
        <f t="shared" si="340"/>
        <v>60</v>
      </c>
      <c r="AA104" s="162" t="s">
        <v>169</v>
      </c>
      <c r="AB104" s="162">
        <v>230</v>
      </c>
      <c r="AC104" s="163">
        <v>0.15</v>
      </c>
      <c r="AD104" s="39" t="s">
        <v>9</v>
      </c>
      <c r="AE104" s="675">
        <f t="shared" si="311"/>
        <v>24</v>
      </c>
      <c r="AF104" s="674">
        <f t="shared" si="312"/>
        <v>24</v>
      </c>
      <c r="AG104" s="39">
        <v>18</v>
      </c>
      <c r="AH104" s="39">
        <v>6</v>
      </c>
      <c r="AI104" s="50"/>
      <c r="AJ104" s="50"/>
      <c r="AK104" s="692"/>
      <c r="AL104" s="422"/>
      <c r="AM104" s="875">
        <f t="shared" si="313"/>
        <v>0</v>
      </c>
      <c r="AN104" s="10">
        <f t="shared" si="314"/>
        <v>0</v>
      </c>
      <c r="AO104" s="43"/>
      <c r="AP104" s="43"/>
      <c r="AQ104" s="43"/>
      <c r="AR104" s="61"/>
      <c r="AS104" s="61"/>
      <c r="AT104" s="61"/>
      <c r="AU104" s="61"/>
      <c r="AV104" s="61"/>
      <c r="AW104" s="43"/>
      <c r="AX104" s="59" t="s">
        <v>136</v>
      </c>
      <c r="AY104" s="61" t="s">
        <v>136</v>
      </c>
      <c r="AZ104" s="43"/>
      <c r="BA104" s="42" t="s">
        <v>439</v>
      </c>
      <c r="BB104" s="39" t="s">
        <v>100</v>
      </c>
      <c r="BC104" s="39"/>
      <c r="BD104" s="39"/>
      <c r="BE104" s="39"/>
      <c r="BF104" s="39"/>
      <c r="BG104" s="184"/>
      <c r="BH104" s="143"/>
      <c r="BI104" s="159"/>
      <c r="BJ104" s="75"/>
      <c r="BK104" s="867" t="s">
        <v>250</v>
      </c>
      <c r="BL104" s="125"/>
      <c r="BM104" s="158"/>
      <c r="BN104" s="1007">
        <f t="shared" si="308"/>
        <v>0</v>
      </c>
      <c r="BO104" s="954"/>
      <c r="BP104" s="125"/>
      <c r="BQ104" s="125"/>
      <c r="BR104" s="225"/>
      <c r="BS104" s="224">
        <f>DATE(YEAR(BR104),MONTH(BR104)+24,DAY(BR104))</f>
        <v>731</v>
      </c>
      <c r="BT104" s="605"/>
      <c r="BU104" s="224" t="str">
        <f>IF(FA104&gt;BS104,"oui","non")</f>
        <v>non</v>
      </c>
      <c r="BV104" s="784">
        <f>(BS104-FA104)/30</f>
        <v>24.366666666666667</v>
      </c>
      <c r="BW104" s="605">
        <f>IF((BV104*FD104)&lt;0,"0",BV104*FD104)</f>
        <v>0</v>
      </c>
      <c r="BX104" s="605">
        <f>BT104-BW104</f>
        <v>0</v>
      </c>
      <c r="BY104" s="702"/>
      <c r="BZ104" s="708"/>
      <c r="CA104" s="703"/>
      <c r="CB104" s="703"/>
      <c r="CC104" s="703"/>
      <c r="CD104" s="699"/>
      <c r="CE104" s="699"/>
      <c r="CF104" s="699"/>
      <c r="CG104" s="699"/>
      <c r="CH104" s="699"/>
      <c r="CI104" s="699"/>
      <c r="CJ104" s="699"/>
      <c r="CK104" s="699"/>
      <c r="CL104" s="699"/>
      <c r="CM104" s="699"/>
      <c r="CN104" s="699"/>
      <c r="CO104" s="699"/>
      <c r="CP104" s="699"/>
      <c r="CQ104" s="488"/>
      <c r="CR104" s="490"/>
      <c r="CS104" s="490"/>
      <c r="CT104" s="492" t="str">
        <f t="shared" si="315"/>
        <v>0</v>
      </c>
      <c r="CU104" s="490"/>
      <c r="CV104" s="490"/>
      <c r="CW104" s="492" t="str">
        <f t="shared" si="316"/>
        <v>0</v>
      </c>
      <c r="CX104" s="490"/>
      <c r="CY104" s="490">
        <f ca="1">IF(CX104&lt;TODAY(),TODAY(),CX104)</f>
        <v>43647</v>
      </c>
      <c r="CZ104" s="492" t="str">
        <f t="shared" ca="1" si="317"/>
        <v>0</v>
      </c>
      <c r="DA104" s="490"/>
      <c r="DB104" s="490">
        <f ca="1">IF(DA104&lt;TODAY(),TODAY(),DA104)</f>
        <v>43647</v>
      </c>
      <c r="DC104" s="492" t="str">
        <f t="shared" ca="1" si="318"/>
        <v>0</v>
      </c>
      <c r="DD104" s="493"/>
      <c r="DE104" s="490">
        <f ca="1">IF(DD104&lt;TODAY(),TODAY(),DD104)</f>
        <v>43647</v>
      </c>
      <c r="DF104" s="492" t="str">
        <f t="shared" ca="1" si="319"/>
        <v>0</v>
      </c>
      <c r="DG104" s="438"/>
      <c r="DH104" s="494"/>
      <c r="DI104" s="479"/>
      <c r="DJ104" s="480"/>
      <c r="DK104" s="481" t="str">
        <f>IF(AND(DI104&gt;0,DJ104&gt;0),DJ104-DI104,"0")</f>
        <v>0</v>
      </c>
      <c r="DL104" s="479">
        <v>44378</v>
      </c>
      <c r="DM104" s="617">
        <v>44378</v>
      </c>
      <c r="DN104" s="326"/>
      <c r="DO104" s="432">
        <f t="shared" si="302"/>
        <v>1479.2666666666667</v>
      </c>
      <c r="DP104" s="481">
        <f t="shared" si="225"/>
        <v>0</v>
      </c>
      <c r="DQ104" s="618">
        <v>18</v>
      </c>
      <c r="DR104" s="188">
        <f t="shared" si="226"/>
        <v>21</v>
      </c>
      <c r="DS104" s="479"/>
      <c r="DT104" s="484">
        <f ca="1">IF(DS104&lt;TODAY(),TODAY(),DS104)</f>
        <v>43647</v>
      </c>
      <c r="DU104" s="481" t="str">
        <f t="shared" ca="1" si="228"/>
        <v>0</v>
      </c>
      <c r="DV104" s="479"/>
      <c r="DW104" s="497">
        <f ca="1">IF(DV104&lt;TODAY(),TODAY(),DV104)</f>
        <v>43647</v>
      </c>
      <c r="DX104" s="482" t="str">
        <f t="shared" ca="1" si="230"/>
        <v>0</v>
      </c>
      <c r="DY104" s="483"/>
      <c r="DZ104" s="497">
        <f t="shared" ca="1" si="231"/>
        <v>43647</v>
      </c>
      <c r="EA104" s="481" t="str">
        <f t="shared" ca="1" si="295"/>
        <v>0</v>
      </c>
      <c r="EB104" s="484">
        <v>43533</v>
      </c>
      <c r="EC104" s="484">
        <f t="shared" ca="1" si="233"/>
        <v>43647</v>
      </c>
      <c r="ED104" s="481">
        <f t="shared" ca="1" si="234"/>
        <v>114</v>
      </c>
      <c r="EE104" s="485"/>
      <c r="EF104" s="485"/>
      <c r="EG104" s="481" t="str">
        <f t="shared" si="235"/>
        <v>0</v>
      </c>
      <c r="EH104" s="484"/>
      <c r="EI104" s="484">
        <f t="shared" ca="1" si="236"/>
        <v>43647</v>
      </c>
      <c r="EJ104" s="481" t="str">
        <f t="shared" ca="1" si="237"/>
        <v>0</v>
      </c>
      <c r="EK104" s="484">
        <v>43610</v>
      </c>
      <c r="EL104" s="484">
        <f t="shared" ca="1" si="238"/>
        <v>43647</v>
      </c>
      <c r="EM104" s="481">
        <f t="shared" ca="1" si="239"/>
        <v>37</v>
      </c>
      <c r="EN104" s="484"/>
      <c r="EO104" s="484"/>
      <c r="EP104" s="484"/>
      <c r="EQ104" s="654">
        <f t="shared" si="303"/>
        <v>44927</v>
      </c>
      <c r="ER104" s="653">
        <f t="shared" si="304"/>
        <v>45017</v>
      </c>
      <c r="ES104" s="650">
        <f t="shared" si="305"/>
        <v>3</v>
      </c>
      <c r="ET104" s="904">
        <f t="shared" ca="1" si="306"/>
        <v>45.666666666666664</v>
      </c>
      <c r="EU104" s="653">
        <f t="shared" ca="1" si="320"/>
        <v>44378</v>
      </c>
      <c r="EV104" s="748"/>
      <c r="EW104" s="737"/>
      <c r="EX104" s="749"/>
      <c r="EY104" s="443"/>
      <c r="EZ104" s="747"/>
      <c r="FA104" s="653"/>
      <c r="FB104" s="518"/>
      <c r="FC104" s="647"/>
      <c r="FD104" s="635"/>
      <c r="FE104" s="192"/>
      <c r="FF104" s="91"/>
      <c r="FG104" s="502"/>
      <c r="FH104" s="502"/>
      <c r="FI104" s="502"/>
      <c r="FJ104" s="502"/>
      <c r="FK104" s="502"/>
      <c r="FL104" s="664"/>
      <c r="FM104" s="499"/>
      <c r="FN104" s="511"/>
      <c r="FO104" s="499"/>
      <c r="FP104" s="499"/>
      <c r="FQ104" s="94"/>
      <c r="FR104" s="94"/>
      <c r="FS104" s="94"/>
      <c r="FT104" s="94"/>
      <c r="FU104" s="94"/>
      <c r="FV104" s="39"/>
      <c r="FW104" s="212"/>
      <c r="FX104" s="212"/>
      <c r="FY104" s="39"/>
      <c r="FZ104" s="39"/>
      <c r="GA104" s="39"/>
      <c r="GB104" s="39"/>
      <c r="GC104" s="39"/>
      <c r="GD104" s="39"/>
      <c r="GE104" s="39"/>
      <c r="GF104" s="39"/>
      <c r="GG104" s="39"/>
      <c r="GH104" s="39"/>
      <c r="GI104" s="39"/>
      <c r="GJ104" s="39"/>
      <c r="GK104" s="39"/>
      <c r="GL104" s="742"/>
      <c r="GM104" s="979">
        <f t="shared" si="341"/>
        <v>0</v>
      </c>
      <c r="GN104" s="772">
        <f t="shared" si="344"/>
        <v>0</v>
      </c>
      <c r="GO104" s="53"/>
      <c r="GP104" s="898">
        <f t="shared" si="321"/>
        <v>0</v>
      </c>
      <c r="GQ104" s="35" t="e">
        <f t="shared" si="342"/>
        <v>#DIV/0!</v>
      </c>
      <c r="GR104" s="35"/>
      <c r="GS104" s="53"/>
      <c r="GT104" s="577"/>
      <c r="GU104" s="35"/>
      <c r="GV104" s="53"/>
      <c r="GW104" s="67"/>
      <c r="GX104" s="67"/>
      <c r="GY104" s="567"/>
      <c r="GZ104" s="53"/>
      <c r="HA104" s="53"/>
      <c r="HB104" s="53"/>
      <c r="HC104" s="28" t="e">
        <f t="shared" si="333"/>
        <v>#DIV/0!</v>
      </c>
      <c r="HD104" s="53"/>
      <c r="HE104" s="53"/>
      <c r="HF104" s="53"/>
      <c r="HG104" s="35"/>
      <c r="HH104" s="35"/>
      <c r="HI104" s="70"/>
      <c r="HJ104" s="70"/>
      <c r="HK104" s="19"/>
      <c r="HL104" s="70"/>
      <c r="HM104" s="35"/>
      <c r="HN104" s="36"/>
      <c r="HO104" s="70"/>
      <c r="HP104" s="70"/>
      <c r="HQ104" s="53"/>
      <c r="HR104" s="898"/>
      <c r="HS104" s="907" t="e">
        <f t="shared" si="325"/>
        <v>#DIV/0!</v>
      </c>
      <c r="HT104" s="898">
        <f t="shared" si="326"/>
        <v>0</v>
      </c>
      <c r="HU104" s="898">
        <f t="shared" ca="1" si="343"/>
        <v>0</v>
      </c>
      <c r="HV104" s="898"/>
      <c r="HW104" s="898"/>
      <c r="HX104" s="898"/>
      <c r="HY104" s="898"/>
      <c r="HZ104" s="898"/>
      <c r="IA104" s="73"/>
      <c r="IB104" s="752"/>
      <c r="IC104" s="73"/>
      <c r="ID104" s="73"/>
      <c r="IE104" s="73"/>
      <c r="IF104" s="73"/>
    </row>
    <row r="105" spans="1:240" ht="15" customHeight="1">
      <c r="A105" s="74" t="s">
        <v>874</v>
      </c>
      <c r="B105" s="39"/>
      <c r="C105" s="39" t="s">
        <v>17</v>
      </c>
      <c r="D105" s="39" t="s">
        <v>92</v>
      </c>
      <c r="E105" s="39">
        <v>2022</v>
      </c>
      <c r="F105" s="39"/>
      <c r="G105" s="39"/>
      <c r="H105" s="41"/>
      <c r="I105" s="39" t="s">
        <v>318</v>
      </c>
      <c r="J105" s="39"/>
      <c r="K105" s="39" t="s">
        <v>864</v>
      </c>
      <c r="L105" s="129"/>
      <c r="M105" s="130" t="s">
        <v>865</v>
      </c>
      <c r="N105" s="131"/>
      <c r="O105" s="161"/>
      <c r="P105" s="161">
        <f>2581+737+16444</f>
        <v>19762</v>
      </c>
      <c r="Q105" s="161"/>
      <c r="R105" s="161"/>
      <c r="S105" s="161">
        <f t="shared" si="334"/>
        <v>0</v>
      </c>
      <c r="T105" s="161">
        <f t="shared" si="335"/>
        <v>0</v>
      </c>
      <c r="U105" s="167">
        <f t="shared" si="336"/>
        <v>0</v>
      </c>
      <c r="V105" s="167" t="e">
        <f t="shared" si="337"/>
        <v>#DIV/0!</v>
      </c>
      <c r="W105" s="167">
        <f t="shared" si="338"/>
        <v>0</v>
      </c>
      <c r="X105" s="161">
        <f t="shared" si="339"/>
        <v>329.36666666666667</v>
      </c>
      <c r="Y105" s="162"/>
      <c r="Z105" s="736">
        <f t="shared" si="340"/>
        <v>30.361299463617044</v>
      </c>
      <c r="AA105" s="162"/>
      <c r="AB105" s="163"/>
      <c r="AC105" s="163"/>
      <c r="AD105" s="39" t="s">
        <v>10</v>
      </c>
      <c r="AE105" s="675">
        <f t="shared" si="311"/>
        <v>60</v>
      </c>
      <c r="AF105" s="674">
        <f t="shared" si="312"/>
        <v>60</v>
      </c>
      <c r="AG105" s="50"/>
      <c r="AH105" s="39">
        <v>60</v>
      </c>
      <c r="AI105" s="50"/>
      <c r="AJ105" s="823"/>
      <c r="AK105" s="43"/>
      <c r="AL105" s="422"/>
      <c r="AM105" s="875">
        <f t="shared" si="313"/>
        <v>0</v>
      </c>
      <c r="AN105" s="10">
        <f t="shared" si="314"/>
        <v>0</v>
      </c>
      <c r="AO105" s="43"/>
      <c r="AP105" s="43"/>
      <c r="AQ105" s="43"/>
      <c r="AR105" s="61"/>
      <c r="AS105" s="61"/>
      <c r="AT105" s="61"/>
      <c r="AU105" s="61"/>
      <c r="AV105" s="43"/>
      <c r="AW105" s="59"/>
      <c r="AX105" s="61"/>
      <c r="AY105" s="43"/>
      <c r="AZ105" s="42"/>
      <c r="BA105" s="39"/>
      <c r="BB105" s="39"/>
      <c r="BC105" s="39"/>
      <c r="BD105" s="39"/>
      <c r="BE105" s="39"/>
      <c r="BF105" s="39"/>
      <c r="BG105" s="143"/>
      <c r="BH105" s="84"/>
      <c r="BI105" s="75"/>
      <c r="BJ105" s="75"/>
      <c r="BK105" s="867" t="s">
        <v>250</v>
      </c>
      <c r="BL105" s="158"/>
      <c r="BM105" s="125"/>
      <c r="BN105" s="1007">
        <f t="shared" si="308"/>
        <v>0</v>
      </c>
      <c r="BO105" s="956"/>
      <c r="BP105" s="125"/>
      <c r="BQ105" s="225"/>
      <c r="BR105" s="224"/>
      <c r="BS105" s="605"/>
      <c r="BT105" s="224"/>
      <c r="BU105" s="784"/>
      <c r="BV105" s="605"/>
      <c r="BW105" s="605"/>
      <c r="BX105" s="702"/>
      <c r="BY105" s="708"/>
      <c r="BZ105" s="703"/>
      <c r="CA105" s="703"/>
      <c r="CB105" s="703"/>
      <c r="CC105" s="699"/>
      <c r="CD105" s="699"/>
      <c r="CE105" s="699"/>
      <c r="CF105" s="699"/>
      <c r="CG105" s="699"/>
      <c r="CH105" s="699"/>
      <c r="CI105" s="699"/>
      <c r="CJ105" s="699"/>
      <c r="CK105" s="699"/>
      <c r="CL105" s="699"/>
      <c r="CM105" s="699"/>
      <c r="CN105" s="699"/>
      <c r="CO105" s="699"/>
      <c r="CP105" s="123"/>
      <c r="CQ105" s="490"/>
      <c r="CR105" s="490"/>
      <c r="CS105" s="492"/>
      <c r="CT105" s="490" t="str">
        <f t="shared" si="315"/>
        <v>0</v>
      </c>
      <c r="CU105" s="490"/>
      <c r="CV105" s="492"/>
      <c r="CW105" s="490" t="str">
        <f t="shared" si="316"/>
        <v>0</v>
      </c>
      <c r="CX105" s="490"/>
      <c r="CY105" s="492"/>
      <c r="CZ105" s="490" t="str">
        <f t="shared" si="317"/>
        <v>0</v>
      </c>
      <c r="DA105" s="490"/>
      <c r="DB105" s="492"/>
      <c r="DC105" s="493" t="str">
        <f t="shared" si="318"/>
        <v>0</v>
      </c>
      <c r="DD105" s="490"/>
      <c r="DE105" s="492"/>
      <c r="DF105" s="438" t="str">
        <f t="shared" si="319"/>
        <v>0</v>
      </c>
      <c r="DG105" s="494"/>
      <c r="DH105" s="479"/>
      <c r="DI105" s="480"/>
      <c r="DJ105" s="481"/>
      <c r="DK105" s="479"/>
      <c r="DL105" s="212"/>
      <c r="DM105" s="617">
        <v>44379</v>
      </c>
      <c r="DN105" s="432"/>
      <c r="DO105" s="432">
        <f t="shared" si="302"/>
        <v>1479.3</v>
      </c>
      <c r="DP105" s="618"/>
      <c r="DQ105" s="188"/>
      <c r="DR105" s="479"/>
      <c r="DS105" s="484"/>
      <c r="DT105" s="481"/>
      <c r="DU105" s="479"/>
      <c r="DV105" s="484"/>
      <c r="DW105" s="802"/>
      <c r="DX105" s="483"/>
      <c r="DY105" s="484"/>
      <c r="DZ105" s="803"/>
      <c r="EA105" s="484"/>
      <c r="EB105" s="484"/>
      <c r="EC105" s="481"/>
      <c r="ED105" s="485"/>
      <c r="EE105" s="485"/>
      <c r="EF105" s="481"/>
      <c r="EG105" s="484"/>
      <c r="EH105" s="484"/>
      <c r="EI105" s="481"/>
      <c r="EJ105" s="484"/>
      <c r="EK105" s="484"/>
      <c r="EL105" s="481"/>
      <c r="EM105" s="484"/>
      <c r="EN105" s="484"/>
      <c r="EO105" s="484"/>
      <c r="EP105" s="479"/>
      <c r="EQ105" s="652"/>
      <c r="ER105" s="804"/>
      <c r="ES105" s="805"/>
      <c r="ET105" s="904">
        <f t="shared" ca="1" si="306"/>
        <v>0</v>
      </c>
      <c r="EU105" s="653">
        <f t="shared" si="320"/>
        <v>731</v>
      </c>
      <c r="EV105" s="748"/>
      <c r="EW105" s="737"/>
      <c r="EX105" s="424"/>
      <c r="EY105" s="652"/>
      <c r="EZ105" s="747"/>
      <c r="FA105" s="806"/>
      <c r="FB105" s="938"/>
      <c r="FC105" s="808"/>
      <c r="FD105" s="635"/>
      <c r="FE105" s="91"/>
      <c r="FF105" s="502"/>
      <c r="FG105" s="502"/>
      <c r="FH105" s="502"/>
      <c r="FI105" s="502"/>
      <c r="FJ105" s="502"/>
      <c r="FK105" s="664"/>
      <c r="FL105" s="499"/>
      <c r="FM105" s="511"/>
      <c r="FN105" s="499"/>
      <c r="FO105" s="499"/>
      <c r="FP105" s="94"/>
      <c r="FQ105" s="94"/>
      <c r="FR105" s="94"/>
      <c r="FS105" s="94"/>
      <c r="FT105" s="94"/>
      <c r="FU105" s="39"/>
      <c r="FV105" s="212"/>
      <c r="FW105" s="212"/>
      <c r="FX105" s="39"/>
      <c r="FY105" s="39"/>
      <c r="FZ105" s="39"/>
      <c r="GA105" s="39"/>
      <c r="GB105" s="39"/>
      <c r="GC105" s="39"/>
      <c r="GD105" s="39"/>
      <c r="GE105" s="39"/>
      <c r="GF105" s="39"/>
      <c r="GG105" s="39"/>
      <c r="GH105" s="39"/>
      <c r="GI105" s="39"/>
      <c r="GJ105" s="39"/>
      <c r="GK105" s="86"/>
      <c r="GL105" s="71"/>
      <c r="GM105" s="979">
        <f t="shared" si="341"/>
        <v>0</v>
      </c>
      <c r="GN105" s="772">
        <f t="shared" si="344"/>
        <v>0</v>
      </c>
      <c r="GO105" s="69"/>
      <c r="GP105" s="898">
        <f t="shared" si="321"/>
        <v>0</v>
      </c>
      <c r="GQ105" s="35" t="e">
        <f t="shared" si="342"/>
        <v>#DIV/0!</v>
      </c>
      <c r="GR105" s="71"/>
      <c r="GS105" s="579"/>
      <c r="GT105" s="809"/>
      <c r="GU105" s="72"/>
      <c r="GV105" s="67"/>
      <c r="GW105" s="67"/>
      <c r="GX105" s="72"/>
      <c r="GY105" s="11"/>
      <c r="GZ105" s="215"/>
      <c r="HA105" s="53"/>
      <c r="HB105" s="68"/>
      <c r="HC105" s="28" t="e">
        <f t="shared" si="333"/>
        <v>#DIV/0!</v>
      </c>
      <c r="HD105" s="53"/>
      <c r="HE105" s="53"/>
      <c r="HF105" s="53"/>
      <c r="HG105" s="35"/>
      <c r="HH105" s="35"/>
      <c r="HI105" s="70"/>
      <c r="HJ105" s="70"/>
      <c r="HK105" s="19"/>
      <c r="HL105" s="70"/>
      <c r="HM105" s="35"/>
      <c r="HN105" s="36"/>
      <c r="HO105" s="70"/>
      <c r="HP105" s="70"/>
      <c r="HQ105" s="53"/>
      <c r="HR105" s="898"/>
      <c r="HS105" s="907" t="e">
        <f t="shared" si="325"/>
        <v>#DIV/0!</v>
      </c>
      <c r="HT105" s="898">
        <f t="shared" si="326"/>
        <v>0</v>
      </c>
      <c r="HU105" s="898">
        <f t="shared" ca="1" si="343"/>
        <v>0</v>
      </c>
      <c r="HV105" s="898"/>
      <c r="HW105" s="898"/>
      <c r="HX105" s="898"/>
      <c r="HY105" s="898"/>
      <c r="HZ105" s="898"/>
      <c r="IA105" s="752"/>
      <c r="IB105" s="73"/>
      <c r="IC105" s="73"/>
      <c r="ID105" s="73"/>
      <c r="IE105" s="73"/>
      <c r="IF105" s="178"/>
    </row>
    <row r="106" spans="1:240" ht="15" customHeight="1">
      <c r="A106" s="66" t="s">
        <v>515</v>
      </c>
      <c r="B106" s="66"/>
      <c r="C106" s="39" t="s">
        <v>21</v>
      </c>
      <c r="D106" s="39" t="s">
        <v>92</v>
      </c>
      <c r="E106" s="39">
        <v>2022</v>
      </c>
      <c r="F106" s="39"/>
      <c r="G106" s="39"/>
      <c r="H106" s="39"/>
      <c r="I106" s="39" t="s">
        <v>209</v>
      </c>
      <c r="J106" s="39"/>
      <c r="K106" s="39" t="s">
        <v>515</v>
      </c>
      <c r="L106" s="199" t="s">
        <v>770</v>
      </c>
      <c r="M106" s="129"/>
      <c r="N106" s="130"/>
      <c r="O106" s="131"/>
      <c r="P106" s="161">
        <v>2165</v>
      </c>
      <c r="Q106" s="161">
        <v>866000</v>
      </c>
      <c r="R106" s="161"/>
      <c r="S106" s="161">
        <f t="shared" si="334"/>
        <v>14433.333333333334</v>
      </c>
      <c r="T106" s="161">
        <f t="shared" si="335"/>
        <v>400</v>
      </c>
      <c r="U106" s="167">
        <f t="shared" si="336"/>
        <v>0</v>
      </c>
      <c r="V106" s="167" t="e">
        <f t="shared" si="337"/>
        <v>#DIV/0!</v>
      </c>
      <c r="W106" s="167">
        <f t="shared" si="338"/>
        <v>0</v>
      </c>
      <c r="X106" s="161">
        <f t="shared" si="339"/>
        <v>36.083333333333336</v>
      </c>
      <c r="Y106" s="162"/>
      <c r="Z106" s="736">
        <f t="shared" si="340"/>
        <v>277.13625866050808</v>
      </c>
      <c r="AA106" s="162" t="s">
        <v>152</v>
      </c>
      <c r="AB106" s="162">
        <v>500</v>
      </c>
      <c r="AC106" s="163">
        <v>0.1</v>
      </c>
      <c r="AD106" s="40" t="s">
        <v>9</v>
      </c>
      <c r="AE106" s="675">
        <f t="shared" si="311"/>
        <v>60</v>
      </c>
      <c r="AF106" s="674">
        <f t="shared" si="312"/>
        <v>60</v>
      </c>
      <c r="AG106" s="39">
        <v>30</v>
      </c>
      <c r="AH106" s="50"/>
      <c r="AI106" s="39">
        <v>30</v>
      </c>
      <c r="AJ106" s="50"/>
      <c r="AK106" s="692"/>
      <c r="AL106" s="422"/>
      <c r="AM106" s="875">
        <f t="shared" si="313"/>
        <v>0</v>
      </c>
      <c r="AN106" s="10">
        <f t="shared" si="314"/>
        <v>0</v>
      </c>
      <c r="AO106" s="43"/>
      <c r="AP106" s="43"/>
      <c r="AQ106" s="43"/>
      <c r="AR106" s="61"/>
      <c r="AS106" s="61"/>
      <c r="AT106" s="61"/>
      <c r="AU106" s="61"/>
      <c r="AV106" s="61"/>
      <c r="AW106" s="43"/>
      <c r="AX106" s="59"/>
      <c r="AY106" s="61"/>
      <c r="AZ106" s="43"/>
      <c r="BA106" s="39"/>
      <c r="BB106" s="39"/>
      <c r="BC106" s="39"/>
      <c r="BD106" s="39"/>
      <c r="BE106" s="39"/>
      <c r="BF106" s="39"/>
      <c r="BG106" s="143"/>
      <c r="BH106" s="39"/>
      <c r="BI106" s="159"/>
      <c r="BJ106" s="75"/>
      <c r="BK106" s="867" t="s">
        <v>250</v>
      </c>
      <c r="BL106" s="125"/>
      <c r="BM106" s="158"/>
      <c r="BN106" s="1007">
        <f t="shared" si="308"/>
        <v>0</v>
      </c>
      <c r="BO106" s="954"/>
      <c r="BP106" s="125"/>
      <c r="BQ106" s="125"/>
      <c r="BR106" s="225"/>
      <c r="BS106" s="224">
        <f t="shared" ref="BS106:BS125" si="345">DATE(YEAR(BR106),MONTH(BR106)+24,DAY(BR106))</f>
        <v>731</v>
      </c>
      <c r="BT106" s="605"/>
      <c r="BU106" s="224" t="str">
        <f t="shared" ref="BU106:BU125" si="346">IF(FA106&gt;BS106,"oui","non")</f>
        <v>oui</v>
      </c>
      <c r="BV106" s="784">
        <f t="shared" ref="BV106:BV125" si="347">(BS106-FA106)/30</f>
        <v>-1530.0666666666666</v>
      </c>
      <c r="BW106" s="605">
        <f t="shared" ref="BW106:BW125" si="348">IF((BV106*FD106)&lt;0,"0",BV106*FD106)</f>
        <v>0</v>
      </c>
      <c r="BX106" s="605">
        <f t="shared" ref="BX106:BX125" si="349">BT106-BW106</f>
        <v>0</v>
      </c>
      <c r="BY106" s="702"/>
      <c r="BZ106" s="708"/>
      <c r="CA106" s="703"/>
      <c r="CB106" s="703"/>
      <c r="CC106" s="703"/>
      <c r="CD106" s="699"/>
      <c r="CE106" s="699"/>
      <c r="CF106" s="699"/>
      <c r="CG106" s="699"/>
      <c r="CH106" s="699"/>
      <c r="CI106" s="699"/>
      <c r="CJ106" s="699"/>
      <c r="CK106" s="699"/>
      <c r="CL106" s="699"/>
      <c r="CM106" s="699"/>
      <c r="CN106" s="699"/>
      <c r="CO106" s="699"/>
      <c r="CP106" s="699"/>
      <c r="CQ106" s="490"/>
      <c r="CR106" s="490"/>
      <c r="CS106" s="490"/>
      <c r="CT106" s="492" t="str">
        <f t="shared" si="315"/>
        <v>0</v>
      </c>
      <c r="CU106" s="490"/>
      <c r="CV106" s="490"/>
      <c r="CW106" s="492" t="str">
        <f t="shared" si="316"/>
        <v>0</v>
      </c>
      <c r="CX106" s="490"/>
      <c r="CY106" s="490"/>
      <c r="CZ106" s="492" t="str">
        <f t="shared" si="317"/>
        <v>0</v>
      </c>
      <c r="DA106" s="490"/>
      <c r="DB106" s="490"/>
      <c r="DC106" s="492" t="str">
        <f t="shared" si="318"/>
        <v>0</v>
      </c>
      <c r="DD106" s="493"/>
      <c r="DE106" s="490"/>
      <c r="DF106" s="492" t="str">
        <f t="shared" si="319"/>
        <v>0</v>
      </c>
      <c r="DG106" s="438"/>
      <c r="DH106" s="491"/>
      <c r="DI106" s="479"/>
      <c r="DJ106" s="480"/>
      <c r="DK106" s="481"/>
      <c r="DL106" s="680"/>
      <c r="DM106" s="617">
        <v>45108</v>
      </c>
      <c r="DN106" s="326"/>
      <c r="DO106" s="432">
        <f t="shared" si="302"/>
        <v>1503.6</v>
      </c>
      <c r="DP106" s="481" t="str">
        <f t="shared" ref="DP106:DP125" si="350">IF(AND(DL106&gt;0,DM106&gt;0),DM106-DL106,"0")</f>
        <v>0</v>
      </c>
      <c r="DQ106" s="618">
        <v>42</v>
      </c>
      <c r="DR106" s="188">
        <f t="shared" ref="DR106:DR125" si="351">DATEDIF(DM106,ER106,"M")</f>
        <v>45</v>
      </c>
      <c r="DS106" s="479"/>
      <c r="DT106" s="484">
        <f t="shared" ref="DT106:DT125" ca="1" si="352">IF(DS106&lt;TODAY(),TODAY(),DS106)</f>
        <v>43647</v>
      </c>
      <c r="DU106" s="481" t="str">
        <f t="shared" ref="DU106:DU125" ca="1" si="353">IF(AND(DS106&gt;0,DT106&gt;0),DT106-DS106,"0")</f>
        <v>0</v>
      </c>
      <c r="DV106" s="479"/>
      <c r="DW106" s="497">
        <f t="shared" ref="DW106:DW125" ca="1" si="354">IF(DV106&lt;TODAY(),TODAY(),DV106)</f>
        <v>43647</v>
      </c>
      <c r="DX106" s="482" t="str">
        <f t="shared" ref="DX106:DX125" ca="1" si="355">IF(AND(DV106&gt;0,DW106&gt;0),DW106-DV106,"0")</f>
        <v>0</v>
      </c>
      <c r="DY106" s="483"/>
      <c r="DZ106" s="497">
        <f t="shared" ref="DZ106:DZ125" ca="1" si="356">IF(DY106&lt;TODAY(),TODAY(),DY106)</f>
        <v>43647</v>
      </c>
      <c r="EA106" s="481" t="str">
        <f t="shared" ref="EA106:EA125" ca="1" si="357">IF(AND(DY106&gt;0,DZ106&gt;0),DZ106-DY106,"0")</f>
        <v>0</v>
      </c>
      <c r="EB106" s="484">
        <v>43542</v>
      </c>
      <c r="EC106" s="484">
        <f t="shared" ref="EC106:EC125" ca="1" si="358">IF(EB106&lt;TODAY(),TODAY(),EB106)</f>
        <v>43647</v>
      </c>
      <c r="ED106" s="481">
        <f t="shared" ref="ED106:ED125" ca="1" si="359">IF(AND(EB106&gt;0,EC106&gt;0),EC106-EB106,"0")</f>
        <v>105</v>
      </c>
      <c r="EE106" s="485"/>
      <c r="EF106" s="485"/>
      <c r="EG106" s="481" t="str">
        <f t="shared" ref="EG106:EG125" si="360">IF(AND(EE106&gt;0,EF106&gt;0),EF106-EE106,"0")</f>
        <v>0</v>
      </c>
      <c r="EH106" s="484"/>
      <c r="EI106" s="484">
        <f t="shared" ref="EI106:EI125" ca="1" si="361">IF(EH106&lt;TODAY(),TODAY(),EH106)</f>
        <v>43647</v>
      </c>
      <c r="EJ106" s="481" t="str">
        <f t="shared" ref="EJ106:EJ125" ca="1" si="362">IF(AND(EH106&gt;0,EI106&gt;0),EI106-EH106,"0")</f>
        <v>0</v>
      </c>
      <c r="EK106" s="484">
        <v>43619</v>
      </c>
      <c r="EL106" s="484">
        <f t="shared" ref="EL106:EL125" ca="1" si="363">IF(EK106&lt;TODAY(),TODAY(),EK106)</f>
        <v>43647</v>
      </c>
      <c r="EM106" s="481">
        <f t="shared" ref="EM106:EM125" ca="1" si="364">IF(AND(EK106&gt;0,EL106&gt;0),EL106-EK106,"0")</f>
        <v>28</v>
      </c>
      <c r="EN106" s="484"/>
      <c r="EO106" s="484"/>
      <c r="EP106" s="484"/>
      <c r="EQ106" s="654">
        <f t="shared" ref="EQ106:EQ125" si="365">DATE(YEAR(DM106),MONTH(DM106)+DQ106,DAY(DM106))</f>
        <v>46388</v>
      </c>
      <c r="ER106" s="653">
        <f t="shared" ref="ER106:ER125" si="366">DATE(YEAR(EQ106),MONTH(EQ106)+3,DAY(EQ106))</f>
        <v>46478</v>
      </c>
      <c r="ES106" s="650">
        <f t="shared" ref="ES106:ES125" si="367">(DATEDIF(EQ106,ER106,"d"))/30</f>
        <v>3</v>
      </c>
      <c r="ET106" s="904">
        <f t="shared" ca="1" si="306"/>
        <v>94.36666666666666</v>
      </c>
      <c r="EU106" s="653">
        <f t="shared" ca="1" si="320"/>
        <v>44378</v>
      </c>
      <c r="EV106" s="748"/>
      <c r="EW106" s="737"/>
      <c r="EX106" s="749">
        <f t="shared" ref="EX106:EX125" si="368">DATE(YEAR(ER106),MONTH(ER106)+4,DAY(ER106)+2)</f>
        <v>46602</v>
      </c>
      <c r="EY106" s="443"/>
      <c r="EZ106" s="747">
        <f t="shared" ref="EZ106:EZ125" si="369">DATE(YEAR(EQ106),MONTH(EQ106)+1,DAY(EQ106))</f>
        <v>46419</v>
      </c>
      <c r="FA106" s="653">
        <f t="shared" ref="FA106:FA125" si="370">DATE(YEAR(EX106),MONTH(EX106)+1,DAY(EX106))</f>
        <v>46633</v>
      </c>
      <c r="FB106" s="518"/>
      <c r="FC106" s="647">
        <f t="shared" ref="FC106:FC125" si="371">(DATEDIF(EZ106,FA106,"d"))/30</f>
        <v>7.1333333333333337</v>
      </c>
      <c r="FD106" s="635"/>
      <c r="FE106" s="192">
        <f t="shared" ref="FE106:FE125" si="372">FD106*FC106</f>
        <v>0</v>
      </c>
      <c r="FF106" s="91"/>
      <c r="FG106" s="502"/>
      <c r="FH106" s="502">
        <v>0</v>
      </c>
      <c r="FI106" s="502"/>
      <c r="FJ106" s="502"/>
      <c r="FK106" s="502"/>
      <c r="FL106" s="664" t="e">
        <f t="shared" ref="FL106:FL125" si="373">FK106/GN106</f>
        <v>#DIV/0!</v>
      </c>
      <c r="FM106" s="499"/>
      <c r="FN106" s="511"/>
      <c r="FO106" s="499"/>
      <c r="FP106" s="499"/>
      <c r="FQ106" s="94"/>
      <c r="FR106" s="94"/>
      <c r="FS106" s="94"/>
      <c r="FT106" s="94"/>
      <c r="FU106" s="94"/>
      <c r="FV106" s="39"/>
      <c r="FW106" s="212">
        <f t="shared" ref="FW106:FW125" si="374">DATE(YEAR(ER106)+1,MONTH(ER106),DAY(ER106))</f>
        <v>46844</v>
      </c>
      <c r="FX106" s="212"/>
      <c r="FY106" s="39"/>
      <c r="FZ106" s="39"/>
      <c r="GA106" s="39"/>
      <c r="GB106" s="39"/>
      <c r="GC106" s="39"/>
      <c r="GD106" s="39"/>
      <c r="GE106" s="39"/>
      <c r="GF106" s="39"/>
      <c r="GG106" s="39"/>
      <c r="GH106" s="39"/>
      <c r="GI106" s="39"/>
      <c r="GJ106" s="39"/>
      <c r="GK106" s="39"/>
      <c r="GL106" s="742"/>
      <c r="GM106" s="979">
        <f t="shared" si="341"/>
        <v>0</v>
      </c>
      <c r="GN106" s="772">
        <f t="shared" si="344"/>
        <v>0</v>
      </c>
      <c r="GO106" s="53">
        <f t="shared" ref="GO106:GO125" si="375">GN106</f>
        <v>0</v>
      </c>
      <c r="GP106" s="898">
        <f t="shared" si="321"/>
        <v>0</v>
      </c>
      <c r="GQ106" s="35" t="e">
        <f t="shared" si="342"/>
        <v>#DIV/0!</v>
      </c>
      <c r="GR106" s="35" t="e">
        <f>#REF!/AE106</f>
        <v>#REF!</v>
      </c>
      <c r="GS106" s="53"/>
      <c r="GT106" s="577"/>
      <c r="GU106" s="35"/>
      <c r="GV106" s="53">
        <f t="shared" ref="GV106:GV125" si="376">GW106+GX106</f>
        <v>0</v>
      </c>
      <c r="GW106" s="67"/>
      <c r="GX106" s="67"/>
      <c r="GY106" s="568">
        <f t="shared" ref="GY106:GY125" si="377">GV106/AE106</f>
        <v>0</v>
      </c>
      <c r="GZ106" s="53"/>
      <c r="HA106" s="53"/>
      <c r="HB106" s="53"/>
      <c r="HC106" s="28" t="e">
        <f t="shared" si="333"/>
        <v>#DIV/0!</v>
      </c>
      <c r="HD106" s="53"/>
      <c r="HE106" s="53"/>
      <c r="HF106" s="53"/>
      <c r="HG106" s="35">
        <f t="shared" ref="HG106:HG125" si="378">HA106/AE106</f>
        <v>0</v>
      </c>
      <c r="HH106" s="35">
        <f t="shared" ref="HH106:HH125" si="379">(GS106+HA106)/AE106</f>
        <v>0</v>
      </c>
      <c r="HI106" s="70"/>
      <c r="HJ106" s="70"/>
      <c r="HK106" s="35" t="e">
        <f>(#REF!+#REF!+HJ106)/AE106</f>
        <v>#REF!</v>
      </c>
      <c r="HL106" s="70"/>
      <c r="HM106" s="35">
        <f t="shared" ref="HM106:HM125" si="380">(GS106+HA106+HJ106+HL106)/AE106</f>
        <v>0</v>
      </c>
      <c r="HN106" s="36" t="e">
        <f>(#REF!+#REF!+HJ106+HL106)/(HI106+#REF!-HO106)</f>
        <v>#REF!</v>
      </c>
      <c r="HO106" s="70"/>
      <c r="HP106" s="70"/>
      <c r="HQ106" s="53">
        <f>FH106</f>
        <v>0</v>
      </c>
      <c r="HR106" s="898"/>
      <c r="HS106" s="907" t="e">
        <f t="shared" si="325"/>
        <v>#DIV/0!</v>
      </c>
      <c r="HT106" s="898">
        <f t="shared" si="326"/>
        <v>0</v>
      </c>
      <c r="HU106" s="898">
        <f t="shared" ca="1" si="343"/>
        <v>0</v>
      </c>
      <c r="HV106" s="898"/>
      <c r="HW106" s="898"/>
      <c r="HX106" s="898"/>
      <c r="HY106" s="898"/>
      <c r="HZ106" s="898"/>
      <c r="IA106" s="73" t="e">
        <f>#REF!+HI106</f>
        <v>#REF!</v>
      </c>
      <c r="IB106" s="752"/>
      <c r="IC106" s="73"/>
      <c r="ID106" s="73"/>
      <c r="IE106" s="73"/>
      <c r="IF106" s="73"/>
    </row>
    <row r="107" spans="1:240" ht="15" customHeight="1">
      <c r="A107" s="66" t="s">
        <v>507</v>
      </c>
      <c r="B107" s="66"/>
      <c r="C107" s="39" t="s">
        <v>62</v>
      </c>
      <c r="D107" s="39" t="s">
        <v>94</v>
      </c>
      <c r="E107" s="39">
        <v>2022</v>
      </c>
      <c r="F107" s="39"/>
      <c r="G107" s="39"/>
      <c r="H107" s="39"/>
      <c r="I107" s="39" t="s">
        <v>318</v>
      </c>
      <c r="J107" s="39"/>
      <c r="K107" s="39" t="s">
        <v>508</v>
      </c>
      <c r="L107" s="199" t="s">
        <v>752</v>
      </c>
      <c r="M107" s="129" t="s">
        <v>509</v>
      </c>
      <c r="N107" s="130"/>
      <c r="O107" s="131"/>
      <c r="P107" s="161">
        <f>1707+1545</f>
        <v>3252</v>
      </c>
      <c r="Q107" s="161">
        <v>567840</v>
      </c>
      <c r="R107" s="161">
        <v>567840</v>
      </c>
      <c r="S107" s="161">
        <f t="shared" si="334"/>
        <v>37856</v>
      </c>
      <c r="T107" s="161">
        <f t="shared" si="335"/>
        <v>174.61254612546125</v>
      </c>
      <c r="U107" s="167">
        <f t="shared" si="336"/>
        <v>174.61254612546125</v>
      </c>
      <c r="V107" s="167" t="e">
        <f t="shared" si="337"/>
        <v>#DIV/0!</v>
      </c>
      <c r="W107" s="167">
        <f t="shared" si="338"/>
        <v>37856</v>
      </c>
      <c r="X107" s="161">
        <f t="shared" si="339"/>
        <v>216.8</v>
      </c>
      <c r="Y107" s="162"/>
      <c r="Z107" s="736">
        <f t="shared" si="340"/>
        <v>46.125461254612546</v>
      </c>
      <c r="AA107" s="162"/>
      <c r="AB107" s="162"/>
      <c r="AC107" s="163"/>
      <c r="AD107" s="40" t="s">
        <v>10</v>
      </c>
      <c r="AE107" s="674">
        <f t="shared" si="311"/>
        <v>15</v>
      </c>
      <c r="AF107" s="674">
        <f t="shared" si="312"/>
        <v>15</v>
      </c>
      <c r="AG107" s="50"/>
      <c r="AH107" s="39">
        <v>15</v>
      </c>
      <c r="AI107" s="50"/>
      <c r="AJ107" s="50"/>
      <c r="AK107" s="692"/>
      <c r="AL107" s="422"/>
      <c r="AM107" s="875">
        <f t="shared" si="313"/>
        <v>0</v>
      </c>
      <c r="AN107" s="10">
        <f t="shared" si="314"/>
        <v>0</v>
      </c>
      <c r="AO107" s="43"/>
      <c r="AP107" s="43"/>
      <c r="AQ107" s="43"/>
      <c r="AR107" s="61"/>
      <c r="AS107" s="61"/>
      <c r="AT107" s="61"/>
      <c r="AU107" s="61"/>
      <c r="AV107" s="61"/>
      <c r="AW107" s="43"/>
      <c r="AX107" s="59"/>
      <c r="AY107" s="61"/>
      <c r="AZ107" s="43"/>
      <c r="BA107" s="39"/>
      <c r="BB107" s="39"/>
      <c r="BC107" s="39"/>
      <c r="BD107" s="39"/>
      <c r="BE107" s="39"/>
      <c r="BF107" s="39"/>
      <c r="BG107" s="143"/>
      <c r="BH107" s="39"/>
      <c r="BI107" s="159"/>
      <c r="BJ107" s="75"/>
      <c r="BK107" s="867" t="s">
        <v>250</v>
      </c>
      <c r="BL107" s="125"/>
      <c r="BM107" s="158"/>
      <c r="BN107" s="1007">
        <f t="shared" si="308"/>
        <v>0</v>
      </c>
      <c r="BO107" s="954"/>
      <c r="BP107" s="125"/>
      <c r="BQ107" s="125"/>
      <c r="BR107" s="225"/>
      <c r="BS107" s="224">
        <f t="shared" si="345"/>
        <v>731</v>
      </c>
      <c r="BT107" s="605"/>
      <c r="BU107" s="224" t="str">
        <f t="shared" si="346"/>
        <v>oui</v>
      </c>
      <c r="BV107" s="784">
        <f t="shared" si="347"/>
        <v>-1531.0666666666666</v>
      </c>
      <c r="BW107" s="605">
        <f t="shared" si="348"/>
        <v>0</v>
      </c>
      <c r="BX107" s="605">
        <f t="shared" si="349"/>
        <v>0</v>
      </c>
      <c r="BY107" s="702"/>
      <c r="BZ107" s="708"/>
      <c r="CA107" s="703"/>
      <c r="CB107" s="703"/>
      <c r="CC107" s="703"/>
      <c r="CD107" s="699"/>
      <c r="CE107" s="699"/>
      <c r="CF107" s="699"/>
      <c r="CG107" s="699"/>
      <c r="CH107" s="699"/>
      <c r="CI107" s="699"/>
      <c r="CJ107" s="699"/>
      <c r="CK107" s="699"/>
      <c r="CL107" s="699"/>
      <c r="CM107" s="699"/>
      <c r="CN107" s="699"/>
      <c r="CO107" s="699"/>
      <c r="CP107" s="699"/>
      <c r="CQ107" s="490"/>
      <c r="CR107" s="490"/>
      <c r="CS107" s="490"/>
      <c r="CT107" s="492" t="str">
        <f t="shared" si="315"/>
        <v>0</v>
      </c>
      <c r="CU107" s="490"/>
      <c r="CV107" s="490"/>
      <c r="CW107" s="492" t="str">
        <f t="shared" si="316"/>
        <v>0</v>
      </c>
      <c r="CX107" s="490"/>
      <c r="CY107" s="490"/>
      <c r="CZ107" s="492" t="str">
        <f t="shared" si="317"/>
        <v>0</v>
      </c>
      <c r="DA107" s="490"/>
      <c r="DB107" s="490"/>
      <c r="DC107" s="492" t="str">
        <f t="shared" si="318"/>
        <v>0</v>
      </c>
      <c r="DD107" s="493"/>
      <c r="DE107" s="490"/>
      <c r="DF107" s="492" t="str">
        <f t="shared" si="319"/>
        <v>0</v>
      </c>
      <c r="DG107" s="438"/>
      <c r="DH107" s="491"/>
      <c r="DI107" s="479"/>
      <c r="DJ107" s="480"/>
      <c r="DK107" s="481"/>
      <c r="DL107" s="680"/>
      <c r="DM107" s="617">
        <v>45108</v>
      </c>
      <c r="DN107" s="326"/>
      <c r="DO107" s="432">
        <f t="shared" si="302"/>
        <v>1503.6</v>
      </c>
      <c r="DP107" s="481" t="str">
        <f t="shared" si="350"/>
        <v>0</v>
      </c>
      <c r="DQ107" s="618">
        <v>43</v>
      </c>
      <c r="DR107" s="188">
        <f t="shared" si="351"/>
        <v>46</v>
      </c>
      <c r="DS107" s="479"/>
      <c r="DT107" s="484">
        <f t="shared" ca="1" si="352"/>
        <v>43647</v>
      </c>
      <c r="DU107" s="481" t="str">
        <f t="shared" ca="1" si="353"/>
        <v>0</v>
      </c>
      <c r="DV107" s="479"/>
      <c r="DW107" s="497">
        <f t="shared" ca="1" si="354"/>
        <v>43647</v>
      </c>
      <c r="DX107" s="482" t="str">
        <f t="shared" ca="1" si="355"/>
        <v>0</v>
      </c>
      <c r="DY107" s="483"/>
      <c r="DZ107" s="497">
        <f t="shared" ca="1" si="356"/>
        <v>43647</v>
      </c>
      <c r="EA107" s="481" t="str">
        <f t="shared" ca="1" si="357"/>
        <v>0</v>
      </c>
      <c r="EB107" s="484">
        <v>43543</v>
      </c>
      <c r="EC107" s="484">
        <f t="shared" ca="1" si="358"/>
        <v>43647</v>
      </c>
      <c r="ED107" s="481">
        <f t="shared" ca="1" si="359"/>
        <v>104</v>
      </c>
      <c r="EE107" s="485"/>
      <c r="EF107" s="485"/>
      <c r="EG107" s="481" t="str">
        <f t="shared" si="360"/>
        <v>0</v>
      </c>
      <c r="EH107" s="484"/>
      <c r="EI107" s="484">
        <f t="shared" ca="1" si="361"/>
        <v>43647</v>
      </c>
      <c r="EJ107" s="481" t="str">
        <f t="shared" ca="1" si="362"/>
        <v>0</v>
      </c>
      <c r="EK107" s="484">
        <v>43620</v>
      </c>
      <c r="EL107" s="484">
        <f t="shared" ca="1" si="363"/>
        <v>43647</v>
      </c>
      <c r="EM107" s="481">
        <f t="shared" ca="1" si="364"/>
        <v>27</v>
      </c>
      <c r="EN107" s="484"/>
      <c r="EO107" s="484"/>
      <c r="EP107" s="484"/>
      <c r="EQ107" s="654">
        <f t="shared" si="365"/>
        <v>46419</v>
      </c>
      <c r="ER107" s="653">
        <f t="shared" si="366"/>
        <v>46508</v>
      </c>
      <c r="ES107" s="650">
        <f t="shared" si="367"/>
        <v>2.9666666666666668</v>
      </c>
      <c r="ET107" s="904">
        <f t="shared" ca="1" si="306"/>
        <v>95.36666666666666</v>
      </c>
      <c r="EU107" s="653">
        <f t="shared" ca="1" si="320"/>
        <v>44378</v>
      </c>
      <c r="EV107" s="748"/>
      <c r="EW107" s="737"/>
      <c r="EX107" s="749">
        <f t="shared" si="368"/>
        <v>46633</v>
      </c>
      <c r="EY107" s="443"/>
      <c r="EZ107" s="747">
        <f t="shared" si="369"/>
        <v>46447</v>
      </c>
      <c r="FA107" s="653">
        <f t="shared" si="370"/>
        <v>46663</v>
      </c>
      <c r="FB107" s="518"/>
      <c r="FC107" s="647">
        <f t="shared" si="371"/>
        <v>7.2</v>
      </c>
      <c r="FD107" s="631"/>
      <c r="FE107" s="192">
        <f t="shared" si="372"/>
        <v>0</v>
      </c>
      <c r="FF107" s="91"/>
      <c r="FG107" s="502"/>
      <c r="FH107" s="502"/>
      <c r="FI107" s="502"/>
      <c r="FJ107" s="502"/>
      <c r="FK107" s="502"/>
      <c r="FL107" s="664" t="e">
        <f t="shared" si="373"/>
        <v>#DIV/0!</v>
      </c>
      <c r="FM107" s="499"/>
      <c r="FN107" s="511"/>
      <c r="FO107" s="499"/>
      <c r="FP107" s="499"/>
      <c r="FQ107" s="94"/>
      <c r="FR107" s="94"/>
      <c r="FS107" s="94"/>
      <c r="FT107" s="94"/>
      <c r="FU107" s="94"/>
      <c r="FV107" s="39"/>
      <c r="FW107" s="212">
        <f t="shared" si="374"/>
        <v>46874</v>
      </c>
      <c r="FX107" s="212"/>
      <c r="FY107" s="39"/>
      <c r="FZ107" s="39"/>
      <c r="GA107" s="39"/>
      <c r="GB107" s="39"/>
      <c r="GC107" s="39"/>
      <c r="GD107" s="39"/>
      <c r="GE107" s="39"/>
      <c r="GF107" s="39"/>
      <c r="GG107" s="39"/>
      <c r="GH107" s="39"/>
      <c r="GI107" s="39"/>
      <c r="GJ107" s="39"/>
      <c r="GK107" s="39"/>
      <c r="GL107" s="742"/>
      <c r="GM107" s="979">
        <f t="shared" si="341"/>
        <v>0</v>
      </c>
      <c r="GN107" s="772">
        <f t="shared" si="344"/>
        <v>0</v>
      </c>
      <c r="GO107" s="53">
        <f t="shared" si="375"/>
        <v>0</v>
      </c>
      <c r="GP107" s="898">
        <f t="shared" si="321"/>
        <v>0</v>
      </c>
      <c r="GQ107" s="35" t="e">
        <f t="shared" si="342"/>
        <v>#DIV/0!</v>
      </c>
      <c r="GR107" s="35" t="e">
        <f>#REF!/AE107</f>
        <v>#REF!</v>
      </c>
      <c r="GS107" s="53"/>
      <c r="GT107" s="577"/>
      <c r="GU107" s="35"/>
      <c r="GV107" s="53">
        <f t="shared" si="376"/>
        <v>0</v>
      </c>
      <c r="GW107" s="67"/>
      <c r="GX107" s="67"/>
      <c r="GY107" s="568">
        <f t="shared" si="377"/>
        <v>0</v>
      </c>
      <c r="GZ107" s="53"/>
      <c r="HA107" s="53"/>
      <c r="HB107" s="53"/>
      <c r="HC107" s="28" t="e">
        <f t="shared" si="333"/>
        <v>#DIV/0!</v>
      </c>
      <c r="HD107" s="53"/>
      <c r="HE107" s="53"/>
      <c r="HF107" s="53"/>
      <c r="HG107" s="35">
        <f t="shared" si="378"/>
        <v>0</v>
      </c>
      <c r="HH107" s="35">
        <f t="shared" si="379"/>
        <v>0</v>
      </c>
      <c r="HI107" s="70"/>
      <c r="HJ107" s="70"/>
      <c r="HK107" s="35" t="e">
        <f>(#REF!+#REF!+HJ107)/AE107</f>
        <v>#REF!</v>
      </c>
      <c r="HL107" s="70"/>
      <c r="HM107" s="35">
        <f t="shared" si="380"/>
        <v>0</v>
      </c>
      <c r="HN107" s="36" t="e">
        <f t="shared" ref="HN107:HN118" si="381">(GS107+HA107+HJ107+HL107)/(HI107+GN107-HO107)</f>
        <v>#DIV/0!</v>
      </c>
      <c r="HO107" s="70"/>
      <c r="HP107" s="70"/>
      <c r="HQ107" s="53"/>
      <c r="HR107" s="898"/>
      <c r="HS107" s="907" t="e">
        <f t="shared" si="325"/>
        <v>#DIV/0!</v>
      </c>
      <c r="HT107" s="898">
        <f t="shared" si="326"/>
        <v>0</v>
      </c>
      <c r="HU107" s="898">
        <f t="shared" ca="1" si="343"/>
        <v>0</v>
      </c>
      <c r="HV107" s="898"/>
      <c r="HW107" s="898"/>
      <c r="HX107" s="898"/>
      <c r="HY107" s="898"/>
      <c r="HZ107" s="898"/>
      <c r="IA107" s="73" t="e">
        <f>#REF!+HI107</f>
        <v>#REF!</v>
      </c>
      <c r="IB107" s="752"/>
      <c r="IC107" s="73"/>
      <c r="ID107" s="73"/>
      <c r="IE107" s="73"/>
      <c r="IF107" s="73"/>
    </row>
    <row r="108" spans="1:240" ht="15" customHeight="1">
      <c r="A108" s="676" t="s">
        <v>755</v>
      </c>
      <c r="B108" s="676"/>
      <c r="C108" s="39" t="s">
        <v>14</v>
      </c>
      <c r="D108" s="39" t="s">
        <v>92</v>
      </c>
      <c r="E108" s="39">
        <v>2022</v>
      </c>
      <c r="F108" s="39"/>
      <c r="G108" s="39"/>
      <c r="H108" s="39"/>
      <c r="I108" s="41"/>
      <c r="J108" s="39"/>
      <c r="K108" s="39" t="s">
        <v>518</v>
      </c>
      <c r="L108" s="199" t="s">
        <v>756</v>
      </c>
      <c r="M108" s="129"/>
      <c r="N108" s="130"/>
      <c r="O108" s="131"/>
      <c r="P108" s="161">
        <v>7800</v>
      </c>
      <c r="Q108" s="161">
        <v>330000</v>
      </c>
      <c r="R108" s="161">
        <v>330000</v>
      </c>
      <c r="S108" s="161">
        <f t="shared" si="334"/>
        <v>22000</v>
      </c>
      <c r="T108" s="161">
        <f t="shared" si="335"/>
        <v>42.307692307692307</v>
      </c>
      <c r="U108" s="167">
        <f t="shared" si="336"/>
        <v>42.307692307692307</v>
      </c>
      <c r="V108" s="167" t="e">
        <f t="shared" si="337"/>
        <v>#DIV/0!</v>
      </c>
      <c r="W108" s="167">
        <f t="shared" si="338"/>
        <v>22000</v>
      </c>
      <c r="X108" s="161">
        <f t="shared" si="339"/>
        <v>520</v>
      </c>
      <c r="Y108" s="162"/>
      <c r="Z108" s="736">
        <f t="shared" si="340"/>
        <v>19.23076923076923</v>
      </c>
      <c r="AA108" s="162"/>
      <c r="AB108" s="162"/>
      <c r="AC108" s="163"/>
      <c r="AD108" s="39" t="s">
        <v>10</v>
      </c>
      <c r="AE108" s="674">
        <f t="shared" si="311"/>
        <v>15</v>
      </c>
      <c r="AF108" s="674">
        <f t="shared" si="312"/>
        <v>15</v>
      </c>
      <c r="AG108" s="50"/>
      <c r="AH108" s="39">
        <v>15</v>
      </c>
      <c r="AI108" s="50"/>
      <c r="AJ108" s="50"/>
      <c r="AK108" s="692"/>
      <c r="AL108" s="422"/>
      <c r="AM108" s="875">
        <f t="shared" si="313"/>
        <v>0</v>
      </c>
      <c r="AN108" s="10">
        <f t="shared" si="314"/>
        <v>0</v>
      </c>
      <c r="AO108" s="43"/>
      <c r="AP108" s="43"/>
      <c r="AQ108" s="43"/>
      <c r="AR108" s="61"/>
      <c r="AS108" s="61"/>
      <c r="AT108" s="61"/>
      <c r="AU108" s="61"/>
      <c r="AV108" s="61"/>
      <c r="AW108" s="43"/>
      <c r="AX108" s="59"/>
      <c r="AY108" s="61"/>
      <c r="AZ108" s="43"/>
      <c r="BA108" s="42"/>
      <c r="BB108" s="39"/>
      <c r="BC108" s="39"/>
      <c r="BD108" s="39"/>
      <c r="BE108" s="39"/>
      <c r="BF108" s="39"/>
      <c r="BG108" s="184"/>
      <c r="BH108" s="143"/>
      <c r="BI108" s="159"/>
      <c r="BJ108" s="75"/>
      <c r="BK108" s="867" t="s">
        <v>250</v>
      </c>
      <c r="BL108" s="125"/>
      <c r="BM108" s="158"/>
      <c r="BN108" s="1007">
        <f t="shared" si="308"/>
        <v>0</v>
      </c>
      <c r="BO108" s="954"/>
      <c r="BP108" s="125"/>
      <c r="BQ108" s="125"/>
      <c r="BR108" s="225"/>
      <c r="BS108" s="224">
        <f t="shared" si="345"/>
        <v>731</v>
      </c>
      <c r="BT108" s="605"/>
      <c r="BU108" s="224" t="str">
        <f t="shared" si="346"/>
        <v>oui</v>
      </c>
      <c r="BV108" s="784">
        <f t="shared" si="347"/>
        <v>-1533.1</v>
      </c>
      <c r="BW108" s="605">
        <f t="shared" si="348"/>
        <v>0</v>
      </c>
      <c r="BX108" s="605">
        <f t="shared" si="349"/>
        <v>0</v>
      </c>
      <c r="BY108" s="702"/>
      <c r="BZ108" s="708"/>
      <c r="CA108" s="703"/>
      <c r="CB108" s="703"/>
      <c r="CC108" s="703"/>
      <c r="CD108" s="699"/>
      <c r="CE108" s="699"/>
      <c r="CF108" s="699"/>
      <c r="CG108" s="699"/>
      <c r="CH108" s="699"/>
      <c r="CI108" s="699"/>
      <c r="CJ108" s="699"/>
      <c r="CK108" s="699"/>
      <c r="CL108" s="699"/>
      <c r="CM108" s="699"/>
      <c r="CN108" s="699"/>
      <c r="CO108" s="699"/>
      <c r="CP108" s="699"/>
      <c r="CQ108" s="488"/>
      <c r="CR108" s="490"/>
      <c r="CS108" s="490"/>
      <c r="CT108" s="492" t="str">
        <f t="shared" si="315"/>
        <v>0</v>
      </c>
      <c r="CU108" s="490"/>
      <c r="CV108" s="490"/>
      <c r="CW108" s="492" t="str">
        <f t="shared" si="316"/>
        <v>0</v>
      </c>
      <c r="CX108" s="490"/>
      <c r="CY108" s="490"/>
      <c r="CZ108" s="492" t="str">
        <f t="shared" si="317"/>
        <v>0</v>
      </c>
      <c r="DA108" s="490"/>
      <c r="DB108" s="490"/>
      <c r="DC108" s="492" t="str">
        <f t="shared" si="318"/>
        <v>0</v>
      </c>
      <c r="DD108" s="493"/>
      <c r="DE108" s="490"/>
      <c r="DF108" s="492" t="str">
        <f t="shared" si="319"/>
        <v>0</v>
      </c>
      <c r="DG108" s="438"/>
      <c r="DH108" s="494"/>
      <c r="DI108" s="479"/>
      <c r="DJ108" s="480"/>
      <c r="DK108" s="481"/>
      <c r="DL108" s="680"/>
      <c r="DM108" s="617">
        <v>45108</v>
      </c>
      <c r="DN108" s="326"/>
      <c r="DO108" s="432">
        <f t="shared" si="302"/>
        <v>1503.6</v>
      </c>
      <c r="DP108" s="481" t="str">
        <f t="shared" si="350"/>
        <v>0</v>
      </c>
      <c r="DQ108" s="618">
        <v>45</v>
      </c>
      <c r="DR108" s="188">
        <f t="shared" si="351"/>
        <v>48</v>
      </c>
      <c r="DS108" s="479"/>
      <c r="DT108" s="484">
        <f t="shared" ca="1" si="352"/>
        <v>43647</v>
      </c>
      <c r="DU108" s="481" t="str">
        <f t="shared" ca="1" si="353"/>
        <v>0</v>
      </c>
      <c r="DV108" s="479"/>
      <c r="DW108" s="497">
        <f t="shared" ca="1" si="354"/>
        <v>43647</v>
      </c>
      <c r="DX108" s="482" t="str">
        <f t="shared" ca="1" si="355"/>
        <v>0</v>
      </c>
      <c r="DY108" s="483"/>
      <c r="DZ108" s="497">
        <f t="shared" ca="1" si="356"/>
        <v>43647</v>
      </c>
      <c r="EA108" s="481" t="str">
        <f t="shared" ca="1" si="357"/>
        <v>0</v>
      </c>
      <c r="EB108" s="484">
        <v>43545</v>
      </c>
      <c r="EC108" s="484">
        <f t="shared" ca="1" si="358"/>
        <v>43647</v>
      </c>
      <c r="ED108" s="481">
        <f t="shared" ca="1" si="359"/>
        <v>102</v>
      </c>
      <c r="EE108" s="485"/>
      <c r="EF108" s="485"/>
      <c r="EG108" s="481" t="str">
        <f t="shared" si="360"/>
        <v>0</v>
      </c>
      <c r="EH108" s="484"/>
      <c r="EI108" s="484">
        <f t="shared" ca="1" si="361"/>
        <v>43647</v>
      </c>
      <c r="EJ108" s="481" t="str">
        <f t="shared" ca="1" si="362"/>
        <v>0</v>
      </c>
      <c r="EK108" s="484">
        <v>43622</v>
      </c>
      <c r="EL108" s="484">
        <f t="shared" ca="1" si="363"/>
        <v>43647</v>
      </c>
      <c r="EM108" s="481">
        <f t="shared" ca="1" si="364"/>
        <v>25</v>
      </c>
      <c r="EN108" s="484"/>
      <c r="EO108" s="484"/>
      <c r="EP108" s="484"/>
      <c r="EQ108" s="654">
        <f t="shared" si="365"/>
        <v>46478</v>
      </c>
      <c r="ER108" s="653">
        <f t="shared" si="366"/>
        <v>46569</v>
      </c>
      <c r="ES108" s="650">
        <f t="shared" si="367"/>
        <v>3.0333333333333332</v>
      </c>
      <c r="ET108" s="904">
        <f t="shared" ca="1" si="306"/>
        <v>97.4</v>
      </c>
      <c r="EU108" s="653">
        <f t="shared" ca="1" si="320"/>
        <v>44378</v>
      </c>
      <c r="EV108" s="748"/>
      <c r="EW108" s="737"/>
      <c r="EX108" s="749">
        <f t="shared" si="368"/>
        <v>46694</v>
      </c>
      <c r="EY108" s="443"/>
      <c r="EZ108" s="747">
        <f t="shared" si="369"/>
        <v>46508</v>
      </c>
      <c r="FA108" s="653">
        <f t="shared" si="370"/>
        <v>46724</v>
      </c>
      <c r="FB108" s="518"/>
      <c r="FC108" s="647">
        <f t="shared" si="371"/>
        <v>7.2</v>
      </c>
      <c r="FD108" s="631"/>
      <c r="FE108" s="192">
        <f t="shared" si="372"/>
        <v>0</v>
      </c>
      <c r="FF108" s="91"/>
      <c r="FG108" s="502"/>
      <c r="FH108" s="502"/>
      <c r="FI108" s="502"/>
      <c r="FJ108" s="502"/>
      <c r="FK108" s="502"/>
      <c r="FL108" s="664" t="e">
        <f t="shared" si="373"/>
        <v>#DIV/0!</v>
      </c>
      <c r="FM108" s="499"/>
      <c r="FN108" s="511"/>
      <c r="FO108" s="499"/>
      <c r="FP108" s="499"/>
      <c r="FQ108" s="94"/>
      <c r="FR108" s="94"/>
      <c r="FS108" s="94"/>
      <c r="FT108" s="94"/>
      <c r="FU108" s="94"/>
      <c r="FV108" s="39"/>
      <c r="FW108" s="212">
        <f t="shared" si="374"/>
        <v>46935</v>
      </c>
      <c r="FX108" s="212"/>
      <c r="FY108" s="39"/>
      <c r="FZ108" s="39"/>
      <c r="GA108" s="39"/>
      <c r="GB108" s="39"/>
      <c r="GC108" s="39"/>
      <c r="GD108" s="39"/>
      <c r="GE108" s="39"/>
      <c r="GF108" s="39"/>
      <c r="GG108" s="39"/>
      <c r="GH108" s="39"/>
      <c r="GI108" s="39"/>
      <c r="GJ108" s="39"/>
      <c r="GK108" s="39"/>
      <c r="GL108" s="742"/>
      <c r="GM108" s="979">
        <f t="shared" si="341"/>
        <v>0</v>
      </c>
      <c r="GN108" s="772">
        <f t="shared" si="344"/>
        <v>0</v>
      </c>
      <c r="GO108" s="53">
        <f t="shared" si="375"/>
        <v>0</v>
      </c>
      <c r="GP108" s="898">
        <f t="shared" si="321"/>
        <v>0</v>
      </c>
      <c r="GQ108" s="35" t="e">
        <f t="shared" si="342"/>
        <v>#DIV/0!</v>
      </c>
      <c r="GR108" s="35" t="e">
        <f>#REF!/AE108</f>
        <v>#REF!</v>
      </c>
      <c r="GS108" s="53"/>
      <c r="GT108" s="577"/>
      <c r="GU108" s="35"/>
      <c r="GV108" s="53">
        <f t="shared" si="376"/>
        <v>0</v>
      </c>
      <c r="GW108" s="67"/>
      <c r="GX108" s="67"/>
      <c r="GY108" s="567">
        <f t="shared" si="377"/>
        <v>0</v>
      </c>
      <c r="GZ108" s="53"/>
      <c r="HA108" s="53"/>
      <c r="HB108" s="53"/>
      <c r="HC108" s="28" t="e">
        <f t="shared" ref="HC108:HC125" si="382">HA108/GN108</f>
        <v>#DIV/0!</v>
      </c>
      <c r="HD108" s="53"/>
      <c r="HE108" s="53"/>
      <c r="HF108" s="53"/>
      <c r="HG108" s="35">
        <f t="shared" si="378"/>
        <v>0</v>
      </c>
      <c r="HH108" s="35">
        <f t="shared" si="379"/>
        <v>0</v>
      </c>
      <c r="HI108" s="70"/>
      <c r="HJ108" s="70"/>
      <c r="HK108" s="19" t="e">
        <f>(#REF!+#REF!+HJ108)/AE108</f>
        <v>#REF!</v>
      </c>
      <c r="HL108" s="70"/>
      <c r="HM108" s="35">
        <f t="shared" si="380"/>
        <v>0</v>
      </c>
      <c r="HN108" s="36" t="e">
        <f t="shared" si="381"/>
        <v>#DIV/0!</v>
      </c>
      <c r="HO108" s="70"/>
      <c r="HP108" s="70"/>
      <c r="HQ108" s="53"/>
      <c r="HR108" s="898"/>
      <c r="HS108" s="907" t="e">
        <f t="shared" si="325"/>
        <v>#DIV/0!</v>
      </c>
      <c r="HT108" s="898">
        <f t="shared" si="326"/>
        <v>0</v>
      </c>
      <c r="HU108" s="898">
        <f t="shared" ca="1" si="343"/>
        <v>0</v>
      </c>
      <c r="HV108" s="898"/>
      <c r="HW108" s="898"/>
      <c r="HX108" s="898"/>
      <c r="HY108" s="898"/>
      <c r="HZ108" s="898"/>
      <c r="IA108" s="73" t="e">
        <f>#REF!+HI108</f>
        <v>#REF!</v>
      </c>
      <c r="IB108" s="752"/>
      <c r="IC108" s="73"/>
      <c r="ID108" s="73"/>
      <c r="IE108" s="73"/>
      <c r="IF108" s="73"/>
    </row>
    <row r="109" spans="1:240" ht="15" customHeight="1">
      <c r="A109" s="74" t="s">
        <v>757</v>
      </c>
      <c r="B109" s="74"/>
      <c r="C109" s="39" t="s">
        <v>14</v>
      </c>
      <c r="D109" s="39" t="s">
        <v>92</v>
      </c>
      <c r="E109" s="39">
        <v>2022</v>
      </c>
      <c r="F109" s="39"/>
      <c r="G109" s="39"/>
      <c r="H109" s="39"/>
      <c r="I109" s="41" t="s">
        <v>758</v>
      </c>
      <c r="J109" s="39"/>
      <c r="K109" s="39" t="s">
        <v>761</v>
      </c>
      <c r="L109" s="199" t="s">
        <v>759</v>
      </c>
      <c r="M109" s="129" t="s">
        <v>760</v>
      </c>
      <c r="N109" s="130"/>
      <c r="O109" s="131"/>
      <c r="P109" s="161">
        <f>1074+15560+237+7673+7583+10102+145</f>
        <v>42374</v>
      </c>
      <c r="Q109" s="161">
        <v>1330000</v>
      </c>
      <c r="R109" s="161"/>
      <c r="S109" s="161">
        <f t="shared" si="334"/>
        <v>11083.333333333334</v>
      </c>
      <c r="T109" s="161">
        <f t="shared" si="335"/>
        <v>31.387171378675603</v>
      </c>
      <c r="U109" s="167">
        <f t="shared" si="336"/>
        <v>0</v>
      </c>
      <c r="V109" s="167" t="e">
        <f t="shared" si="337"/>
        <v>#DIV/0!</v>
      </c>
      <c r="W109" s="167">
        <f t="shared" si="338"/>
        <v>0</v>
      </c>
      <c r="X109" s="161">
        <f t="shared" si="339"/>
        <v>353.11666666666667</v>
      </c>
      <c r="Y109" s="162"/>
      <c r="Z109" s="736">
        <f t="shared" si="340"/>
        <v>28.319252371737385</v>
      </c>
      <c r="AA109" s="162" t="s">
        <v>722</v>
      </c>
      <c r="AB109" s="162"/>
      <c r="AC109" s="163"/>
      <c r="AD109" s="39" t="s">
        <v>10</v>
      </c>
      <c r="AE109" s="674">
        <f t="shared" si="311"/>
        <v>120</v>
      </c>
      <c r="AF109" s="674">
        <f t="shared" si="312"/>
        <v>120</v>
      </c>
      <c r="AG109" s="50"/>
      <c r="AH109" s="39">
        <v>120</v>
      </c>
      <c r="AI109" s="50"/>
      <c r="AJ109" s="50"/>
      <c r="AK109" s="692"/>
      <c r="AL109" s="422"/>
      <c r="AM109" s="875">
        <f t="shared" si="313"/>
        <v>0</v>
      </c>
      <c r="AN109" s="10">
        <f t="shared" si="314"/>
        <v>0</v>
      </c>
      <c r="AO109" s="43"/>
      <c r="AP109" s="43"/>
      <c r="AQ109" s="43"/>
      <c r="AR109" s="61"/>
      <c r="AS109" s="61"/>
      <c r="AT109" s="61"/>
      <c r="AU109" s="61"/>
      <c r="AV109" s="61"/>
      <c r="AW109" s="43"/>
      <c r="AX109" s="59"/>
      <c r="AY109" s="61"/>
      <c r="AZ109" s="43"/>
      <c r="BA109" s="42"/>
      <c r="BB109" s="39"/>
      <c r="BC109" s="39"/>
      <c r="BD109" s="39"/>
      <c r="BE109" s="39"/>
      <c r="BF109" s="39"/>
      <c r="BG109" s="184"/>
      <c r="BH109" s="143"/>
      <c r="BI109" s="159"/>
      <c r="BJ109" s="75"/>
      <c r="BK109" s="867" t="s">
        <v>250</v>
      </c>
      <c r="BL109" s="125"/>
      <c r="BM109" s="158"/>
      <c r="BN109" s="1007">
        <f t="shared" si="308"/>
        <v>0</v>
      </c>
      <c r="BO109" s="954"/>
      <c r="BP109" s="125"/>
      <c r="BQ109" s="125"/>
      <c r="BR109" s="225"/>
      <c r="BS109" s="224">
        <f t="shared" si="345"/>
        <v>731</v>
      </c>
      <c r="BT109" s="605"/>
      <c r="BU109" s="224" t="str">
        <f t="shared" si="346"/>
        <v>oui</v>
      </c>
      <c r="BV109" s="784">
        <f t="shared" si="347"/>
        <v>-1516.8666666666666</v>
      </c>
      <c r="BW109" s="605">
        <f t="shared" si="348"/>
        <v>0</v>
      </c>
      <c r="BX109" s="605">
        <f t="shared" si="349"/>
        <v>0</v>
      </c>
      <c r="BY109" s="702"/>
      <c r="BZ109" s="708"/>
      <c r="CA109" s="703"/>
      <c r="CB109" s="703"/>
      <c r="CC109" s="703"/>
      <c r="CD109" s="699"/>
      <c r="CE109" s="699"/>
      <c r="CF109" s="699"/>
      <c r="CG109" s="699"/>
      <c r="CH109" s="699"/>
      <c r="CI109" s="699"/>
      <c r="CJ109" s="699"/>
      <c r="CK109" s="699"/>
      <c r="CL109" s="699"/>
      <c r="CM109" s="699"/>
      <c r="CN109" s="699"/>
      <c r="CO109" s="699"/>
      <c r="CP109" s="699"/>
      <c r="CQ109" s="488"/>
      <c r="CR109" s="490"/>
      <c r="CS109" s="490"/>
      <c r="CT109" s="492" t="str">
        <f t="shared" si="315"/>
        <v>0</v>
      </c>
      <c r="CU109" s="490"/>
      <c r="CV109" s="490"/>
      <c r="CW109" s="492" t="str">
        <f t="shared" si="316"/>
        <v>0</v>
      </c>
      <c r="CX109" s="490"/>
      <c r="CY109" s="490"/>
      <c r="CZ109" s="492" t="str">
        <f t="shared" si="317"/>
        <v>0</v>
      </c>
      <c r="DA109" s="490"/>
      <c r="DB109" s="490"/>
      <c r="DC109" s="492" t="str">
        <f t="shared" si="318"/>
        <v>0</v>
      </c>
      <c r="DD109" s="493"/>
      <c r="DE109" s="490"/>
      <c r="DF109" s="492" t="str">
        <f t="shared" si="319"/>
        <v>0</v>
      </c>
      <c r="DG109" s="438"/>
      <c r="DH109" s="494"/>
      <c r="DI109" s="479"/>
      <c r="DJ109" s="480"/>
      <c r="DK109" s="481"/>
      <c r="DL109" s="680"/>
      <c r="DM109" s="617">
        <v>44743</v>
      </c>
      <c r="DN109" s="326"/>
      <c r="DO109" s="432">
        <f t="shared" si="302"/>
        <v>1491.4333333333334</v>
      </c>
      <c r="DP109" s="481" t="str">
        <f t="shared" si="350"/>
        <v>0</v>
      </c>
      <c r="DQ109" s="618">
        <v>41</v>
      </c>
      <c r="DR109" s="188">
        <f t="shared" si="351"/>
        <v>44</v>
      </c>
      <c r="DS109" s="479"/>
      <c r="DT109" s="484">
        <f t="shared" ca="1" si="352"/>
        <v>43647</v>
      </c>
      <c r="DU109" s="481" t="str">
        <f t="shared" ca="1" si="353"/>
        <v>0</v>
      </c>
      <c r="DV109" s="479"/>
      <c r="DW109" s="497">
        <f t="shared" ca="1" si="354"/>
        <v>43647</v>
      </c>
      <c r="DX109" s="482" t="str">
        <f t="shared" ca="1" si="355"/>
        <v>0</v>
      </c>
      <c r="DY109" s="483"/>
      <c r="DZ109" s="497">
        <f t="shared" ca="1" si="356"/>
        <v>43647</v>
      </c>
      <c r="EA109" s="481" t="str">
        <f t="shared" ca="1" si="357"/>
        <v>0</v>
      </c>
      <c r="EB109" s="484">
        <v>43541</v>
      </c>
      <c r="EC109" s="484">
        <f t="shared" ca="1" si="358"/>
        <v>43647</v>
      </c>
      <c r="ED109" s="481">
        <f t="shared" ca="1" si="359"/>
        <v>106</v>
      </c>
      <c r="EE109" s="485"/>
      <c r="EF109" s="485"/>
      <c r="EG109" s="481" t="str">
        <f t="shared" si="360"/>
        <v>0</v>
      </c>
      <c r="EH109" s="484"/>
      <c r="EI109" s="484">
        <f t="shared" ca="1" si="361"/>
        <v>43647</v>
      </c>
      <c r="EJ109" s="481" t="str">
        <f t="shared" ca="1" si="362"/>
        <v>0</v>
      </c>
      <c r="EK109" s="484">
        <v>43618</v>
      </c>
      <c r="EL109" s="484">
        <f t="shared" ca="1" si="363"/>
        <v>43647</v>
      </c>
      <c r="EM109" s="481">
        <f t="shared" ca="1" si="364"/>
        <v>29</v>
      </c>
      <c r="EN109" s="484"/>
      <c r="EO109" s="484"/>
      <c r="EP109" s="484"/>
      <c r="EQ109" s="654">
        <f t="shared" si="365"/>
        <v>45992</v>
      </c>
      <c r="ER109" s="653">
        <f t="shared" si="366"/>
        <v>46082</v>
      </c>
      <c r="ES109" s="650">
        <f t="shared" si="367"/>
        <v>3</v>
      </c>
      <c r="ET109" s="904">
        <f t="shared" ca="1" si="306"/>
        <v>81.166666666666671</v>
      </c>
      <c r="EU109" s="653">
        <f t="shared" ca="1" si="320"/>
        <v>44378</v>
      </c>
      <c r="EV109" s="748"/>
      <c r="EW109" s="737"/>
      <c r="EX109" s="749">
        <f t="shared" si="368"/>
        <v>46206</v>
      </c>
      <c r="EY109" s="443"/>
      <c r="EZ109" s="747">
        <f t="shared" si="369"/>
        <v>46023</v>
      </c>
      <c r="FA109" s="653">
        <f t="shared" si="370"/>
        <v>46237</v>
      </c>
      <c r="FB109" s="518"/>
      <c r="FC109" s="647">
        <f t="shared" si="371"/>
        <v>7.1333333333333337</v>
      </c>
      <c r="FD109" s="635"/>
      <c r="FE109" s="192">
        <f t="shared" si="372"/>
        <v>0</v>
      </c>
      <c r="FF109" s="91"/>
      <c r="FG109" s="502"/>
      <c r="FH109" s="502"/>
      <c r="FI109" s="502"/>
      <c r="FJ109" s="502"/>
      <c r="FK109" s="502"/>
      <c r="FL109" s="664" t="e">
        <f t="shared" si="373"/>
        <v>#DIV/0!</v>
      </c>
      <c r="FM109" s="499"/>
      <c r="FN109" s="511"/>
      <c r="FO109" s="499"/>
      <c r="FP109" s="499"/>
      <c r="FQ109" s="94"/>
      <c r="FR109" s="94"/>
      <c r="FS109" s="94"/>
      <c r="FT109" s="94"/>
      <c r="FU109" s="94"/>
      <c r="FV109" s="39"/>
      <c r="FW109" s="212">
        <f t="shared" si="374"/>
        <v>46447</v>
      </c>
      <c r="FX109" s="212"/>
      <c r="FY109" s="39"/>
      <c r="FZ109" s="39"/>
      <c r="GA109" s="39"/>
      <c r="GB109" s="39"/>
      <c r="GC109" s="39"/>
      <c r="GD109" s="39"/>
      <c r="GE109" s="39"/>
      <c r="GF109" s="39"/>
      <c r="GG109" s="39"/>
      <c r="GH109" s="39"/>
      <c r="GI109" s="39"/>
      <c r="GJ109" s="39"/>
      <c r="GK109" s="39"/>
      <c r="GL109" s="742"/>
      <c r="GM109" s="979">
        <f t="shared" si="341"/>
        <v>0</v>
      </c>
      <c r="GN109" s="772">
        <f t="shared" si="344"/>
        <v>0</v>
      </c>
      <c r="GO109" s="53">
        <f t="shared" si="375"/>
        <v>0</v>
      </c>
      <c r="GP109" s="898">
        <f t="shared" si="321"/>
        <v>0</v>
      </c>
      <c r="GQ109" s="35" t="e">
        <f t="shared" si="342"/>
        <v>#DIV/0!</v>
      </c>
      <c r="GR109" s="35" t="e">
        <f>#REF!/AE109</f>
        <v>#REF!</v>
      </c>
      <c r="GS109" s="53"/>
      <c r="GT109" s="577"/>
      <c r="GU109" s="35"/>
      <c r="GV109" s="53">
        <f t="shared" si="376"/>
        <v>0</v>
      </c>
      <c r="GW109" s="67"/>
      <c r="GX109" s="67"/>
      <c r="GY109" s="568">
        <f t="shared" si="377"/>
        <v>0</v>
      </c>
      <c r="GZ109" s="53"/>
      <c r="HA109" s="53"/>
      <c r="HB109" s="53"/>
      <c r="HC109" s="68" t="e">
        <f t="shared" si="382"/>
        <v>#DIV/0!</v>
      </c>
      <c r="HD109" s="53"/>
      <c r="HE109" s="53"/>
      <c r="HF109" s="53"/>
      <c r="HG109" s="35">
        <f t="shared" si="378"/>
        <v>0</v>
      </c>
      <c r="HH109" s="35">
        <f t="shared" si="379"/>
        <v>0</v>
      </c>
      <c r="HI109" s="70"/>
      <c r="HJ109" s="70"/>
      <c r="HK109" s="35" t="e">
        <f>(#REF!+#REF!+HJ109)/AE109</f>
        <v>#REF!</v>
      </c>
      <c r="HL109" s="70"/>
      <c r="HM109" s="35">
        <f t="shared" si="380"/>
        <v>0</v>
      </c>
      <c r="HN109" s="36" t="e">
        <f t="shared" si="381"/>
        <v>#DIV/0!</v>
      </c>
      <c r="HO109" s="70"/>
      <c r="HP109" s="70"/>
      <c r="HQ109" s="53"/>
      <c r="HR109" s="898"/>
      <c r="HS109" s="907" t="e">
        <f t="shared" si="325"/>
        <v>#DIV/0!</v>
      </c>
      <c r="HT109" s="898">
        <f t="shared" si="326"/>
        <v>0</v>
      </c>
      <c r="HU109" s="898">
        <f t="shared" ca="1" si="343"/>
        <v>0</v>
      </c>
      <c r="HV109" s="898"/>
      <c r="HW109" s="898"/>
      <c r="HX109" s="898"/>
      <c r="HY109" s="898"/>
      <c r="HZ109" s="898"/>
      <c r="IA109" s="73" t="e">
        <f>#REF!+HI109</f>
        <v>#REF!</v>
      </c>
      <c r="IB109" s="752"/>
      <c r="IC109" s="73"/>
      <c r="ID109" s="73"/>
      <c r="IE109" s="73"/>
      <c r="IF109" s="73"/>
    </row>
    <row r="110" spans="1:240" ht="15" customHeight="1">
      <c r="A110" s="676" t="s">
        <v>771</v>
      </c>
      <c r="B110" s="676"/>
      <c r="C110" s="39" t="s">
        <v>21</v>
      </c>
      <c r="D110" s="39" t="s">
        <v>92</v>
      </c>
      <c r="E110" s="39">
        <v>2022</v>
      </c>
      <c r="F110" s="39"/>
      <c r="G110" s="39"/>
      <c r="H110" s="39"/>
      <c r="I110" s="41"/>
      <c r="J110" s="39"/>
      <c r="K110" s="39" t="s">
        <v>772</v>
      </c>
      <c r="L110" s="199" t="s">
        <v>773</v>
      </c>
      <c r="M110" s="129" t="s">
        <v>768</v>
      </c>
      <c r="N110" s="130"/>
      <c r="O110" s="131"/>
      <c r="P110" s="161">
        <v>45094</v>
      </c>
      <c r="Q110" s="161">
        <v>2460000</v>
      </c>
      <c r="R110" s="161"/>
      <c r="S110" s="161">
        <f t="shared" si="334"/>
        <v>27333.333333333332</v>
      </c>
      <c r="T110" s="161">
        <f t="shared" si="335"/>
        <v>54.552712112476158</v>
      </c>
      <c r="U110" s="167">
        <f t="shared" si="336"/>
        <v>0</v>
      </c>
      <c r="V110" s="167" t="e">
        <f t="shared" si="337"/>
        <v>#DIV/0!</v>
      </c>
      <c r="W110" s="167">
        <f t="shared" si="338"/>
        <v>0</v>
      </c>
      <c r="X110" s="161">
        <f t="shared" si="339"/>
        <v>501.04444444444442</v>
      </c>
      <c r="Y110" s="162"/>
      <c r="Z110" s="733">
        <f t="shared" si="340"/>
        <v>19.958309309442498</v>
      </c>
      <c r="AA110" s="162" t="s">
        <v>733</v>
      </c>
      <c r="AB110" s="162">
        <v>1300</v>
      </c>
      <c r="AC110" s="163">
        <v>0.1</v>
      </c>
      <c r="AD110" s="39" t="s">
        <v>10</v>
      </c>
      <c r="AE110" s="674">
        <f t="shared" si="311"/>
        <v>90</v>
      </c>
      <c r="AF110" s="674">
        <f t="shared" si="312"/>
        <v>90</v>
      </c>
      <c r="AG110" s="50"/>
      <c r="AH110" s="39">
        <v>90</v>
      </c>
      <c r="AI110" s="50"/>
      <c r="AJ110" s="50"/>
      <c r="AK110" s="692"/>
      <c r="AL110" s="422"/>
      <c r="AM110" s="875">
        <f t="shared" si="313"/>
        <v>0</v>
      </c>
      <c r="AN110" s="43">
        <f t="shared" si="314"/>
        <v>0</v>
      </c>
      <c r="AO110" s="43"/>
      <c r="AP110" s="43"/>
      <c r="AQ110" s="43"/>
      <c r="AR110" s="61"/>
      <c r="AS110" s="61"/>
      <c r="AT110" s="61"/>
      <c r="AU110" s="61"/>
      <c r="AV110" s="61"/>
      <c r="AW110" s="43"/>
      <c r="AX110" s="59"/>
      <c r="AY110" s="61"/>
      <c r="AZ110" s="43"/>
      <c r="BA110" s="42"/>
      <c r="BB110" s="39"/>
      <c r="BC110" s="39"/>
      <c r="BD110" s="39"/>
      <c r="BE110" s="39"/>
      <c r="BF110" s="39"/>
      <c r="BG110" s="184"/>
      <c r="BH110" s="143"/>
      <c r="BI110" s="159"/>
      <c r="BJ110" s="75"/>
      <c r="BK110" s="867" t="s">
        <v>250</v>
      </c>
      <c r="BL110" s="125"/>
      <c r="BM110" s="158"/>
      <c r="BN110" s="1007">
        <f t="shared" si="308"/>
        <v>0</v>
      </c>
      <c r="BO110" s="954"/>
      <c r="BP110" s="125"/>
      <c r="BQ110" s="125"/>
      <c r="BR110" s="225"/>
      <c r="BS110" s="224">
        <f t="shared" si="345"/>
        <v>731</v>
      </c>
      <c r="BT110" s="605"/>
      <c r="BU110" s="224" t="str">
        <f t="shared" si="346"/>
        <v>oui</v>
      </c>
      <c r="BV110" s="784">
        <f t="shared" si="347"/>
        <v>-1536.1333333333334</v>
      </c>
      <c r="BW110" s="605">
        <f t="shared" si="348"/>
        <v>0</v>
      </c>
      <c r="BX110" s="605">
        <f t="shared" si="349"/>
        <v>0</v>
      </c>
      <c r="BY110" s="702"/>
      <c r="BZ110" s="708"/>
      <c r="CA110" s="703"/>
      <c r="CB110" s="703"/>
      <c r="CC110" s="703"/>
      <c r="CD110" s="699"/>
      <c r="CE110" s="699"/>
      <c r="CF110" s="699"/>
      <c r="CG110" s="699"/>
      <c r="CH110" s="699"/>
      <c r="CI110" s="699"/>
      <c r="CJ110" s="699"/>
      <c r="CK110" s="699"/>
      <c r="CL110" s="699"/>
      <c r="CM110" s="699"/>
      <c r="CN110" s="699"/>
      <c r="CO110" s="699"/>
      <c r="CP110" s="699"/>
      <c r="CQ110" s="488"/>
      <c r="CR110" s="490"/>
      <c r="CS110" s="490"/>
      <c r="CT110" s="492" t="str">
        <f t="shared" si="315"/>
        <v>0</v>
      </c>
      <c r="CU110" s="490"/>
      <c r="CV110" s="490"/>
      <c r="CW110" s="492" t="str">
        <f t="shared" si="316"/>
        <v>0</v>
      </c>
      <c r="CX110" s="490"/>
      <c r="CY110" s="490"/>
      <c r="CZ110" s="492" t="str">
        <f t="shared" si="317"/>
        <v>0</v>
      </c>
      <c r="DA110" s="490"/>
      <c r="DB110" s="490"/>
      <c r="DC110" s="492" t="str">
        <f t="shared" si="318"/>
        <v>0</v>
      </c>
      <c r="DD110" s="493"/>
      <c r="DE110" s="490"/>
      <c r="DF110" s="492" t="str">
        <f t="shared" si="319"/>
        <v>0</v>
      </c>
      <c r="DG110" s="438"/>
      <c r="DH110" s="494"/>
      <c r="DI110" s="479"/>
      <c r="DJ110" s="480"/>
      <c r="DK110" s="481"/>
      <c r="DL110" s="680"/>
      <c r="DM110" s="617">
        <v>45108</v>
      </c>
      <c r="DN110" s="326"/>
      <c r="DO110" s="432">
        <f t="shared" si="302"/>
        <v>1503.6</v>
      </c>
      <c r="DP110" s="481" t="str">
        <f t="shared" si="350"/>
        <v>0</v>
      </c>
      <c r="DQ110" s="618">
        <v>48</v>
      </c>
      <c r="DR110" s="188">
        <f t="shared" si="351"/>
        <v>51</v>
      </c>
      <c r="DS110" s="479"/>
      <c r="DT110" s="484">
        <f t="shared" ca="1" si="352"/>
        <v>43647</v>
      </c>
      <c r="DU110" s="481" t="str">
        <f t="shared" ca="1" si="353"/>
        <v>0</v>
      </c>
      <c r="DV110" s="479"/>
      <c r="DW110" s="497">
        <f t="shared" ca="1" si="354"/>
        <v>43647</v>
      </c>
      <c r="DX110" s="482" t="str">
        <f t="shared" ca="1" si="355"/>
        <v>0</v>
      </c>
      <c r="DY110" s="483"/>
      <c r="DZ110" s="497">
        <f t="shared" ca="1" si="356"/>
        <v>43647</v>
      </c>
      <c r="EA110" s="481" t="str">
        <f t="shared" ca="1" si="357"/>
        <v>0</v>
      </c>
      <c r="EB110" s="484">
        <v>43548</v>
      </c>
      <c r="EC110" s="484">
        <f t="shared" ca="1" si="358"/>
        <v>43647</v>
      </c>
      <c r="ED110" s="481">
        <f t="shared" ca="1" si="359"/>
        <v>99</v>
      </c>
      <c r="EE110" s="485"/>
      <c r="EF110" s="485"/>
      <c r="EG110" s="481" t="str">
        <f t="shared" si="360"/>
        <v>0</v>
      </c>
      <c r="EH110" s="484"/>
      <c r="EI110" s="484">
        <f t="shared" ca="1" si="361"/>
        <v>43647</v>
      </c>
      <c r="EJ110" s="481" t="str">
        <f t="shared" ca="1" si="362"/>
        <v>0</v>
      </c>
      <c r="EK110" s="484">
        <v>43625</v>
      </c>
      <c r="EL110" s="484">
        <f t="shared" ca="1" si="363"/>
        <v>43647</v>
      </c>
      <c r="EM110" s="481">
        <f t="shared" ca="1" si="364"/>
        <v>22</v>
      </c>
      <c r="EN110" s="484"/>
      <c r="EO110" s="484"/>
      <c r="EP110" s="484"/>
      <c r="EQ110" s="654">
        <f t="shared" si="365"/>
        <v>46569</v>
      </c>
      <c r="ER110" s="653">
        <f t="shared" si="366"/>
        <v>46661</v>
      </c>
      <c r="ES110" s="650">
        <f t="shared" si="367"/>
        <v>3.0666666666666669</v>
      </c>
      <c r="ET110" s="904">
        <f t="shared" ca="1" si="306"/>
        <v>100.46666666666667</v>
      </c>
      <c r="EU110" s="653">
        <f t="shared" ca="1" si="320"/>
        <v>44378</v>
      </c>
      <c r="EV110" s="748"/>
      <c r="EW110" s="737"/>
      <c r="EX110" s="749">
        <f t="shared" si="368"/>
        <v>46786</v>
      </c>
      <c r="EY110" s="443"/>
      <c r="EZ110" s="747">
        <f t="shared" si="369"/>
        <v>46600</v>
      </c>
      <c r="FA110" s="653">
        <f t="shared" si="370"/>
        <v>46815</v>
      </c>
      <c r="FB110" s="518"/>
      <c r="FC110" s="647">
        <f t="shared" si="371"/>
        <v>7.166666666666667</v>
      </c>
      <c r="FD110" s="631"/>
      <c r="FE110" s="192">
        <f t="shared" si="372"/>
        <v>0</v>
      </c>
      <c r="FF110" s="91"/>
      <c r="FG110" s="502"/>
      <c r="FH110" s="502"/>
      <c r="FI110" s="502"/>
      <c r="FJ110" s="502"/>
      <c r="FK110" s="502"/>
      <c r="FL110" s="664" t="e">
        <f t="shared" si="373"/>
        <v>#DIV/0!</v>
      </c>
      <c r="FM110" s="499"/>
      <c r="FN110" s="511"/>
      <c r="FO110" s="499"/>
      <c r="FP110" s="499"/>
      <c r="FQ110" s="94"/>
      <c r="FR110" s="94"/>
      <c r="FS110" s="94"/>
      <c r="FT110" s="94"/>
      <c r="FU110" s="94"/>
      <c r="FV110" s="39"/>
      <c r="FW110" s="212">
        <f t="shared" si="374"/>
        <v>47027</v>
      </c>
      <c r="FX110" s="212"/>
      <c r="FY110" s="39"/>
      <c r="FZ110" s="39"/>
      <c r="GA110" s="39"/>
      <c r="GB110" s="39"/>
      <c r="GC110" s="39"/>
      <c r="GD110" s="39"/>
      <c r="GE110" s="39"/>
      <c r="GF110" s="39"/>
      <c r="GG110" s="39"/>
      <c r="GH110" s="39"/>
      <c r="GI110" s="39"/>
      <c r="GJ110" s="39"/>
      <c r="GK110" s="39"/>
      <c r="GL110" s="742"/>
      <c r="GM110" s="979">
        <f t="shared" si="341"/>
        <v>0</v>
      </c>
      <c r="GN110" s="772">
        <f t="shared" si="344"/>
        <v>0</v>
      </c>
      <c r="GO110" s="53">
        <f t="shared" si="375"/>
        <v>0</v>
      </c>
      <c r="GP110" s="898">
        <f t="shared" si="321"/>
        <v>0</v>
      </c>
      <c r="GQ110" s="35" t="e">
        <f t="shared" si="342"/>
        <v>#DIV/0!</v>
      </c>
      <c r="GR110" s="35" t="e">
        <f>#REF!/AE110</f>
        <v>#REF!</v>
      </c>
      <c r="GS110" s="53"/>
      <c r="GT110" s="577"/>
      <c r="GU110" s="35"/>
      <c r="GV110" s="53">
        <f t="shared" si="376"/>
        <v>0</v>
      </c>
      <c r="GW110" s="67"/>
      <c r="GX110" s="67"/>
      <c r="GY110" s="568">
        <f t="shared" si="377"/>
        <v>0</v>
      </c>
      <c r="GZ110" s="53"/>
      <c r="HA110" s="53"/>
      <c r="HB110" s="53"/>
      <c r="HC110" s="68" t="e">
        <f t="shared" si="382"/>
        <v>#DIV/0!</v>
      </c>
      <c r="HD110" s="53"/>
      <c r="HE110" s="53"/>
      <c r="HF110" s="53"/>
      <c r="HG110" s="35">
        <f t="shared" si="378"/>
        <v>0</v>
      </c>
      <c r="HH110" s="35">
        <f t="shared" si="379"/>
        <v>0</v>
      </c>
      <c r="HI110" s="70"/>
      <c r="HJ110" s="70"/>
      <c r="HK110" s="35" t="e">
        <f>(#REF!+#REF!+HJ110)/AE110</f>
        <v>#REF!</v>
      </c>
      <c r="HL110" s="70"/>
      <c r="HM110" s="35">
        <f t="shared" si="380"/>
        <v>0</v>
      </c>
      <c r="HN110" s="36" t="e">
        <f t="shared" si="381"/>
        <v>#DIV/0!</v>
      </c>
      <c r="HO110" s="70"/>
      <c r="HP110" s="70"/>
      <c r="HQ110" s="53"/>
      <c r="HR110" s="898"/>
      <c r="HS110" s="907" t="e">
        <f t="shared" si="325"/>
        <v>#DIV/0!</v>
      </c>
      <c r="HT110" s="898">
        <f t="shared" si="326"/>
        <v>0</v>
      </c>
      <c r="HU110" s="898">
        <f t="shared" ca="1" si="343"/>
        <v>0</v>
      </c>
      <c r="HV110" s="898"/>
      <c r="HW110" s="898"/>
      <c r="HX110" s="898"/>
      <c r="HY110" s="898"/>
      <c r="HZ110" s="898"/>
      <c r="IA110" s="73" t="e">
        <f>#REF!+HI110</f>
        <v>#REF!</v>
      </c>
      <c r="IB110" s="752"/>
      <c r="IC110" s="73"/>
      <c r="ID110" s="73"/>
      <c r="IE110" s="73"/>
      <c r="IF110" s="73"/>
    </row>
    <row r="111" spans="1:240" ht="15" customHeight="1">
      <c r="A111" s="74" t="s">
        <v>337</v>
      </c>
      <c r="B111" s="74"/>
      <c r="C111" s="39" t="s">
        <v>21</v>
      </c>
      <c r="D111" s="39" t="s">
        <v>92</v>
      </c>
      <c r="E111" s="39" t="s">
        <v>754</v>
      </c>
      <c r="F111" s="39"/>
      <c r="G111" s="39"/>
      <c r="H111" s="39"/>
      <c r="I111" s="39" t="s">
        <v>190</v>
      </c>
      <c r="J111" s="39"/>
      <c r="K111" s="39" t="s">
        <v>655</v>
      </c>
      <c r="L111" s="199" t="s">
        <v>769</v>
      </c>
      <c r="M111" s="129"/>
      <c r="N111" s="130"/>
      <c r="O111" s="131"/>
      <c r="P111" s="167">
        <v>6396</v>
      </c>
      <c r="Q111" s="167">
        <v>703760</v>
      </c>
      <c r="R111" s="167">
        <v>703760</v>
      </c>
      <c r="S111" s="161">
        <f t="shared" si="334"/>
        <v>19020.54054054054</v>
      </c>
      <c r="T111" s="161">
        <f t="shared" si="335"/>
        <v>110.03126954346466</v>
      </c>
      <c r="U111" s="167">
        <f t="shared" si="336"/>
        <v>110.03126954346466</v>
      </c>
      <c r="V111" s="167">
        <f t="shared" si="337"/>
        <v>253.39079776911251</v>
      </c>
      <c r="W111" s="167">
        <f t="shared" si="338"/>
        <v>19020.54054054054</v>
      </c>
      <c r="X111" s="161">
        <f t="shared" si="339"/>
        <v>172.86486486486487</v>
      </c>
      <c r="Y111" s="170"/>
      <c r="Z111" s="736">
        <f t="shared" si="340"/>
        <v>57.848655409631021</v>
      </c>
      <c r="AA111" s="170" t="s">
        <v>719</v>
      </c>
      <c r="AB111" s="162">
        <v>730</v>
      </c>
      <c r="AC111" s="163">
        <v>0.2</v>
      </c>
      <c r="AD111" s="39" t="s">
        <v>10</v>
      </c>
      <c r="AE111" s="674">
        <f t="shared" si="311"/>
        <v>37</v>
      </c>
      <c r="AF111" s="674">
        <f t="shared" si="312"/>
        <v>37</v>
      </c>
      <c r="AG111" s="50"/>
      <c r="AH111" s="39">
        <v>37</v>
      </c>
      <c r="AI111" s="50"/>
      <c r="AJ111" s="50"/>
      <c r="AK111" s="692"/>
      <c r="AL111" s="422">
        <v>2777.37</v>
      </c>
      <c r="AM111" s="875">
        <f t="shared" si="313"/>
        <v>0</v>
      </c>
      <c r="AN111" s="10">
        <f t="shared" si="314"/>
        <v>75.064054054054054</v>
      </c>
      <c r="AO111" s="43"/>
      <c r="AP111" s="43"/>
      <c r="AQ111" s="43"/>
      <c r="AR111" s="45"/>
      <c r="AS111" s="45"/>
      <c r="AT111" s="45"/>
      <c r="AU111" s="45"/>
      <c r="AV111" s="45"/>
      <c r="AW111" s="43"/>
      <c r="AX111" s="59"/>
      <c r="AY111" s="730">
        <v>598</v>
      </c>
      <c r="AZ111" s="43">
        <v>1.5</v>
      </c>
      <c r="BA111" s="42" t="s">
        <v>439</v>
      </c>
      <c r="BB111" s="39" t="s">
        <v>101</v>
      </c>
      <c r="BC111" s="39"/>
      <c r="BD111" s="39"/>
      <c r="BE111" s="39"/>
      <c r="BF111" s="39"/>
      <c r="BG111" s="147"/>
      <c r="BH111" s="39"/>
      <c r="BI111" s="159"/>
      <c r="BJ111" s="75"/>
      <c r="BK111" s="867" t="s">
        <v>250</v>
      </c>
      <c r="BL111" s="125"/>
      <c r="BM111" s="158"/>
      <c r="BN111" s="1007">
        <f t="shared" si="308"/>
        <v>0</v>
      </c>
      <c r="BO111" s="954"/>
      <c r="BP111" s="125"/>
      <c r="BQ111" s="125"/>
      <c r="BR111" s="225"/>
      <c r="BS111" s="224">
        <f t="shared" si="345"/>
        <v>731</v>
      </c>
      <c r="BT111" s="605"/>
      <c r="BU111" s="224" t="str">
        <f t="shared" si="346"/>
        <v>oui</v>
      </c>
      <c r="BV111" s="784">
        <f t="shared" si="347"/>
        <v>-1540.2</v>
      </c>
      <c r="BW111" s="605">
        <f t="shared" si="348"/>
        <v>0</v>
      </c>
      <c r="BX111" s="605">
        <f t="shared" si="349"/>
        <v>0</v>
      </c>
      <c r="BY111" s="702"/>
      <c r="BZ111" s="696"/>
      <c r="CA111" s="703"/>
      <c r="CB111" s="703"/>
      <c r="CC111" s="703"/>
      <c r="CD111" s="699"/>
      <c r="CE111" s="699"/>
      <c r="CF111" s="699"/>
      <c r="CG111" s="699"/>
      <c r="CH111" s="699"/>
      <c r="CI111" s="699"/>
      <c r="CJ111" s="699"/>
      <c r="CK111" s="699"/>
      <c r="CL111" s="699"/>
      <c r="CM111" s="699"/>
      <c r="CN111" s="699"/>
      <c r="CO111" s="699"/>
      <c r="CP111" s="699"/>
      <c r="CQ111" s="490"/>
      <c r="CR111" s="489"/>
      <c r="CS111" s="489"/>
      <c r="CT111" s="492" t="str">
        <f t="shared" si="315"/>
        <v>0</v>
      </c>
      <c r="CU111" s="490"/>
      <c r="CV111" s="490"/>
      <c r="CW111" s="492" t="str">
        <f t="shared" si="316"/>
        <v>0</v>
      </c>
      <c r="CX111" s="493"/>
      <c r="CY111" s="490"/>
      <c r="CZ111" s="492" t="str">
        <f t="shared" si="317"/>
        <v>0</v>
      </c>
      <c r="DA111" s="493"/>
      <c r="DB111" s="490"/>
      <c r="DC111" s="492" t="str">
        <f t="shared" si="318"/>
        <v>0</v>
      </c>
      <c r="DD111" s="493"/>
      <c r="DE111" s="490"/>
      <c r="DF111" s="492" t="str">
        <f t="shared" si="319"/>
        <v>0</v>
      </c>
      <c r="DG111" s="61"/>
      <c r="DH111" s="491"/>
      <c r="DI111" s="479"/>
      <c r="DJ111" s="480"/>
      <c r="DK111" s="481"/>
      <c r="DL111" s="680"/>
      <c r="DM111" s="617">
        <v>45108</v>
      </c>
      <c r="DN111" s="328"/>
      <c r="DO111" s="432">
        <f t="shared" si="302"/>
        <v>1503.6</v>
      </c>
      <c r="DP111" s="481" t="str">
        <f t="shared" si="350"/>
        <v>0</v>
      </c>
      <c r="DQ111" s="618">
        <v>52</v>
      </c>
      <c r="DR111" s="188">
        <f t="shared" si="351"/>
        <v>55</v>
      </c>
      <c r="DS111" s="479"/>
      <c r="DT111" s="484">
        <f t="shared" ca="1" si="352"/>
        <v>43647</v>
      </c>
      <c r="DU111" s="481" t="str">
        <f t="shared" ca="1" si="353"/>
        <v>0</v>
      </c>
      <c r="DV111" s="479"/>
      <c r="DW111" s="497">
        <f t="shared" ca="1" si="354"/>
        <v>43647</v>
      </c>
      <c r="DX111" s="482" t="str">
        <f t="shared" ca="1" si="355"/>
        <v>0</v>
      </c>
      <c r="DY111" s="483"/>
      <c r="DZ111" s="497">
        <f t="shared" ca="1" si="356"/>
        <v>43647</v>
      </c>
      <c r="EA111" s="481" t="str">
        <f t="shared" ca="1" si="357"/>
        <v>0</v>
      </c>
      <c r="EB111" s="484">
        <v>43552</v>
      </c>
      <c r="EC111" s="484">
        <f t="shared" ca="1" si="358"/>
        <v>43647</v>
      </c>
      <c r="ED111" s="481">
        <f t="shared" ca="1" si="359"/>
        <v>95</v>
      </c>
      <c r="EE111" s="485"/>
      <c r="EF111" s="485"/>
      <c r="EG111" s="481" t="str">
        <f t="shared" si="360"/>
        <v>0</v>
      </c>
      <c r="EH111" s="484"/>
      <c r="EI111" s="484">
        <f t="shared" ca="1" si="361"/>
        <v>43647</v>
      </c>
      <c r="EJ111" s="481" t="str">
        <f t="shared" ca="1" si="362"/>
        <v>0</v>
      </c>
      <c r="EK111" s="484">
        <v>43629</v>
      </c>
      <c r="EL111" s="484">
        <f t="shared" ca="1" si="363"/>
        <v>43647</v>
      </c>
      <c r="EM111" s="481">
        <f t="shared" ca="1" si="364"/>
        <v>18</v>
      </c>
      <c r="EN111" s="484"/>
      <c r="EO111" s="484"/>
      <c r="EP111" s="484"/>
      <c r="EQ111" s="654">
        <f t="shared" si="365"/>
        <v>46692</v>
      </c>
      <c r="ER111" s="653">
        <f t="shared" si="366"/>
        <v>46784</v>
      </c>
      <c r="ES111" s="650">
        <f t="shared" si="367"/>
        <v>3.0666666666666669</v>
      </c>
      <c r="ET111" s="904">
        <f t="shared" ca="1" si="306"/>
        <v>104.56666666666666</v>
      </c>
      <c r="EU111" s="653">
        <f t="shared" ca="1" si="320"/>
        <v>44378</v>
      </c>
      <c r="EV111" s="748"/>
      <c r="EW111" s="737"/>
      <c r="EX111" s="749">
        <f t="shared" si="368"/>
        <v>46907</v>
      </c>
      <c r="EY111" s="443"/>
      <c r="EZ111" s="747">
        <f t="shared" si="369"/>
        <v>46722</v>
      </c>
      <c r="FA111" s="653">
        <f t="shared" si="370"/>
        <v>46937</v>
      </c>
      <c r="FB111" s="937"/>
      <c r="FC111" s="647">
        <f t="shared" si="371"/>
        <v>7.166666666666667</v>
      </c>
      <c r="FD111" s="631"/>
      <c r="FE111" s="192">
        <f t="shared" si="372"/>
        <v>0</v>
      </c>
      <c r="FF111" s="211"/>
      <c r="FG111" s="502"/>
      <c r="FH111" s="502">
        <v>0</v>
      </c>
      <c r="FI111" s="502"/>
      <c r="FJ111" s="502"/>
      <c r="FK111" s="502"/>
      <c r="FL111" s="664" t="e">
        <f t="shared" si="373"/>
        <v>#DIV/0!</v>
      </c>
      <c r="FM111" s="499"/>
      <c r="FN111" s="511"/>
      <c r="FO111" s="499"/>
      <c r="FP111" s="499"/>
      <c r="FQ111" s="94"/>
      <c r="FR111" s="94"/>
      <c r="FS111" s="94"/>
      <c r="FT111" s="94"/>
      <c r="FU111" s="94"/>
      <c r="FV111" s="39"/>
      <c r="FW111" s="212">
        <f t="shared" si="374"/>
        <v>47150</v>
      </c>
      <c r="FX111" s="212"/>
      <c r="FY111" s="39"/>
      <c r="FZ111" s="39"/>
      <c r="GA111" s="39"/>
      <c r="GB111" s="39"/>
      <c r="GC111" s="39"/>
      <c r="GD111" s="39"/>
      <c r="GE111" s="39"/>
      <c r="GF111" s="39"/>
      <c r="GG111" s="39"/>
      <c r="GH111" s="39"/>
      <c r="GI111" s="39"/>
      <c r="GJ111" s="39"/>
      <c r="GK111" s="39"/>
      <c r="GL111" s="742"/>
      <c r="GM111" s="979">
        <f t="shared" si="341"/>
        <v>0</v>
      </c>
      <c r="GN111" s="772">
        <f t="shared" si="344"/>
        <v>0</v>
      </c>
      <c r="GO111" s="53">
        <f t="shared" si="375"/>
        <v>0</v>
      </c>
      <c r="GP111" s="898">
        <f t="shared" si="321"/>
        <v>0</v>
      </c>
      <c r="GQ111" s="35">
        <f t="shared" si="342"/>
        <v>0</v>
      </c>
      <c r="GR111" s="35" t="e">
        <f>#REF!/AE111</f>
        <v>#REF!</v>
      </c>
      <c r="GS111" s="53"/>
      <c r="GT111" s="577"/>
      <c r="GU111" s="35">
        <f>GS111/AE111</f>
        <v>0</v>
      </c>
      <c r="GV111" s="53">
        <f t="shared" si="376"/>
        <v>0</v>
      </c>
      <c r="GW111" s="67"/>
      <c r="GX111" s="67"/>
      <c r="GY111" s="567">
        <f t="shared" si="377"/>
        <v>0</v>
      </c>
      <c r="GZ111" s="53"/>
      <c r="HA111" s="53"/>
      <c r="HB111" s="53"/>
      <c r="HC111" s="28" t="e">
        <f t="shared" si="382"/>
        <v>#DIV/0!</v>
      </c>
      <c r="HD111" s="53"/>
      <c r="HE111" s="53"/>
      <c r="HF111" s="53"/>
      <c r="HG111" s="35">
        <f t="shared" si="378"/>
        <v>0</v>
      </c>
      <c r="HH111" s="35">
        <f t="shared" si="379"/>
        <v>0</v>
      </c>
      <c r="HI111" s="70"/>
      <c r="HJ111" s="70"/>
      <c r="HK111" s="19" t="e">
        <f>(#REF!+#REF!+HJ111)/AE111</f>
        <v>#REF!</v>
      </c>
      <c r="HL111" s="70"/>
      <c r="HM111" s="35">
        <f t="shared" si="380"/>
        <v>0</v>
      </c>
      <c r="HN111" s="36" t="e">
        <f t="shared" si="381"/>
        <v>#DIV/0!</v>
      </c>
      <c r="HO111" s="70"/>
      <c r="HP111" s="70"/>
      <c r="HQ111" s="53">
        <f>FH111</f>
        <v>0</v>
      </c>
      <c r="HR111" s="898"/>
      <c r="HS111" s="907" t="e">
        <f t="shared" si="325"/>
        <v>#DIV/0!</v>
      </c>
      <c r="HT111" s="898">
        <f t="shared" si="326"/>
        <v>0</v>
      </c>
      <c r="HU111" s="898">
        <f t="shared" ca="1" si="343"/>
        <v>0</v>
      </c>
      <c r="HV111" s="898"/>
      <c r="HW111" s="898"/>
      <c r="HX111" s="898"/>
      <c r="HY111" s="898"/>
      <c r="HZ111" s="898"/>
      <c r="IA111" s="73" t="e">
        <f>#REF!+HI111</f>
        <v>#REF!</v>
      </c>
      <c r="IB111" s="752"/>
      <c r="IC111" s="73"/>
      <c r="ID111" s="73"/>
      <c r="IE111" s="73"/>
      <c r="IF111" s="73"/>
    </row>
    <row r="112" spans="1:240" ht="15" customHeight="1">
      <c r="A112" s="66" t="s">
        <v>315</v>
      </c>
      <c r="B112" s="66"/>
      <c r="C112" s="39" t="s">
        <v>21</v>
      </c>
      <c r="D112" s="39" t="s">
        <v>92</v>
      </c>
      <c r="E112" s="39" t="s">
        <v>754</v>
      </c>
      <c r="F112" s="39"/>
      <c r="G112" s="39" t="s">
        <v>299</v>
      </c>
      <c r="H112" s="39"/>
      <c r="I112" s="39" t="s">
        <v>190</v>
      </c>
      <c r="J112" s="39"/>
      <c r="K112" s="39" t="s">
        <v>762</v>
      </c>
      <c r="L112" s="199" t="s">
        <v>763</v>
      </c>
      <c r="M112" s="129"/>
      <c r="N112" s="130"/>
      <c r="O112" s="161"/>
      <c r="P112" s="161">
        <v>12700</v>
      </c>
      <c r="Q112" s="161">
        <v>787400</v>
      </c>
      <c r="R112" s="161"/>
      <c r="S112" s="161">
        <f t="shared" si="334"/>
        <v>13123.333333333334</v>
      </c>
      <c r="T112" s="161">
        <f t="shared" si="335"/>
        <v>62</v>
      </c>
      <c r="U112" s="167">
        <f t="shared" si="336"/>
        <v>0</v>
      </c>
      <c r="V112" s="167" t="e">
        <f t="shared" si="337"/>
        <v>#DIV/0!</v>
      </c>
      <c r="W112" s="167">
        <f t="shared" si="338"/>
        <v>0</v>
      </c>
      <c r="X112" s="161">
        <f t="shared" si="339"/>
        <v>211.66666666666666</v>
      </c>
      <c r="Y112" s="162"/>
      <c r="Z112" s="733">
        <f t="shared" si="340"/>
        <v>47.244094488188978</v>
      </c>
      <c r="AA112" s="162" t="s">
        <v>733</v>
      </c>
      <c r="AB112" s="162"/>
      <c r="AC112" s="163"/>
      <c r="AD112" s="39" t="s">
        <v>10</v>
      </c>
      <c r="AE112" s="674">
        <f t="shared" si="311"/>
        <v>60</v>
      </c>
      <c r="AF112" s="674">
        <f t="shared" si="312"/>
        <v>60</v>
      </c>
      <c r="AG112" s="50"/>
      <c r="AH112" s="39">
        <v>60</v>
      </c>
      <c r="AI112" s="50"/>
      <c r="AJ112" s="50"/>
      <c r="AK112" s="209"/>
      <c r="AL112" s="422"/>
      <c r="AM112" s="875">
        <f t="shared" si="313"/>
        <v>0</v>
      </c>
      <c r="AN112" s="10">
        <f t="shared" si="314"/>
        <v>0</v>
      </c>
      <c r="AO112" s="43"/>
      <c r="AP112" s="43"/>
      <c r="AQ112" s="43"/>
      <c r="AR112" s="61"/>
      <c r="AS112" s="61"/>
      <c r="AT112" s="61"/>
      <c r="AU112" s="61"/>
      <c r="AV112" s="61"/>
      <c r="AW112" s="43"/>
      <c r="AX112" s="59"/>
      <c r="AY112" s="61"/>
      <c r="AZ112" s="43"/>
      <c r="BA112" s="39"/>
      <c r="BB112" s="39"/>
      <c r="BC112" s="39"/>
      <c r="BD112" s="39"/>
      <c r="BE112" s="39"/>
      <c r="BF112" s="39"/>
      <c r="BG112" s="183"/>
      <c r="BH112" s="39"/>
      <c r="BI112" s="159"/>
      <c r="BJ112" s="75"/>
      <c r="BK112" s="867" t="s">
        <v>250</v>
      </c>
      <c r="BL112" s="125"/>
      <c r="BM112" s="158"/>
      <c r="BN112" s="1007">
        <f t="shared" si="308"/>
        <v>0</v>
      </c>
      <c r="BO112" s="954"/>
      <c r="BP112" s="125"/>
      <c r="BQ112" s="125"/>
      <c r="BR112" s="225"/>
      <c r="BS112" s="224">
        <f t="shared" si="345"/>
        <v>731</v>
      </c>
      <c r="BT112" s="605"/>
      <c r="BU112" s="224" t="str">
        <f t="shared" si="346"/>
        <v>oui</v>
      </c>
      <c r="BV112" s="784">
        <f t="shared" si="347"/>
        <v>-1541.2333333333333</v>
      </c>
      <c r="BW112" s="605">
        <f t="shared" si="348"/>
        <v>0</v>
      </c>
      <c r="BX112" s="605">
        <f t="shared" si="349"/>
        <v>0</v>
      </c>
      <c r="BY112" s="702"/>
      <c r="BZ112" s="708"/>
      <c r="CA112" s="703"/>
      <c r="CB112" s="703"/>
      <c r="CC112" s="703"/>
      <c r="CD112" s="699"/>
      <c r="CE112" s="699"/>
      <c r="CF112" s="699"/>
      <c r="CG112" s="699"/>
      <c r="CH112" s="699"/>
      <c r="CI112" s="699"/>
      <c r="CJ112" s="699"/>
      <c r="CK112" s="699"/>
      <c r="CL112" s="699"/>
      <c r="CM112" s="699"/>
      <c r="CN112" s="699"/>
      <c r="CO112" s="699"/>
      <c r="CP112" s="699"/>
      <c r="CQ112" s="488"/>
      <c r="CR112" s="489"/>
      <c r="CS112" s="489"/>
      <c r="CT112" s="492" t="str">
        <f t="shared" si="315"/>
        <v>0</v>
      </c>
      <c r="CU112" s="490"/>
      <c r="CV112" s="490"/>
      <c r="CW112" s="492" t="str">
        <f t="shared" si="316"/>
        <v>0</v>
      </c>
      <c r="CX112" s="493"/>
      <c r="CY112" s="490"/>
      <c r="CZ112" s="492" t="str">
        <f t="shared" si="317"/>
        <v>0</v>
      </c>
      <c r="DA112" s="493"/>
      <c r="DB112" s="490"/>
      <c r="DC112" s="492" t="str">
        <f t="shared" si="318"/>
        <v>0</v>
      </c>
      <c r="DD112" s="493"/>
      <c r="DE112" s="490"/>
      <c r="DF112" s="492" t="str">
        <f t="shared" si="319"/>
        <v>0</v>
      </c>
      <c r="DG112" s="438"/>
      <c r="DH112" s="494"/>
      <c r="DI112" s="479"/>
      <c r="DJ112" s="480"/>
      <c r="DK112" s="481"/>
      <c r="DL112" s="479"/>
      <c r="DM112" s="617">
        <v>45108</v>
      </c>
      <c r="DN112" s="326"/>
      <c r="DO112" s="432">
        <f t="shared" si="302"/>
        <v>1503.6</v>
      </c>
      <c r="DP112" s="481" t="str">
        <f t="shared" si="350"/>
        <v>0</v>
      </c>
      <c r="DQ112" s="618">
        <v>53</v>
      </c>
      <c r="DR112" s="188">
        <f t="shared" si="351"/>
        <v>56</v>
      </c>
      <c r="DS112" s="479"/>
      <c r="DT112" s="484">
        <f t="shared" ca="1" si="352"/>
        <v>43647</v>
      </c>
      <c r="DU112" s="481" t="str">
        <f t="shared" ca="1" si="353"/>
        <v>0</v>
      </c>
      <c r="DV112" s="479"/>
      <c r="DW112" s="497">
        <f t="shared" ca="1" si="354"/>
        <v>43647</v>
      </c>
      <c r="DX112" s="482" t="str">
        <f t="shared" ca="1" si="355"/>
        <v>0</v>
      </c>
      <c r="DY112" s="483"/>
      <c r="DZ112" s="497">
        <f t="shared" ca="1" si="356"/>
        <v>43647</v>
      </c>
      <c r="EA112" s="481" t="str">
        <f t="shared" ca="1" si="357"/>
        <v>0</v>
      </c>
      <c r="EB112" s="484">
        <v>43553</v>
      </c>
      <c r="EC112" s="484">
        <f t="shared" ca="1" si="358"/>
        <v>43647</v>
      </c>
      <c r="ED112" s="481">
        <f t="shared" ca="1" si="359"/>
        <v>94</v>
      </c>
      <c r="EE112" s="485"/>
      <c r="EF112" s="485"/>
      <c r="EG112" s="481" t="str">
        <f t="shared" si="360"/>
        <v>0</v>
      </c>
      <c r="EH112" s="484"/>
      <c r="EI112" s="484">
        <f t="shared" ca="1" si="361"/>
        <v>43647</v>
      </c>
      <c r="EJ112" s="481" t="str">
        <f t="shared" ca="1" si="362"/>
        <v>0</v>
      </c>
      <c r="EK112" s="484">
        <v>43630</v>
      </c>
      <c r="EL112" s="484">
        <f t="shared" ca="1" si="363"/>
        <v>43647</v>
      </c>
      <c r="EM112" s="481">
        <f t="shared" ca="1" si="364"/>
        <v>17</v>
      </c>
      <c r="EN112" s="484"/>
      <c r="EO112" s="484"/>
      <c r="EP112" s="484"/>
      <c r="EQ112" s="654">
        <f t="shared" si="365"/>
        <v>46722</v>
      </c>
      <c r="ER112" s="653">
        <f t="shared" si="366"/>
        <v>46813</v>
      </c>
      <c r="ES112" s="650">
        <f t="shared" si="367"/>
        <v>3.0333333333333332</v>
      </c>
      <c r="ET112" s="904">
        <f t="shared" ca="1" si="306"/>
        <v>105.53333333333333</v>
      </c>
      <c r="EU112" s="653">
        <f t="shared" ca="1" si="320"/>
        <v>44378</v>
      </c>
      <c r="EV112" s="748"/>
      <c r="EW112" s="737"/>
      <c r="EX112" s="749">
        <f t="shared" si="368"/>
        <v>46937</v>
      </c>
      <c r="EY112" s="443"/>
      <c r="EZ112" s="747">
        <f t="shared" si="369"/>
        <v>46753</v>
      </c>
      <c r="FA112" s="653">
        <f t="shared" si="370"/>
        <v>46968</v>
      </c>
      <c r="FB112" s="518"/>
      <c r="FC112" s="647">
        <f t="shared" si="371"/>
        <v>7.166666666666667</v>
      </c>
      <c r="FD112" s="635"/>
      <c r="FE112" s="192">
        <f t="shared" si="372"/>
        <v>0</v>
      </c>
      <c r="FF112" s="91"/>
      <c r="FG112" s="502"/>
      <c r="FH112" s="502">
        <v>0</v>
      </c>
      <c r="FI112" s="502"/>
      <c r="FJ112" s="502"/>
      <c r="FK112" s="502"/>
      <c r="FL112" s="664" t="e">
        <f t="shared" si="373"/>
        <v>#DIV/0!</v>
      </c>
      <c r="FM112" s="499"/>
      <c r="FN112" s="511"/>
      <c r="FO112" s="499"/>
      <c r="FP112" s="499"/>
      <c r="FQ112" s="94"/>
      <c r="FR112" s="94"/>
      <c r="FS112" s="94"/>
      <c r="FT112" s="94"/>
      <c r="FU112" s="94"/>
      <c r="FV112" s="39"/>
      <c r="FW112" s="212">
        <f t="shared" si="374"/>
        <v>47178</v>
      </c>
      <c r="FX112" s="212"/>
      <c r="FY112" s="39"/>
      <c r="FZ112" s="39"/>
      <c r="GA112" s="39"/>
      <c r="GB112" s="39"/>
      <c r="GC112" s="39"/>
      <c r="GD112" s="39"/>
      <c r="GE112" s="39"/>
      <c r="GF112" s="39"/>
      <c r="GG112" s="39"/>
      <c r="GH112" s="39"/>
      <c r="GI112" s="39"/>
      <c r="GJ112" s="39"/>
      <c r="GK112" s="39"/>
      <c r="GL112" s="742"/>
      <c r="GM112" s="979">
        <f t="shared" si="341"/>
        <v>0</v>
      </c>
      <c r="GN112" s="772">
        <f t="shared" si="344"/>
        <v>0</v>
      </c>
      <c r="GO112" s="53">
        <f t="shared" si="375"/>
        <v>0</v>
      </c>
      <c r="GP112" s="898">
        <f t="shared" si="321"/>
        <v>0</v>
      </c>
      <c r="GQ112" s="35" t="e">
        <f t="shared" si="342"/>
        <v>#DIV/0!</v>
      </c>
      <c r="GR112" s="35" t="e">
        <f>#REF!/AE112</f>
        <v>#REF!</v>
      </c>
      <c r="GS112" s="53"/>
      <c r="GT112" s="577"/>
      <c r="GU112" s="35">
        <f>GS112/AE112</f>
        <v>0</v>
      </c>
      <c r="GV112" s="53">
        <f t="shared" si="376"/>
        <v>0</v>
      </c>
      <c r="GW112" s="67"/>
      <c r="GX112" s="67"/>
      <c r="GY112" s="568">
        <f t="shared" si="377"/>
        <v>0</v>
      </c>
      <c r="GZ112" s="53"/>
      <c r="HA112" s="53"/>
      <c r="HB112" s="53"/>
      <c r="HC112" s="28" t="e">
        <f t="shared" si="382"/>
        <v>#DIV/0!</v>
      </c>
      <c r="HD112" s="53"/>
      <c r="HE112" s="53"/>
      <c r="HF112" s="53"/>
      <c r="HG112" s="35">
        <f t="shared" si="378"/>
        <v>0</v>
      </c>
      <c r="HH112" s="35">
        <f t="shared" si="379"/>
        <v>0</v>
      </c>
      <c r="HI112" s="70"/>
      <c r="HJ112" s="70"/>
      <c r="HK112" s="35" t="e">
        <f>(#REF!+#REF!+HJ112)/AE112</f>
        <v>#REF!</v>
      </c>
      <c r="HL112" s="70"/>
      <c r="HM112" s="35">
        <f t="shared" si="380"/>
        <v>0</v>
      </c>
      <c r="HN112" s="36" t="e">
        <f t="shared" si="381"/>
        <v>#DIV/0!</v>
      </c>
      <c r="HO112" s="70"/>
      <c r="HP112" s="70"/>
      <c r="HQ112" s="53">
        <f>FH112</f>
        <v>0</v>
      </c>
      <c r="HR112" s="898"/>
      <c r="HS112" s="907" t="e">
        <f t="shared" si="325"/>
        <v>#DIV/0!</v>
      </c>
      <c r="HT112" s="898">
        <f t="shared" si="326"/>
        <v>0</v>
      </c>
      <c r="HU112" s="898">
        <f t="shared" ca="1" si="343"/>
        <v>0</v>
      </c>
      <c r="HV112" s="898"/>
      <c r="HW112" s="898"/>
      <c r="HX112" s="898"/>
      <c r="HY112" s="898"/>
      <c r="HZ112" s="898"/>
      <c r="IA112" s="73" t="e">
        <f>#REF!+HI112</f>
        <v>#REF!</v>
      </c>
      <c r="IB112" s="752"/>
      <c r="IC112" s="73"/>
      <c r="ID112" s="73"/>
      <c r="IE112" s="73"/>
      <c r="IF112" s="73"/>
    </row>
    <row r="113" spans="1:240 16328:16328" ht="15" customHeight="1">
      <c r="A113" s="676" t="s">
        <v>737</v>
      </c>
      <c r="B113" s="676"/>
      <c r="C113" s="39" t="s">
        <v>14</v>
      </c>
      <c r="D113" s="39" t="s">
        <v>92</v>
      </c>
      <c r="E113" s="39" t="s">
        <v>754</v>
      </c>
      <c r="F113" s="39"/>
      <c r="G113" s="39"/>
      <c r="H113" s="39"/>
      <c r="I113" s="41"/>
      <c r="J113" s="39"/>
      <c r="K113" s="39" t="s">
        <v>738</v>
      </c>
      <c r="L113" s="199" t="s">
        <v>739</v>
      </c>
      <c r="M113" s="129"/>
      <c r="N113" s="130"/>
      <c r="O113" s="131"/>
      <c r="P113" s="161">
        <v>18000</v>
      </c>
      <c r="Q113" s="161"/>
      <c r="R113" s="161"/>
      <c r="S113" s="161">
        <f t="shared" si="334"/>
        <v>0</v>
      </c>
      <c r="T113" s="161">
        <f t="shared" si="335"/>
        <v>0</v>
      </c>
      <c r="U113" s="167">
        <f t="shared" si="336"/>
        <v>0</v>
      </c>
      <c r="V113" s="167" t="e">
        <f t="shared" si="337"/>
        <v>#DIV/0!</v>
      </c>
      <c r="W113" s="167">
        <f t="shared" si="338"/>
        <v>0</v>
      </c>
      <c r="X113" s="161">
        <f t="shared" si="339"/>
        <v>400</v>
      </c>
      <c r="Y113" s="162"/>
      <c r="Z113" s="736">
        <f t="shared" si="340"/>
        <v>25</v>
      </c>
      <c r="AA113" s="162" t="s">
        <v>722</v>
      </c>
      <c r="AB113" s="162"/>
      <c r="AC113" s="163"/>
      <c r="AD113" s="39" t="s">
        <v>10</v>
      </c>
      <c r="AE113" s="674">
        <f t="shared" si="311"/>
        <v>45</v>
      </c>
      <c r="AF113" s="674">
        <f t="shared" si="312"/>
        <v>45</v>
      </c>
      <c r="AG113" s="50"/>
      <c r="AH113" s="39">
        <v>45</v>
      </c>
      <c r="AI113" s="50"/>
      <c r="AJ113" s="50"/>
      <c r="AK113" s="692"/>
      <c r="AL113" s="422"/>
      <c r="AM113" s="875">
        <f t="shared" si="313"/>
        <v>0</v>
      </c>
      <c r="AN113" s="10">
        <f t="shared" si="314"/>
        <v>0</v>
      </c>
      <c r="AO113" s="43"/>
      <c r="AP113" s="43"/>
      <c r="AQ113" s="43"/>
      <c r="AR113" s="61"/>
      <c r="AS113" s="61"/>
      <c r="AT113" s="61"/>
      <c r="AU113" s="61"/>
      <c r="AV113" s="61"/>
      <c r="AW113" s="43"/>
      <c r="AX113" s="59"/>
      <c r="AY113" s="61"/>
      <c r="AZ113" s="43"/>
      <c r="BA113" s="42"/>
      <c r="BB113" s="39"/>
      <c r="BC113" s="39"/>
      <c r="BD113" s="39"/>
      <c r="BE113" s="39"/>
      <c r="BF113" s="39"/>
      <c r="BG113" s="184"/>
      <c r="BH113" s="143"/>
      <c r="BI113" s="159"/>
      <c r="BJ113" s="75"/>
      <c r="BK113" s="867" t="s">
        <v>250</v>
      </c>
      <c r="BL113" s="125"/>
      <c r="BM113" s="158"/>
      <c r="BN113" s="1007">
        <f t="shared" si="308"/>
        <v>0</v>
      </c>
      <c r="BO113" s="954"/>
      <c r="BP113" s="125"/>
      <c r="BQ113" s="125"/>
      <c r="BR113" s="225"/>
      <c r="BS113" s="224">
        <f t="shared" si="345"/>
        <v>731</v>
      </c>
      <c r="BT113" s="605"/>
      <c r="BU113" s="224" t="str">
        <f t="shared" si="346"/>
        <v>oui</v>
      </c>
      <c r="BV113" s="784">
        <f t="shared" si="347"/>
        <v>-1542.3</v>
      </c>
      <c r="BW113" s="605">
        <f t="shared" si="348"/>
        <v>0</v>
      </c>
      <c r="BX113" s="605">
        <f t="shared" si="349"/>
        <v>0</v>
      </c>
      <c r="BY113" s="702"/>
      <c r="BZ113" s="708"/>
      <c r="CA113" s="703"/>
      <c r="CB113" s="703"/>
      <c r="CC113" s="703"/>
      <c r="CD113" s="699"/>
      <c r="CE113" s="699"/>
      <c r="CF113" s="699"/>
      <c r="CG113" s="699"/>
      <c r="CH113" s="699"/>
      <c r="CI113" s="699"/>
      <c r="CJ113" s="699"/>
      <c r="CK113" s="699"/>
      <c r="CL113" s="699"/>
      <c r="CM113" s="699"/>
      <c r="CN113" s="699"/>
      <c r="CO113" s="699"/>
      <c r="CP113" s="699"/>
      <c r="CQ113" s="488"/>
      <c r="CR113" s="490"/>
      <c r="CS113" s="490"/>
      <c r="CT113" s="492" t="str">
        <f t="shared" si="315"/>
        <v>0</v>
      </c>
      <c r="CU113" s="490"/>
      <c r="CV113" s="490"/>
      <c r="CW113" s="492" t="str">
        <f t="shared" si="316"/>
        <v>0</v>
      </c>
      <c r="CX113" s="490"/>
      <c r="CY113" s="490"/>
      <c r="CZ113" s="492" t="str">
        <f t="shared" si="317"/>
        <v>0</v>
      </c>
      <c r="DA113" s="490"/>
      <c r="DB113" s="490"/>
      <c r="DC113" s="492" t="str">
        <f t="shared" si="318"/>
        <v>0</v>
      </c>
      <c r="DD113" s="493"/>
      <c r="DE113" s="490"/>
      <c r="DF113" s="492" t="str">
        <f t="shared" si="319"/>
        <v>0</v>
      </c>
      <c r="DG113" s="438"/>
      <c r="DH113" s="494"/>
      <c r="DI113" s="479"/>
      <c r="DJ113" s="480"/>
      <c r="DK113" s="481"/>
      <c r="DL113" s="479"/>
      <c r="DM113" s="617">
        <v>45109</v>
      </c>
      <c r="DN113" s="326"/>
      <c r="DO113" s="432">
        <f t="shared" si="302"/>
        <v>1503.6333333333334</v>
      </c>
      <c r="DP113" s="481" t="str">
        <f t="shared" si="350"/>
        <v>0</v>
      </c>
      <c r="DQ113" s="618">
        <v>54</v>
      </c>
      <c r="DR113" s="188">
        <f t="shared" si="351"/>
        <v>57</v>
      </c>
      <c r="DS113" s="479"/>
      <c r="DT113" s="484">
        <f t="shared" ca="1" si="352"/>
        <v>43647</v>
      </c>
      <c r="DU113" s="481" t="str">
        <f t="shared" ca="1" si="353"/>
        <v>0</v>
      </c>
      <c r="DV113" s="479"/>
      <c r="DW113" s="497">
        <f t="shared" ca="1" si="354"/>
        <v>43647</v>
      </c>
      <c r="DX113" s="482" t="str">
        <f t="shared" ca="1" si="355"/>
        <v>0</v>
      </c>
      <c r="DY113" s="483"/>
      <c r="DZ113" s="497">
        <f t="shared" ca="1" si="356"/>
        <v>43647</v>
      </c>
      <c r="EA113" s="481" t="str">
        <f t="shared" ca="1" si="357"/>
        <v>0</v>
      </c>
      <c r="EB113" s="484">
        <v>43554</v>
      </c>
      <c r="EC113" s="484">
        <f t="shared" ca="1" si="358"/>
        <v>43647</v>
      </c>
      <c r="ED113" s="481">
        <f t="shared" ca="1" si="359"/>
        <v>93</v>
      </c>
      <c r="EE113" s="485"/>
      <c r="EF113" s="485"/>
      <c r="EG113" s="481" t="str">
        <f t="shared" si="360"/>
        <v>0</v>
      </c>
      <c r="EH113" s="484"/>
      <c r="EI113" s="484">
        <f t="shared" ca="1" si="361"/>
        <v>43647</v>
      </c>
      <c r="EJ113" s="481" t="str">
        <f t="shared" ca="1" si="362"/>
        <v>0</v>
      </c>
      <c r="EK113" s="484">
        <v>43631</v>
      </c>
      <c r="EL113" s="484">
        <f t="shared" ca="1" si="363"/>
        <v>43647</v>
      </c>
      <c r="EM113" s="481">
        <f t="shared" ca="1" si="364"/>
        <v>16</v>
      </c>
      <c r="EN113" s="484"/>
      <c r="EO113" s="484"/>
      <c r="EP113" s="484"/>
      <c r="EQ113" s="654">
        <f t="shared" si="365"/>
        <v>46754</v>
      </c>
      <c r="ER113" s="653">
        <f t="shared" si="366"/>
        <v>46845</v>
      </c>
      <c r="ES113" s="650">
        <f t="shared" si="367"/>
        <v>3.0333333333333332</v>
      </c>
      <c r="ET113" s="904">
        <f t="shared" ca="1" si="306"/>
        <v>106.6</v>
      </c>
      <c r="EU113" s="653">
        <f t="shared" ca="1" si="320"/>
        <v>44378</v>
      </c>
      <c r="EV113" s="748"/>
      <c r="EW113" s="737"/>
      <c r="EX113" s="749">
        <f t="shared" si="368"/>
        <v>46969</v>
      </c>
      <c r="EY113" s="443"/>
      <c r="EZ113" s="747">
        <f t="shared" si="369"/>
        <v>46785</v>
      </c>
      <c r="FA113" s="653">
        <f t="shared" si="370"/>
        <v>47000</v>
      </c>
      <c r="FB113" s="518"/>
      <c r="FC113" s="647">
        <f t="shared" si="371"/>
        <v>7.166666666666667</v>
      </c>
      <c r="FD113" s="635"/>
      <c r="FE113" s="192">
        <f t="shared" si="372"/>
        <v>0</v>
      </c>
      <c r="FF113" s="902"/>
      <c r="FG113" s="502"/>
      <c r="FH113" s="502"/>
      <c r="FI113" s="502"/>
      <c r="FJ113" s="502"/>
      <c r="FK113" s="502"/>
      <c r="FL113" s="664" t="e">
        <f t="shared" si="373"/>
        <v>#DIV/0!</v>
      </c>
      <c r="FM113" s="499"/>
      <c r="FN113" s="511"/>
      <c r="FO113" s="499"/>
      <c r="FP113" s="499"/>
      <c r="FQ113" s="94"/>
      <c r="FR113" s="94"/>
      <c r="FS113" s="94"/>
      <c r="FT113" s="94"/>
      <c r="FU113" s="94"/>
      <c r="FV113" s="39"/>
      <c r="FW113" s="212">
        <f t="shared" si="374"/>
        <v>47210</v>
      </c>
      <c r="FX113" s="212"/>
      <c r="FY113" s="39"/>
      <c r="FZ113" s="39"/>
      <c r="GA113" s="39"/>
      <c r="GB113" s="39"/>
      <c r="GC113" s="39"/>
      <c r="GD113" s="39"/>
      <c r="GE113" s="39"/>
      <c r="GF113" s="39"/>
      <c r="GG113" s="39"/>
      <c r="GH113" s="39"/>
      <c r="GI113" s="39"/>
      <c r="GJ113" s="39"/>
      <c r="GK113" s="39"/>
      <c r="GL113" s="742"/>
      <c r="GM113" s="979">
        <f t="shared" si="341"/>
        <v>0</v>
      </c>
      <c r="GN113" s="772">
        <f t="shared" si="344"/>
        <v>0</v>
      </c>
      <c r="GO113" s="53">
        <f t="shared" si="375"/>
        <v>0</v>
      </c>
      <c r="GP113" s="898">
        <f t="shared" si="321"/>
        <v>0</v>
      </c>
      <c r="GQ113" s="35" t="e">
        <f t="shared" si="342"/>
        <v>#DIV/0!</v>
      </c>
      <c r="GR113" s="35" t="e">
        <f>#REF!/AE113</f>
        <v>#REF!</v>
      </c>
      <c r="GS113" s="53"/>
      <c r="GT113" s="577"/>
      <c r="GU113" s="35"/>
      <c r="GV113" s="53">
        <f t="shared" si="376"/>
        <v>0</v>
      </c>
      <c r="GW113" s="67"/>
      <c r="GX113" s="67"/>
      <c r="GY113" s="568">
        <f t="shared" si="377"/>
        <v>0</v>
      </c>
      <c r="GZ113" s="53"/>
      <c r="HA113" s="53"/>
      <c r="HB113" s="53"/>
      <c r="HC113" s="28" t="e">
        <f t="shared" si="382"/>
        <v>#DIV/0!</v>
      </c>
      <c r="HD113" s="53"/>
      <c r="HE113" s="53"/>
      <c r="HF113" s="53"/>
      <c r="HG113" s="35">
        <f t="shared" si="378"/>
        <v>0</v>
      </c>
      <c r="HH113" s="35">
        <f t="shared" si="379"/>
        <v>0</v>
      </c>
      <c r="HI113" s="70"/>
      <c r="HJ113" s="70"/>
      <c r="HK113" s="35" t="e">
        <f>(#REF!+#REF!+HJ113)/AE113</f>
        <v>#REF!</v>
      </c>
      <c r="HL113" s="70"/>
      <c r="HM113" s="35">
        <f t="shared" si="380"/>
        <v>0</v>
      </c>
      <c r="HN113" s="36" t="e">
        <f t="shared" si="381"/>
        <v>#DIV/0!</v>
      </c>
      <c r="HO113" s="70"/>
      <c r="HP113" s="70"/>
      <c r="HQ113" s="53"/>
      <c r="HR113" s="898"/>
      <c r="HS113" s="907" t="e">
        <f t="shared" si="325"/>
        <v>#DIV/0!</v>
      </c>
      <c r="HT113" s="898">
        <f t="shared" si="326"/>
        <v>0</v>
      </c>
      <c r="HU113" s="898">
        <f t="shared" ca="1" si="343"/>
        <v>0</v>
      </c>
      <c r="HV113" s="898"/>
      <c r="HW113" s="898"/>
      <c r="HX113" s="898"/>
      <c r="HY113" s="898"/>
      <c r="HZ113" s="898"/>
      <c r="IA113" s="73" t="e">
        <f>#REF!+HI113</f>
        <v>#REF!</v>
      </c>
      <c r="IB113" s="752"/>
      <c r="IC113" s="73"/>
      <c r="ID113" s="73"/>
      <c r="IE113" s="73"/>
      <c r="IF113" s="73"/>
    </row>
    <row r="114" spans="1:240 16328:16328" ht="15" customHeight="1">
      <c r="A114" s="676" t="s">
        <v>740</v>
      </c>
      <c r="B114" s="676"/>
      <c r="C114" s="39" t="s">
        <v>14</v>
      </c>
      <c r="D114" s="39" t="s">
        <v>92</v>
      </c>
      <c r="E114" s="39" t="s">
        <v>754</v>
      </c>
      <c r="F114" s="39"/>
      <c r="G114" s="39"/>
      <c r="H114" s="39"/>
      <c r="I114" s="41"/>
      <c r="J114" s="39"/>
      <c r="K114" s="39" t="s">
        <v>741</v>
      </c>
      <c r="L114" s="199" t="s">
        <v>742</v>
      </c>
      <c r="M114" s="129"/>
      <c r="N114" s="130"/>
      <c r="O114" s="131"/>
      <c r="P114" s="161">
        <v>30000</v>
      </c>
      <c r="Q114" s="161"/>
      <c r="R114" s="161"/>
      <c r="S114" s="161">
        <f t="shared" si="334"/>
        <v>0</v>
      </c>
      <c r="T114" s="161">
        <f t="shared" si="335"/>
        <v>0</v>
      </c>
      <c r="U114" s="167">
        <f t="shared" si="336"/>
        <v>0</v>
      </c>
      <c r="V114" s="167" t="e">
        <f t="shared" si="337"/>
        <v>#DIV/0!</v>
      </c>
      <c r="W114" s="167">
        <f t="shared" si="338"/>
        <v>0</v>
      </c>
      <c r="X114" s="161">
        <f t="shared" si="339"/>
        <v>666.66666666666663</v>
      </c>
      <c r="Y114" s="162"/>
      <c r="Z114" s="736">
        <f t="shared" si="340"/>
        <v>15</v>
      </c>
      <c r="AA114" s="162" t="s">
        <v>722</v>
      </c>
      <c r="AB114" s="162"/>
      <c r="AC114" s="163"/>
      <c r="AD114" s="39" t="s">
        <v>10</v>
      </c>
      <c r="AE114" s="674">
        <f t="shared" si="311"/>
        <v>45</v>
      </c>
      <c r="AF114" s="674">
        <f t="shared" si="312"/>
        <v>45</v>
      </c>
      <c r="AG114" s="50"/>
      <c r="AH114" s="39">
        <v>45</v>
      </c>
      <c r="AI114" s="50"/>
      <c r="AJ114" s="50"/>
      <c r="AK114" s="692"/>
      <c r="AL114" s="422"/>
      <c r="AM114" s="875">
        <f t="shared" si="313"/>
        <v>0</v>
      </c>
      <c r="AN114" s="10">
        <f t="shared" si="314"/>
        <v>0</v>
      </c>
      <c r="AO114" s="43"/>
      <c r="AP114" s="43"/>
      <c r="AQ114" s="43"/>
      <c r="AR114" s="61"/>
      <c r="AS114" s="61"/>
      <c r="AT114" s="61"/>
      <c r="AU114" s="61"/>
      <c r="AV114" s="61"/>
      <c r="AW114" s="43"/>
      <c r="AX114" s="59"/>
      <c r="AY114" s="61"/>
      <c r="AZ114" s="43"/>
      <c r="BA114" s="42"/>
      <c r="BB114" s="39"/>
      <c r="BC114" s="39"/>
      <c r="BD114" s="39"/>
      <c r="BE114" s="39"/>
      <c r="BF114" s="39"/>
      <c r="BG114" s="184"/>
      <c r="BH114" s="143"/>
      <c r="BI114" s="159"/>
      <c r="BJ114" s="75"/>
      <c r="BK114" s="867" t="s">
        <v>250</v>
      </c>
      <c r="BL114" s="125"/>
      <c r="BM114" s="158"/>
      <c r="BN114" s="1007">
        <f t="shared" si="308"/>
        <v>0</v>
      </c>
      <c r="BO114" s="954"/>
      <c r="BP114" s="125"/>
      <c r="BQ114" s="125"/>
      <c r="BR114" s="225"/>
      <c r="BS114" s="224">
        <f t="shared" si="345"/>
        <v>731</v>
      </c>
      <c r="BT114" s="605"/>
      <c r="BU114" s="224" t="str">
        <f t="shared" si="346"/>
        <v>oui</v>
      </c>
      <c r="BV114" s="784">
        <f t="shared" si="347"/>
        <v>-1543.3333333333333</v>
      </c>
      <c r="BW114" s="605">
        <f t="shared" si="348"/>
        <v>0</v>
      </c>
      <c r="BX114" s="605">
        <f t="shared" si="349"/>
        <v>0</v>
      </c>
      <c r="BY114" s="702"/>
      <c r="BZ114" s="708"/>
      <c r="CA114" s="703"/>
      <c r="CB114" s="703"/>
      <c r="CC114" s="703"/>
      <c r="CD114" s="699"/>
      <c r="CE114" s="699"/>
      <c r="CF114" s="699"/>
      <c r="CG114" s="699"/>
      <c r="CH114" s="699"/>
      <c r="CI114" s="699"/>
      <c r="CJ114" s="699"/>
      <c r="CK114" s="699"/>
      <c r="CL114" s="699"/>
      <c r="CM114" s="699"/>
      <c r="CN114" s="699"/>
      <c r="CO114" s="699"/>
      <c r="CP114" s="699"/>
      <c r="CQ114" s="488"/>
      <c r="CR114" s="490"/>
      <c r="CS114" s="490"/>
      <c r="CT114" s="492" t="str">
        <f t="shared" si="315"/>
        <v>0</v>
      </c>
      <c r="CU114" s="490"/>
      <c r="CV114" s="490"/>
      <c r="CW114" s="492" t="str">
        <f t="shared" si="316"/>
        <v>0</v>
      </c>
      <c r="CX114" s="490"/>
      <c r="CY114" s="490"/>
      <c r="CZ114" s="492" t="str">
        <f t="shared" si="317"/>
        <v>0</v>
      </c>
      <c r="DA114" s="490"/>
      <c r="DB114" s="490"/>
      <c r="DC114" s="492" t="str">
        <f t="shared" si="318"/>
        <v>0</v>
      </c>
      <c r="DD114" s="493"/>
      <c r="DE114" s="490"/>
      <c r="DF114" s="492" t="str">
        <f t="shared" si="319"/>
        <v>0</v>
      </c>
      <c r="DG114" s="438"/>
      <c r="DH114" s="494"/>
      <c r="DI114" s="479"/>
      <c r="DJ114" s="480"/>
      <c r="DK114" s="481"/>
      <c r="DL114" s="479"/>
      <c r="DM114" s="617">
        <v>45110</v>
      </c>
      <c r="DN114" s="326"/>
      <c r="DO114" s="432">
        <f t="shared" si="302"/>
        <v>1503.6666666666667</v>
      </c>
      <c r="DP114" s="481" t="str">
        <f t="shared" si="350"/>
        <v>0</v>
      </c>
      <c r="DQ114" s="618">
        <v>55</v>
      </c>
      <c r="DR114" s="188">
        <f t="shared" si="351"/>
        <v>58</v>
      </c>
      <c r="DS114" s="479"/>
      <c r="DT114" s="484">
        <f t="shared" ca="1" si="352"/>
        <v>43647</v>
      </c>
      <c r="DU114" s="481" t="str">
        <f t="shared" ca="1" si="353"/>
        <v>0</v>
      </c>
      <c r="DV114" s="479"/>
      <c r="DW114" s="497">
        <f t="shared" ca="1" si="354"/>
        <v>43647</v>
      </c>
      <c r="DX114" s="482" t="str">
        <f t="shared" ca="1" si="355"/>
        <v>0</v>
      </c>
      <c r="DY114" s="483"/>
      <c r="DZ114" s="497">
        <f t="shared" ca="1" si="356"/>
        <v>43647</v>
      </c>
      <c r="EA114" s="481" t="str">
        <f t="shared" ca="1" si="357"/>
        <v>0</v>
      </c>
      <c r="EB114" s="484">
        <v>43555</v>
      </c>
      <c r="EC114" s="484">
        <f t="shared" ca="1" si="358"/>
        <v>43647</v>
      </c>
      <c r="ED114" s="481">
        <f t="shared" ca="1" si="359"/>
        <v>92</v>
      </c>
      <c r="EE114" s="485"/>
      <c r="EF114" s="485"/>
      <c r="EG114" s="481" t="str">
        <f t="shared" si="360"/>
        <v>0</v>
      </c>
      <c r="EH114" s="484"/>
      <c r="EI114" s="484">
        <f t="shared" ca="1" si="361"/>
        <v>43647</v>
      </c>
      <c r="EJ114" s="481" t="str">
        <f t="shared" ca="1" si="362"/>
        <v>0</v>
      </c>
      <c r="EK114" s="484">
        <v>43632</v>
      </c>
      <c r="EL114" s="484">
        <f t="shared" ca="1" si="363"/>
        <v>43647</v>
      </c>
      <c r="EM114" s="481">
        <f t="shared" ca="1" si="364"/>
        <v>15</v>
      </c>
      <c r="EN114" s="484"/>
      <c r="EO114" s="484"/>
      <c r="EP114" s="484"/>
      <c r="EQ114" s="654">
        <f t="shared" si="365"/>
        <v>46786</v>
      </c>
      <c r="ER114" s="653">
        <f t="shared" si="366"/>
        <v>46876</v>
      </c>
      <c r="ES114" s="650">
        <f t="shared" si="367"/>
        <v>3</v>
      </c>
      <c r="ET114" s="904">
        <f t="shared" ca="1" si="306"/>
        <v>107.63333333333334</v>
      </c>
      <c r="EU114" s="653">
        <f t="shared" ca="1" si="320"/>
        <v>44378</v>
      </c>
      <c r="EV114" s="748"/>
      <c r="EW114" s="737"/>
      <c r="EX114" s="749">
        <f t="shared" si="368"/>
        <v>47001</v>
      </c>
      <c r="EY114" s="443"/>
      <c r="EZ114" s="747">
        <f t="shared" si="369"/>
        <v>46815</v>
      </c>
      <c r="FA114" s="653">
        <f t="shared" si="370"/>
        <v>47031</v>
      </c>
      <c r="FB114" s="518"/>
      <c r="FC114" s="647">
        <f t="shared" si="371"/>
        <v>7.2</v>
      </c>
      <c r="FD114" s="635"/>
      <c r="FE114" s="192">
        <f t="shared" si="372"/>
        <v>0</v>
      </c>
      <c r="FF114" s="91"/>
      <c r="FG114" s="502"/>
      <c r="FH114" s="502"/>
      <c r="FI114" s="502"/>
      <c r="FJ114" s="502"/>
      <c r="FK114" s="663"/>
      <c r="FL114" s="664" t="e">
        <f t="shared" si="373"/>
        <v>#DIV/0!</v>
      </c>
      <c r="FM114" s="499"/>
      <c r="FN114" s="511"/>
      <c r="FO114" s="504"/>
      <c r="FP114" s="504"/>
      <c r="FQ114" s="94"/>
      <c r="FR114" s="94"/>
      <c r="FS114" s="94"/>
      <c r="FT114" s="94"/>
      <c r="FU114" s="94"/>
      <c r="FV114" s="39"/>
      <c r="FW114" s="212">
        <f t="shared" si="374"/>
        <v>47241</v>
      </c>
      <c r="FX114" s="212"/>
      <c r="FY114" s="39"/>
      <c r="FZ114" s="39"/>
      <c r="GA114" s="39"/>
      <c r="GB114" s="39"/>
      <c r="GC114" s="39"/>
      <c r="GD114" s="39"/>
      <c r="GE114" s="39"/>
      <c r="GF114" s="39"/>
      <c r="GG114" s="39"/>
      <c r="GH114" s="39"/>
      <c r="GI114" s="39"/>
      <c r="GJ114" s="39"/>
      <c r="GK114" s="39"/>
      <c r="GL114" s="742"/>
      <c r="GM114" s="979">
        <f t="shared" si="341"/>
        <v>0</v>
      </c>
      <c r="GN114" s="772">
        <f t="shared" si="344"/>
        <v>0</v>
      </c>
      <c r="GO114" s="53">
        <f t="shared" si="375"/>
        <v>0</v>
      </c>
      <c r="GP114" s="898">
        <f t="shared" si="321"/>
        <v>0</v>
      </c>
      <c r="GQ114" s="35" t="e">
        <f t="shared" si="342"/>
        <v>#DIV/0!</v>
      </c>
      <c r="GR114" s="35" t="e">
        <f>#REF!/AE114</f>
        <v>#REF!</v>
      </c>
      <c r="GS114" s="53"/>
      <c r="GT114" s="577"/>
      <c r="GU114" s="35"/>
      <c r="GV114" s="53">
        <f t="shared" si="376"/>
        <v>0</v>
      </c>
      <c r="GW114" s="67"/>
      <c r="GX114" s="67"/>
      <c r="GY114" s="568">
        <f t="shared" si="377"/>
        <v>0</v>
      </c>
      <c r="GZ114" s="53"/>
      <c r="HA114" s="53"/>
      <c r="HB114" s="53"/>
      <c r="HC114" s="28" t="e">
        <f t="shared" si="382"/>
        <v>#DIV/0!</v>
      </c>
      <c r="HD114" s="53"/>
      <c r="HE114" s="53"/>
      <c r="HF114" s="53"/>
      <c r="HG114" s="35">
        <f t="shared" si="378"/>
        <v>0</v>
      </c>
      <c r="HH114" s="35">
        <f t="shared" si="379"/>
        <v>0</v>
      </c>
      <c r="HI114" s="70"/>
      <c r="HJ114" s="70"/>
      <c r="HK114" s="35" t="e">
        <f>(#REF!+#REF!+HJ114)/AE114</f>
        <v>#REF!</v>
      </c>
      <c r="HL114" s="70"/>
      <c r="HM114" s="35">
        <f t="shared" si="380"/>
        <v>0</v>
      </c>
      <c r="HN114" s="36" t="e">
        <f t="shared" si="381"/>
        <v>#DIV/0!</v>
      </c>
      <c r="HO114" s="70"/>
      <c r="HP114" s="70"/>
      <c r="HQ114" s="53"/>
      <c r="HR114" s="898"/>
      <c r="HS114" s="907" t="e">
        <f t="shared" si="325"/>
        <v>#DIV/0!</v>
      </c>
      <c r="HT114" s="898">
        <f t="shared" si="326"/>
        <v>0</v>
      </c>
      <c r="HU114" s="898">
        <f t="shared" ca="1" si="343"/>
        <v>0</v>
      </c>
      <c r="HV114" s="898"/>
      <c r="HW114" s="898"/>
      <c r="HX114" s="898"/>
      <c r="HY114" s="898"/>
      <c r="HZ114" s="898"/>
      <c r="IA114" s="73" t="e">
        <f>#REF!+HI114</f>
        <v>#REF!</v>
      </c>
      <c r="IB114" s="752"/>
      <c r="IC114" s="73"/>
      <c r="ID114" s="73"/>
      <c r="IE114" s="73"/>
      <c r="IF114" s="73"/>
    </row>
    <row r="115" spans="1:240 16328:16328" ht="15" customHeight="1">
      <c r="A115" s="74" t="s">
        <v>729</v>
      </c>
      <c r="B115" s="74"/>
      <c r="C115" s="39" t="s">
        <v>14</v>
      </c>
      <c r="D115" s="39" t="s">
        <v>92</v>
      </c>
      <c r="E115" s="39" t="s">
        <v>754</v>
      </c>
      <c r="F115" s="39"/>
      <c r="G115" s="39"/>
      <c r="H115" s="39"/>
      <c r="I115" s="41"/>
      <c r="J115" s="39"/>
      <c r="K115" s="39" t="s">
        <v>887</v>
      </c>
      <c r="L115" s="199" t="s">
        <v>730</v>
      </c>
      <c r="M115" s="129"/>
      <c r="N115" s="130"/>
      <c r="O115" s="131"/>
      <c r="P115" s="161">
        <v>4900</v>
      </c>
      <c r="Q115" s="161"/>
      <c r="R115" s="161"/>
      <c r="S115" s="161">
        <f t="shared" si="334"/>
        <v>0</v>
      </c>
      <c r="T115" s="161">
        <f t="shared" si="335"/>
        <v>0</v>
      </c>
      <c r="U115" s="167">
        <f t="shared" si="336"/>
        <v>0</v>
      </c>
      <c r="V115" s="167" t="e">
        <f t="shared" si="337"/>
        <v>#DIV/0!</v>
      </c>
      <c r="W115" s="167">
        <f t="shared" si="338"/>
        <v>0</v>
      </c>
      <c r="X115" s="161">
        <f t="shared" si="339"/>
        <v>163.33333333333334</v>
      </c>
      <c r="Y115" s="162"/>
      <c r="Z115" s="736">
        <f t="shared" si="340"/>
        <v>61.224489795918366</v>
      </c>
      <c r="AA115" s="162"/>
      <c r="AB115" s="162"/>
      <c r="AC115" s="163"/>
      <c r="AD115" s="39" t="s">
        <v>10</v>
      </c>
      <c r="AE115" s="674">
        <f t="shared" si="311"/>
        <v>30</v>
      </c>
      <c r="AF115" s="674">
        <f t="shared" si="312"/>
        <v>30</v>
      </c>
      <c r="AG115" s="50"/>
      <c r="AH115" s="39">
        <v>30</v>
      </c>
      <c r="AI115" s="50"/>
      <c r="AJ115" s="50"/>
      <c r="AK115" s="692"/>
      <c r="AL115" s="422"/>
      <c r="AM115" s="875">
        <f t="shared" si="313"/>
        <v>0</v>
      </c>
      <c r="AN115" s="10">
        <f t="shared" si="314"/>
        <v>0</v>
      </c>
      <c r="AO115" s="43"/>
      <c r="AP115" s="43"/>
      <c r="AQ115" s="43"/>
      <c r="AR115" s="61"/>
      <c r="AS115" s="61"/>
      <c r="AT115" s="61"/>
      <c r="AU115" s="61"/>
      <c r="AV115" s="61"/>
      <c r="AW115" s="43"/>
      <c r="AX115" s="59"/>
      <c r="AY115" s="61"/>
      <c r="AZ115" s="43"/>
      <c r="BA115" s="42"/>
      <c r="BB115" s="39"/>
      <c r="BC115" s="39"/>
      <c r="BD115" s="39"/>
      <c r="BE115" s="39"/>
      <c r="BF115" s="39"/>
      <c r="BG115" s="184"/>
      <c r="BH115" s="143"/>
      <c r="BI115" s="159"/>
      <c r="BJ115" s="75"/>
      <c r="BK115" s="867" t="s">
        <v>250</v>
      </c>
      <c r="BL115" s="125"/>
      <c r="BM115" s="158"/>
      <c r="BN115" s="1007">
        <f t="shared" si="308"/>
        <v>0</v>
      </c>
      <c r="BO115" s="954"/>
      <c r="BP115" s="125"/>
      <c r="BQ115" s="125"/>
      <c r="BR115" s="225"/>
      <c r="BS115" s="224">
        <f t="shared" si="345"/>
        <v>731</v>
      </c>
      <c r="BT115" s="605"/>
      <c r="BU115" s="224" t="str">
        <f t="shared" si="346"/>
        <v>oui</v>
      </c>
      <c r="BV115" s="784">
        <f t="shared" si="347"/>
        <v>-1544.4</v>
      </c>
      <c r="BW115" s="605">
        <f t="shared" si="348"/>
        <v>0</v>
      </c>
      <c r="BX115" s="605">
        <f t="shared" si="349"/>
        <v>0</v>
      </c>
      <c r="BY115" s="702"/>
      <c r="BZ115" s="708"/>
      <c r="CA115" s="703"/>
      <c r="CB115" s="703"/>
      <c r="CC115" s="703"/>
      <c r="CD115" s="699"/>
      <c r="CE115" s="699"/>
      <c r="CF115" s="699"/>
      <c r="CG115" s="699"/>
      <c r="CH115" s="699"/>
      <c r="CI115" s="699"/>
      <c r="CJ115" s="699"/>
      <c r="CK115" s="699"/>
      <c r="CL115" s="699"/>
      <c r="CM115" s="699"/>
      <c r="CN115" s="699"/>
      <c r="CO115" s="699"/>
      <c r="CP115" s="699"/>
      <c r="CQ115" s="488"/>
      <c r="CR115" s="490"/>
      <c r="CS115" s="490"/>
      <c r="CT115" s="492" t="str">
        <f t="shared" si="315"/>
        <v>0</v>
      </c>
      <c r="CU115" s="490"/>
      <c r="CV115" s="490"/>
      <c r="CW115" s="492" t="str">
        <f t="shared" si="316"/>
        <v>0</v>
      </c>
      <c r="CX115" s="490"/>
      <c r="CY115" s="490"/>
      <c r="CZ115" s="492" t="str">
        <f t="shared" si="317"/>
        <v>0</v>
      </c>
      <c r="DA115" s="490"/>
      <c r="DB115" s="490"/>
      <c r="DC115" s="492" t="str">
        <f t="shared" si="318"/>
        <v>0</v>
      </c>
      <c r="DD115" s="493"/>
      <c r="DE115" s="490"/>
      <c r="DF115" s="492" t="str">
        <f t="shared" si="319"/>
        <v>0</v>
      </c>
      <c r="DG115" s="438"/>
      <c r="DH115" s="494"/>
      <c r="DI115" s="479"/>
      <c r="DJ115" s="480"/>
      <c r="DK115" s="481"/>
      <c r="DL115" s="479"/>
      <c r="DM115" s="617">
        <v>45111</v>
      </c>
      <c r="DN115" s="326"/>
      <c r="DO115" s="432">
        <f t="shared" si="302"/>
        <v>1503.7</v>
      </c>
      <c r="DP115" s="481" t="str">
        <f t="shared" si="350"/>
        <v>0</v>
      </c>
      <c r="DQ115" s="618">
        <v>56</v>
      </c>
      <c r="DR115" s="188">
        <f t="shared" si="351"/>
        <v>59</v>
      </c>
      <c r="DS115" s="479"/>
      <c r="DT115" s="484">
        <f t="shared" ca="1" si="352"/>
        <v>43647</v>
      </c>
      <c r="DU115" s="481" t="str">
        <f t="shared" ca="1" si="353"/>
        <v>0</v>
      </c>
      <c r="DV115" s="479"/>
      <c r="DW115" s="497">
        <f t="shared" ca="1" si="354"/>
        <v>43647</v>
      </c>
      <c r="DX115" s="482" t="str">
        <f t="shared" ca="1" si="355"/>
        <v>0</v>
      </c>
      <c r="DY115" s="483"/>
      <c r="DZ115" s="497">
        <f t="shared" ca="1" si="356"/>
        <v>43647</v>
      </c>
      <c r="EA115" s="481" t="str">
        <f t="shared" ca="1" si="357"/>
        <v>0</v>
      </c>
      <c r="EB115" s="484">
        <v>43556</v>
      </c>
      <c r="EC115" s="484">
        <f t="shared" ca="1" si="358"/>
        <v>43647</v>
      </c>
      <c r="ED115" s="481">
        <f t="shared" ca="1" si="359"/>
        <v>91</v>
      </c>
      <c r="EE115" s="485"/>
      <c r="EF115" s="485"/>
      <c r="EG115" s="481" t="str">
        <f t="shared" si="360"/>
        <v>0</v>
      </c>
      <c r="EH115" s="484"/>
      <c r="EI115" s="484">
        <f t="shared" ca="1" si="361"/>
        <v>43647</v>
      </c>
      <c r="EJ115" s="481" t="str">
        <f t="shared" ca="1" si="362"/>
        <v>0</v>
      </c>
      <c r="EK115" s="484">
        <v>43633</v>
      </c>
      <c r="EL115" s="484">
        <f t="shared" ca="1" si="363"/>
        <v>43647</v>
      </c>
      <c r="EM115" s="481">
        <f t="shared" ca="1" si="364"/>
        <v>14</v>
      </c>
      <c r="EN115" s="484"/>
      <c r="EO115" s="484"/>
      <c r="EP115" s="484"/>
      <c r="EQ115" s="654">
        <f t="shared" si="365"/>
        <v>46816</v>
      </c>
      <c r="ER115" s="653">
        <f t="shared" si="366"/>
        <v>46908</v>
      </c>
      <c r="ES115" s="650">
        <f t="shared" si="367"/>
        <v>3.0666666666666669</v>
      </c>
      <c r="ET115" s="904">
        <f t="shared" ca="1" si="306"/>
        <v>108.7</v>
      </c>
      <c r="EU115" s="653">
        <f t="shared" ca="1" si="320"/>
        <v>44378</v>
      </c>
      <c r="EV115" s="748"/>
      <c r="EW115" s="737"/>
      <c r="EX115" s="749">
        <f t="shared" si="368"/>
        <v>47032</v>
      </c>
      <c r="EY115" s="443"/>
      <c r="EZ115" s="747">
        <f t="shared" si="369"/>
        <v>46847</v>
      </c>
      <c r="FA115" s="653">
        <f t="shared" si="370"/>
        <v>47063</v>
      </c>
      <c r="FB115" s="518"/>
      <c r="FC115" s="647">
        <f t="shared" si="371"/>
        <v>7.2</v>
      </c>
      <c r="FD115" s="635"/>
      <c r="FE115" s="192">
        <f t="shared" si="372"/>
        <v>0</v>
      </c>
      <c r="FF115" s="91"/>
      <c r="FG115" s="502"/>
      <c r="FH115" s="502"/>
      <c r="FI115" s="502"/>
      <c r="FJ115" s="502"/>
      <c r="FK115" s="663"/>
      <c r="FL115" s="664" t="e">
        <f t="shared" si="373"/>
        <v>#DIV/0!</v>
      </c>
      <c r="FM115" s="499"/>
      <c r="FN115" s="511"/>
      <c r="FO115" s="504"/>
      <c r="FP115" s="504"/>
      <c r="FQ115" s="94"/>
      <c r="FR115" s="94"/>
      <c r="FS115" s="94"/>
      <c r="FT115" s="94"/>
      <c r="FU115" s="94"/>
      <c r="FV115" s="39"/>
      <c r="FW115" s="212">
        <f t="shared" si="374"/>
        <v>47273</v>
      </c>
      <c r="FX115" s="212"/>
      <c r="FY115" s="39"/>
      <c r="FZ115" s="39"/>
      <c r="GA115" s="39"/>
      <c r="GB115" s="39"/>
      <c r="GC115" s="39"/>
      <c r="GD115" s="39"/>
      <c r="GE115" s="39"/>
      <c r="GF115" s="39"/>
      <c r="GG115" s="39"/>
      <c r="GH115" s="39"/>
      <c r="GI115" s="39"/>
      <c r="GJ115" s="39"/>
      <c r="GK115" s="39"/>
      <c r="GL115" s="742"/>
      <c r="GM115" s="979">
        <f t="shared" si="341"/>
        <v>0</v>
      </c>
      <c r="GN115" s="772">
        <f t="shared" si="344"/>
        <v>0</v>
      </c>
      <c r="GO115" s="53">
        <f t="shared" si="375"/>
        <v>0</v>
      </c>
      <c r="GP115" s="898">
        <f t="shared" si="321"/>
        <v>0</v>
      </c>
      <c r="GQ115" s="35" t="e">
        <f t="shared" si="342"/>
        <v>#DIV/0!</v>
      </c>
      <c r="GR115" s="35" t="e">
        <f>#REF!/AE115</f>
        <v>#REF!</v>
      </c>
      <c r="GS115" s="53"/>
      <c r="GT115" s="577"/>
      <c r="GU115" s="35"/>
      <c r="GV115" s="53">
        <f t="shared" si="376"/>
        <v>0</v>
      </c>
      <c r="GW115" s="67"/>
      <c r="GX115" s="67"/>
      <c r="GY115" s="568">
        <f t="shared" si="377"/>
        <v>0</v>
      </c>
      <c r="GZ115" s="53"/>
      <c r="HA115" s="53"/>
      <c r="HB115" s="53"/>
      <c r="HC115" s="28" t="e">
        <f t="shared" si="382"/>
        <v>#DIV/0!</v>
      </c>
      <c r="HD115" s="53"/>
      <c r="HE115" s="53"/>
      <c r="HF115" s="53"/>
      <c r="HG115" s="35">
        <f t="shared" si="378"/>
        <v>0</v>
      </c>
      <c r="HH115" s="35">
        <f t="shared" si="379"/>
        <v>0</v>
      </c>
      <c r="HI115" s="70"/>
      <c r="HJ115" s="70"/>
      <c r="HK115" s="35" t="e">
        <f>(#REF!+#REF!+HJ115)/AE115</f>
        <v>#REF!</v>
      </c>
      <c r="HL115" s="70"/>
      <c r="HM115" s="35">
        <f t="shared" si="380"/>
        <v>0</v>
      </c>
      <c r="HN115" s="36" t="e">
        <f t="shared" si="381"/>
        <v>#DIV/0!</v>
      </c>
      <c r="HO115" s="70"/>
      <c r="HP115" s="70"/>
      <c r="HQ115" s="53"/>
      <c r="HR115" s="898"/>
      <c r="HS115" s="907" t="e">
        <f t="shared" si="325"/>
        <v>#DIV/0!</v>
      </c>
      <c r="HT115" s="898">
        <f t="shared" si="326"/>
        <v>0</v>
      </c>
      <c r="HU115" s="898">
        <f t="shared" ca="1" si="343"/>
        <v>0</v>
      </c>
      <c r="HV115" s="898"/>
      <c r="HW115" s="898"/>
      <c r="HX115" s="898"/>
      <c r="HY115" s="898"/>
      <c r="HZ115" s="898"/>
      <c r="IA115" s="73" t="e">
        <f>#REF!+HI115</f>
        <v>#REF!</v>
      </c>
      <c r="IB115" s="752"/>
      <c r="IC115" s="73"/>
      <c r="ID115" s="73"/>
      <c r="IE115" s="73"/>
      <c r="IF115" s="73"/>
    </row>
    <row r="116" spans="1:240 16328:16328" ht="15" customHeight="1">
      <c r="A116" s="676" t="s">
        <v>731</v>
      </c>
      <c r="B116" s="676"/>
      <c r="C116" s="39" t="s">
        <v>14</v>
      </c>
      <c r="D116" s="39" t="s">
        <v>92</v>
      </c>
      <c r="E116" s="39" t="s">
        <v>754</v>
      </c>
      <c r="F116" s="39"/>
      <c r="G116" s="39"/>
      <c r="H116" s="39"/>
      <c r="I116" s="41"/>
      <c r="J116" s="39"/>
      <c r="K116" s="39" t="s">
        <v>732</v>
      </c>
      <c r="L116" s="199" t="s">
        <v>733</v>
      </c>
      <c r="M116" s="129"/>
      <c r="N116" s="130"/>
      <c r="O116" s="131"/>
      <c r="P116" s="161">
        <v>5900</v>
      </c>
      <c r="Q116" s="161"/>
      <c r="R116" s="161"/>
      <c r="S116" s="161">
        <f t="shared" si="334"/>
        <v>0</v>
      </c>
      <c r="T116" s="161">
        <f t="shared" si="335"/>
        <v>0</v>
      </c>
      <c r="U116" s="167">
        <f t="shared" si="336"/>
        <v>0</v>
      </c>
      <c r="V116" s="167" t="e">
        <f t="shared" si="337"/>
        <v>#DIV/0!</v>
      </c>
      <c r="W116" s="167">
        <f t="shared" si="338"/>
        <v>0</v>
      </c>
      <c r="X116" s="161">
        <f t="shared" si="339"/>
        <v>393.33333333333331</v>
      </c>
      <c r="Y116" s="162"/>
      <c r="Z116" s="736">
        <f t="shared" si="340"/>
        <v>25.423728813559322</v>
      </c>
      <c r="AA116" s="162" t="s">
        <v>734</v>
      </c>
      <c r="AB116" s="162"/>
      <c r="AC116" s="163"/>
      <c r="AD116" s="39" t="s">
        <v>10</v>
      </c>
      <c r="AE116" s="674">
        <f t="shared" si="311"/>
        <v>15</v>
      </c>
      <c r="AF116" s="674">
        <f t="shared" si="312"/>
        <v>15</v>
      </c>
      <c r="AG116" s="50"/>
      <c r="AH116" s="39">
        <v>15</v>
      </c>
      <c r="AI116" s="50"/>
      <c r="AJ116" s="50"/>
      <c r="AK116" s="692"/>
      <c r="AL116" s="422"/>
      <c r="AM116" s="875">
        <f t="shared" si="313"/>
        <v>0</v>
      </c>
      <c r="AN116" s="10">
        <f t="shared" si="314"/>
        <v>0</v>
      </c>
      <c r="AO116" s="43"/>
      <c r="AP116" s="43"/>
      <c r="AQ116" s="43"/>
      <c r="AR116" s="61"/>
      <c r="AS116" s="61"/>
      <c r="AT116" s="61"/>
      <c r="AU116" s="61"/>
      <c r="AV116" s="61"/>
      <c r="AW116" s="43"/>
      <c r="AX116" s="59"/>
      <c r="AY116" s="61"/>
      <c r="AZ116" s="43"/>
      <c r="BA116" s="42"/>
      <c r="BB116" s="39"/>
      <c r="BC116" s="39"/>
      <c r="BD116" s="39"/>
      <c r="BE116" s="39"/>
      <c r="BF116" s="39"/>
      <c r="BG116" s="184"/>
      <c r="BH116" s="143"/>
      <c r="BI116" s="159"/>
      <c r="BJ116" s="75"/>
      <c r="BK116" s="867" t="s">
        <v>250</v>
      </c>
      <c r="BL116" s="125"/>
      <c r="BM116" s="158"/>
      <c r="BN116" s="1007">
        <f t="shared" si="308"/>
        <v>0</v>
      </c>
      <c r="BO116" s="954"/>
      <c r="BP116" s="125"/>
      <c r="BQ116" s="125"/>
      <c r="BR116" s="225"/>
      <c r="BS116" s="224">
        <f t="shared" si="345"/>
        <v>731</v>
      </c>
      <c r="BT116" s="605"/>
      <c r="BU116" s="224" t="str">
        <f t="shared" si="346"/>
        <v>oui</v>
      </c>
      <c r="BV116" s="784">
        <f t="shared" si="347"/>
        <v>-1545.4333333333334</v>
      </c>
      <c r="BW116" s="605">
        <f t="shared" si="348"/>
        <v>0</v>
      </c>
      <c r="BX116" s="605">
        <f t="shared" si="349"/>
        <v>0</v>
      </c>
      <c r="BY116" s="702"/>
      <c r="BZ116" s="708"/>
      <c r="CA116" s="703"/>
      <c r="CB116" s="703"/>
      <c r="CC116" s="703"/>
      <c r="CD116" s="699"/>
      <c r="CE116" s="699"/>
      <c r="CF116" s="699"/>
      <c r="CG116" s="699"/>
      <c r="CH116" s="699"/>
      <c r="CI116" s="699"/>
      <c r="CJ116" s="699"/>
      <c r="CK116" s="699"/>
      <c r="CL116" s="699"/>
      <c r="CM116" s="699"/>
      <c r="CN116" s="699"/>
      <c r="CO116" s="699"/>
      <c r="CP116" s="699"/>
      <c r="CQ116" s="488"/>
      <c r="CR116" s="490"/>
      <c r="CS116" s="490"/>
      <c r="CT116" s="492" t="str">
        <f t="shared" si="315"/>
        <v>0</v>
      </c>
      <c r="CU116" s="490"/>
      <c r="CV116" s="490"/>
      <c r="CW116" s="492" t="str">
        <f t="shared" si="316"/>
        <v>0</v>
      </c>
      <c r="CX116" s="490"/>
      <c r="CY116" s="490"/>
      <c r="CZ116" s="492" t="str">
        <f t="shared" si="317"/>
        <v>0</v>
      </c>
      <c r="DA116" s="490"/>
      <c r="DB116" s="490"/>
      <c r="DC116" s="492" t="str">
        <f t="shared" si="318"/>
        <v>0</v>
      </c>
      <c r="DD116" s="493"/>
      <c r="DE116" s="490"/>
      <c r="DF116" s="492" t="str">
        <f t="shared" si="319"/>
        <v>0</v>
      </c>
      <c r="DG116" s="438"/>
      <c r="DH116" s="494"/>
      <c r="DI116" s="479"/>
      <c r="DJ116" s="480"/>
      <c r="DK116" s="481"/>
      <c r="DL116" s="479"/>
      <c r="DM116" s="617">
        <v>45112</v>
      </c>
      <c r="DN116" s="326"/>
      <c r="DO116" s="432">
        <f t="shared" si="302"/>
        <v>1503.7333333333333</v>
      </c>
      <c r="DP116" s="481" t="str">
        <f t="shared" si="350"/>
        <v>0</v>
      </c>
      <c r="DQ116" s="618">
        <v>57</v>
      </c>
      <c r="DR116" s="188">
        <f t="shared" si="351"/>
        <v>60</v>
      </c>
      <c r="DS116" s="479"/>
      <c r="DT116" s="484">
        <f t="shared" ca="1" si="352"/>
        <v>43647</v>
      </c>
      <c r="DU116" s="481" t="str">
        <f t="shared" ca="1" si="353"/>
        <v>0</v>
      </c>
      <c r="DV116" s="479"/>
      <c r="DW116" s="497">
        <f t="shared" ca="1" si="354"/>
        <v>43647</v>
      </c>
      <c r="DX116" s="482" t="str">
        <f t="shared" ca="1" si="355"/>
        <v>0</v>
      </c>
      <c r="DY116" s="483"/>
      <c r="DZ116" s="497">
        <f t="shared" ca="1" si="356"/>
        <v>43647</v>
      </c>
      <c r="EA116" s="481" t="str">
        <f t="shared" ca="1" si="357"/>
        <v>0</v>
      </c>
      <c r="EB116" s="484">
        <v>43557</v>
      </c>
      <c r="EC116" s="484">
        <f t="shared" ca="1" si="358"/>
        <v>43647</v>
      </c>
      <c r="ED116" s="481">
        <f t="shared" ca="1" si="359"/>
        <v>90</v>
      </c>
      <c r="EE116" s="485"/>
      <c r="EF116" s="485"/>
      <c r="EG116" s="481" t="str">
        <f t="shared" si="360"/>
        <v>0</v>
      </c>
      <c r="EH116" s="484"/>
      <c r="EI116" s="484">
        <f t="shared" ca="1" si="361"/>
        <v>43647</v>
      </c>
      <c r="EJ116" s="481" t="str">
        <f t="shared" ca="1" si="362"/>
        <v>0</v>
      </c>
      <c r="EK116" s="484">
        <v>43634</v>
      </c>
      <c r="EL116" s="484">
        <f t="shared" ca="1" si="363"/>
        <v>43647</v>
      </c>
      <c r="EM116" s="481">
        <f t="shared" ca="1" si="364"/>
        <v>13</v>
      </c>
      <c r="EN116" s="484"/>
      <c r="EO116" s="484"/>
      <c r="EP116" s="484"/>
      <c r="EQ116" s="654">
        <f t="shared" si="365"/>
        <v>46848</v>
      </c>
      <c r="ER116" s="653">
        <f t="shared" si="366"/>
        <v>46939</v>
      </c>
      <c r="ES116" s="650">
        <f t="shared" si="367"/>
        <v>3.0333333333333332</v>
      </c>
      <c r="ET116" s="904">
        <f t="shared" ca="1" si="306"/>
        <v>109.73333333333333</v>
      </c>
      <c r="EU116" s="653">
        <f t="shared" ca="1" si="320"/>
        <v>44378</v>
      </c>
      <c r="EV116" s="748"/>
      <c r="EW116" s="737"/>
      <c r="EX116" s="749">
        <f t="shared" si="368"/>
        <v>47064</v>
      </c>
      <c r="EY116" s="443"/>
      <c r="EZ116" s="747">
        <f t="shared" si="369"/>
        <v>46878</v>
      </c>
      <c r="FA116" s="653">
        <f t="shared" si="370"/>
        <v>47094</v>
      </c>
      <c r="FB116" s="518"/>
      <c r="FC116" s="647">
        <f t="shared" si="371"/>
        <v>7.2</v>
      </c>
      <c r="FD116" s="635"/>
      <c r="FE116" s="192">
        <f t="shared" si="372"/>
        <v>0</v>
      </c>
      <c r="FF116" s="91"/>
      <c r="FG116" s="502"/>
      <c r="FH116" s="502"/>
      <c r="FI116" s="502"/>
      <c r="FJ116" s="502"/>
      <c r="FK116" s="663"/>
      <c r="FL116" s="664" t="e">
        <f t="shared" si="373"/>
        <v>#DIV/0!</v>
      </c>
      <c r="FM116" s="499"/>
      <c r="FN116" s="511"/>
      <c r="FO116" s="504"/>
      <c r="FP116" s="504"/>
      <c r="FQ116" s="94"/>
      <c r="FR116" s="94"/>
      <c r="FS116" s="94"/>
      <c r="FT116" s="94"/>
      <c r="FU116" s="94"/>
      <c r="FV116" s="39"/>
      <c r="FW116" s="212">
        <f t="shared" si="374"/>
        <v>47304</v>
      </c>
      <c r="FX116" s="212"/>
      <c r="FY116" s="39"/>
      <c r="FZ116" s="39"/>
      <c r="GA116" s="39"/>
      <c r="GB116" s="39"/>
      <c r="GC116" s="39"/>
      <c r="GD116" s="39"/>
      <c r="GE116" s="39"/>
      <c r="GF116" s="39"/>
      <c r="GG116" s="39"/>
      <c r="GH116" s="39"/>
      <c r="GI116" s="39"/>
      <c r="GJ116" s="39"/>
      <c r="GK116" s="39"/>
      <c r="GL116" s="742"/>
      <c r="GM116" s="979">
        <f t="shared" si="341"/>
        <v>0</v>
      </c>
      <c r="GN116" s="772">
        <f t="shared" si="344"/>
        <v>0</v>
      </c>
      <c r="GO116" s="53">
        <f t="shared" si="375"/>
        <v>0</v>
      </c>
      <c r="GP116" s="898">
        <f t="shared" si="321"/>
        <v>0</v>
      </c>
      <c r="GQ116" s="35" t="e">
        <f t="shared" si="342"/>
        <v>#DIV/0!</v>
      </c>
      <c r="GR116" s="35" t="e">
        <f>#REF!/AE116</f>
        <v>#REF!</v>
      </c>
      <c r="GS116" s="53"/>
      <c r="GT116" s="577"/>
      <c r="GU116" s="35"/>
      <c r="GV116" s="53">
        <f t="shared" si="376"/>
        <v>0</v>
      </c>
      <c r="GW116" s="67"/>
      <c r="GX116" s="67"/>
      <c r="GY116" s="568">
        <f t="shared" si="377"/>
        <v>0</v>
      </c>
      <c r="GZ116" s="53"/>
      <c r="HA116" s="53"/>
      <c r="HB116" s="53"/>
      <c r="HC116" s="68" t="e">
        <f t="shared" si="382"/>
        <v>#DIV/0!</v>
      </c>
      <c r="HD116" s="53"/>
      <c r="HE116" s="53"/>
      <c r="HF116" s="53"/>
      <c r="HG116" s="35">
        <f t="shared" si="378"/>
        <v>0</v>
      </c>
      <c r="HH116" s="35">
        <f t="shared" si="379"/>
        <v>0</v>
      </c>
      <c r="HI116" s="70"/>
      <c r="HJ116" s="70"/>
      <c r="HK116" s="35" t="e">
        <f>(#REF!+#REF!+HJ116)/AE116</f>
        <v>#REF!</v>
      </c>
      <c r="HL116" s="70"/>
      <c r="HM116" s="35">
        <f t="shared" si="380"/>
        <v>0</v>
      </c>
      <c r="HN116" s="36" t="e">
        <f t="shared" si="381"/>
        <v>#DIV/0!</v>
      </c>
      <c r="HO116" s="70"/>
      <c r="HP116" s="70"/>
      <c r="HQ116" s="53"/>
      <c r="HR116" s="898"/>
      <c r="HS116" s="907" t="e">
        <f t="shared" si="325"/>
        <v>#DIV/0!</v>
      </c>
      <c r="HT116" s="898">
        <f t="shared" si="326"/>
        <v>0</v>
      </c>
      <c r="HU116" s="898">
        <f t="shared" ca="1" si="343"/>
        <v>0</v>
      </c>
      <c r="HV116" s="898"/>
      <c r="HW116" s="898"/>
      <c r="HX116" s="898"/>
      <c r="HY116" s="898"/>
      <c r="HZ116" s="898"/>
      <c r="IA116" s="73" t="e">
        <f>#REF!+HI116</f>
        <v>#REF!</v>
      </c>
      <c r="IB116" s="752"/>
      <c r="IC116" s="73"/>
      <c r="ID116" s="73"/>
      <c r="IE116" s="73"/>
      <c r="IF116" s="73"/>
    </row>
    <row r="117" spans="1:240 16328:16328" ht="15" customHeight="1">
      <c r="A117" s="74" t="s">
        <v>726</v>
      </c>
      <c r="B117" s="74"/>
      <c r="C117" s="39" t="s">
        <v>14</v>
      </c>
      <c r="D117" s="39" t="s">
        <v>92</v>
      </c>
      <c r="E117" s="39" t="s">
        <v>754</v>
      </c>
      <c r="F117" s="39"/>
      <c r="G117" s="39"/>
      <c r="H117" s="39"/>
      <c r="I117" s="41"/>
      <c r="J117" s="39"/>
      <c r="K117" s="39" t="s">
        <v>727</v>
      </c>
      <c r="L117" s="199" t="s">
        <v>728</v>
      </c>
      <c r="M117" s="129"/>
      <c r="N117" s="130"/>
      <c r="O117" s="131"/>
      <c r="P117" s="161">
        <v>5300</v>
      </c>
      <c r="Q117" s="161"/>
      <c r="R117" s="161"/>
      <c r="S117" s="161">
        <f t="shared" si="334"/>
        <v>0</v>
      </c>
      <c r="T117" s="161">
        <f t="shared" si="335"/>
        <v>0</v>
      </c>
      <c r="U117" s="167">
        <f t="shared" si="336"/>
        <v>0</v>
      </c>
      <c r="V117" s="167" t="e">
        <f t="shared" si="337"/>
        <v>#DIV/0!</v>
      </c>
      <c r="W117" s="167">
        <f t="shared" si="338"/>
        <v>0</v>
      </c>
      <c r="X117" s="161">
        <f t="shared" si="339"/>
        <v>151.42857142857142</v>
      </c>
      <c r="Y117" s="162"/>
      <c r="Z117" s="736">
        <f t="shared" si="340"/>
        <v>66.037735849056602</v>
      </c>
      <c r="AA117" s="162"/>
      <c r="AB117" s="162"/>
      <c r="AC117" s="163"/>
      <c r="AD117" s="39" t="s">
        <v>10</v>
      </c>
      <c r="AE117" s="674">
        <f t="shared" si="311"/>
        <v>35</v>
      </c>
      <c r="AF117" s="674">
        <f t="shared" si="312"/>
        <v>35</v>
      </c>
      <c r="AG117" s="50"/>
      <c r="AH117" s="39">
        <v>35</v>
      </c>
      <c r="AI117" s="50"/>
      <c r="AJ117" s="50"/>
      <c r="AK117" s="692"/>
      <c r="AL117" s="422"/>
      <c r="AM117" s="875">
        <f t="shared" si="313"/>
        <v>0</v>
      </c>
      <c r="AN117" s="10">
        <f t="shared" si="314"/>
        <v>0</v>
      </c>
      <c r="AO117" s="43"/>
      <c r="AP117" s="43"/>
      <c r="AQ117" s="43"/>
      <c r="AR117" s="61"/>
      <c r="AS117" s="61"/>
      <c r="AT117" s="61"/>
      <c r="AU117" s="61"/>
      <c r="AV117" s="61"/>
      <c r="AW117" s="43"/>
      <c r="AX117" s="59"/>
      <c r="AY117" s="61"/>
      <c r="AZ117" s="43"/>
      <c r="BA117" s="42"/>
      <c r="BB117" s="39"/>
      <c r="BC117" s="39"/>
      <c r="BD117" s="39"/>
      <c r="BE117" s="39"/>
      <c r="BF117" s="39"/>
      <c r="BG117" s="184"/>
      <c r="BH117" s="143"/>
      <c r="BI117" s="159"/>
      <c r="BJ117" s="75"/>
      <c r="BK117" s="867" t="s">
        <v>250</v>
      </c>
      <c r="BL117" s="125"/>
      <c r="BM117" s="158"/>
      <c r="BN117" s="1007">
        <f t="shared" si="308"/>
        <v>0</v>
      </c>
      <c r="BO117" s="954"/>
      <c r="BP117" s="125"/>
      <c r="BQ117" s="125"/>
      <c r="BR117" s="225"/>
      <c r="BS117" s="224">
        <f t="shared" si="345"/>
        <v>731</v>
      </c>
      <c r="BT117" s="605"/>
      <c r="BU117" s="224" t="str">
        <f t="shared" si="346"/>
        <v>oui</v>
      </c>
      <c r="BV117" s="784">
        <f t="shared" si="347"/>
        <v>-1546.5333333333333</v>
      </c>
      <c r="BW117" s="605">
        <f t="shared" si="348"/>
        <v>0</v>
      </c>
      <c r="BX117" s="605">
        <f t="shared" si="349"/>
        <v>0</v>
      </c>
      <c r="BY117" s="702"/>
      <c r="BZ117" s="708"/>
      <c r="CA117" s="703"/>
      <c r="CB117" s="703"/>
      <c r="CC117" s="703"/>
      <c r="CD117" s="699"/>
      <c r="CE117" s="699"/>
      <c r="CF117" s="699"/>
      <c r="CG117" s="699"/>
      <c r="CH117" s="699"/>
      <c r="CI117" s="699"/>
      <c r="CJ117" s="699"/>
      <c r="CK117" s="699"/>
      <c r="CL117" s="699"/>
      <c r="CM117" s="699"/>
      <c r="CN117" s="699"/>
      <c r="CO117" s="699"/>
      <c r="CP117" s="699"/>
      <c r="CQ117" s="488"/>
      <c r="CR117" s="490"/>
      <c r="CS117" s="490"/>
      <c r="CT117" s="492" t="str">
        <f t="shared" si="315"/>
        <v>0</v>
      </c>
      <c r="CU117" s="490"/>
      <c r="CV117" s="490"/>
      <c r="CW117" s="492" t="str">
        <f t="shared" si="316"/>
        <v>0</v>
      </c>
      <c r="CX117" s="490"/>
      <c r="CY117" s="490"/>
      <c r="CZ117" s="492" t="str">
        <f t="shared" si="317"/>
        <v>0</v>
      </c>
      <c r="DA117" s="490"/>
      <c r="DB117" s="490"/>
      <c r="DC117" s="492" t="str">
        <f t="shared" si="318"/>
        <v>0</v>
      </c>
      <c r="DD117" s="493"/>
      <c r="DE117" s="490"/>
      <c r="DF117" s="492" t="str">
        <f t="shared" si="319"/>
        <v>0</v>
      </c>
      <c r="DG117" s="438"/>
      <c r="DH117" s="494"/>
      <c r="DI117" s="479"/>
      <c r="DJ117" s="480"/>
      <c r="DK117" s="481"/>
      <c r="DL117" s="479"/>
      <c r="DM117" s="617">
        <v>45114</v>
      </c>
      <c r="DN117" s="326"/>
      <c r="DO117" s="432">
        <f t="shared" si="302"/>
        <v>1503.8</v>
      </c>
      <c r="DP117" s="481" t="str">
        <f t="shared" si="350"/>
        <v>0</v>
      </c>
      <c r="DQ117" s="618">
        <v>58</v>
      </c>
      <c r="DR117" s="188">
        <f t="shared" si="351"/>
        <v>61</v>
      </c>
      <c r="DS117" s="479"/>
      <c r="DT117" s="484">
        <f t="shared" ca="1" si="352"/>
        <v>43647</v>
      </c>
      <c r="DU117" s="481" t="str">
        <f t="shared" ca="1" si="353"/>
        <v>0</v>
      </c>
      <c r="DV117" s="479"/>
      <c r="DW117" s="497">
        <f t="shared" ca="1" si="354"/>
        <v>43647</v>
      </c>
      <c r="DX117" s="482" t="str">
        <f t="shared" ca="1" si="355"/>
        <v>0</v>
      </c>
      <c r="DY117" s="483"/>
      <c r="DZ117" s="497">
        <f t="shared" ca="1" si="356"/>
        <v>43647</v>
      </c>
      <c r="EA117" s="481" t="str">
        <f t="shared" ca="1" si="357"/>
        <v>0</v>
      </c>
      <c r="EB117" s="484">
        <v>43558</v>
      </c>
      <c r="EC117" s="484">
        <f t="shared" ca="1" si="358"/>
        <v>43647</v>
      </c>
      <c r="ED117" s="481">
        <f t="shared" ca="1" si="359"/>
        <v>89</v>
      </c>
      <c r="EE117" s="485"/>
      <c r="EF117" s="485"/>
      <c r="EG117" s="481" t="str">
        <f t="shared" si="360"/>
        <v>0</v>
      </c>
      <c r="EH117" s="484"/>
      <c r="EI117" s="484">
        <f t="shared" ca="1" si="361"/>
        <v>43647</v>
      </c>
      <c r="EJ117" s="481" t="str">
        <f t="shared" ca="1" si="362"/>
        <v>0</v>
      </c>
      <c r="EK117" s="484">
        <v>43635</v>
      </c>
      <c r="EL117" s="484">
        <f t="shared" ca="1" si="363"/>
        <v>43647</v>
      </c>
      <c r="EM117" s="481">
        <f t="shared" ca="1" si="364"/>
        <v>12</v>
      </c>
      <c r="EN117" s="484"/>
      <c r="EO117" s="484"/>
      <c r="EP117" s="484"/>
      <c r="EQ117" s="654">
        <f t="shared" si="365"/>
        <v>46880</v>
      </c>
      <c r="ER117" s="653">
        <f t="shared" si="366"/>
        <v>46972</v>
      </c>
      <c r="ES117" s="650">
        <f t="shared" si="367"/>
        <v>3.0666666666666669</v>
      </c>
      <c r="ET117" s="904">
        <f t="shared" ca="1" si="306"/>
        <v>110.83333333333333</v>
      </c>
      <c r="EU117" s="653">
        <f t="shared" ca="1" si="320"/>
        <v>44378</v>
      </c>
      <c r="EV117" s="748"/>
      <c r="EW117" s="737"/>
      <c r="EX117" s="749">
        <f t="shared" si="368"/>
        <v>47096</v>
      </c>
      <c r="EY117" s="443"/>
      <c r="EZ117" s="747">
        <f t="shared" si="369"/>
        <v>46911</v>
      </c>
      <c r="FA117" s="653">
        <f t="shared" si="370"/>
        <v>47127</v>
      </c>
      <c r="FB117" s="518"/>
      <c r="FC117" s="647">
        <f t="shared" si="371"/>
        <v>7.2</v>
      </c>
      <c r="FD117" s="635"/>
      <c r="FE117" s="192">
        <f t="shared" si="372"/>
        <v>0</v>
      </c>
      <c r="FF117" s="91"/>
      <c r="FG117" s="502"/>
      <c r="FH117" s="502"/>
      <c r="FI117" s="502"/>
      <c r="FJ117" s="502"/>
      <c r="FK117" s="663"/>
      <c r="FL117" s="664" t="e">
        <f t="shared" si="373"/>
        <v>#DIV/0!</v>
      </c>
      <c r="FM117" s="499"/>
      <c r="FN117" s="511"/>
      <c r="FO117" s="504"/>
      <c r="FP117" s="504"/>
      <c r="FQ117" s="94"/>
      <c r="FR117" s="94"/>
      <c r="FS117" s="94"/>
      <c r="FT117" s="94"/>
      <c r="FU117" s="94"/>
      <c r="FV117" s="39"/>
      <c r="FW117" s="212">
        <f t="shared" si="374"/>
        <v>47337</v>
      </c>
      <c r="FX117" s="212"/>
      <c r="FY117" s="39"/>
      <c r="FZ117" s="39"/>
      <c r="GA117" s="39"/>
      <c r="GB117" s="39"/>
      <c r="GC117" s="39"/>
      <c r="GD117" s="39"/>
      <c r="GE117" s="39"/>
      <c r="GF117" s="39"/>
      <c r="GG117" s="39"/>
      <c r="GH117" s="39"/>
      <c r="GI117" s="39"/>
      <c r="GJ117" s="39"/>
      <c r="GK117" s="39"/>
      <c r="GL117" s="742"/>
      <c r="GM117" s="979">
        <f t="shared" si="341"/>
        <v>0</v>
      </c>
      <c r="GN117" s="772">
        <f t="shared" si="344"/>
        <v>0</v>
      </c>
      <c r="GO117" s="53">
        <f t="shared" si="375"/>
        <v>0</v>
      </c>
      <c r="GP117" s="898">
        <f t="shared" si="321"/>
        <v>0</v>
      </c>
      <c r="GQ117" s="35" t="e">
        <f t="shared" si="342"/>
        <v>#DIV/0!</v>
      </c>
      <c r="GR117" s="35" t="e">
        <f>#REF!/AE117</f>
        <v>#REF!</v>
      </c>
      <c r="GS117" s="53"/>
      <c r="GT117" s="577"/>
      <c r="GU117" s="35"/>
      <c r="GV117" s="53">
        <f t="shared" si="376"/>
        <v>0</v>
      </c>
      <c r="GW117" s="67"/>
      <c r="GX117" s="67"/>
      <c r="GY117" s="568">
        <f t="shared" si="377"/>
        <v>0</v>
      </c>
      <c r="GZ117" s="53"/>
      <c r="HA117" s="53"/>
      <c r="HB117" s="53"/>
      <c r="HC117" s="68" t="e">
        <f t="shared" si="382"/>
        <v>#DIV/0!</v>
      </c>
      <c r="HD117" s="53"/>
      <c r="HE117" s="53"/>
      <c r="HF117" s="53"/>
      <c r="HG117" s="35">
        <f t="shared" si="378"/>
        <v>0</v>
      </c>
      <c r="HH117" s="35">
        <f t="shared" si="379"/>
        <v>0</v>
      </c>
      <c r="HI117" s="70"/>
      <c r="HJ117" s="70"/>
      <c r="HK117" s="35" t="e">
        <f>(#REF!+#REF!+HJ117)/AE117</f>
        <v>#REF!</v>
      </c>
      <c r="HL117" s="70"/>
      <c r="HM117" s="35">
        <f t="shared" si="380"/>
        <v>0</v>
      </c>
      <c r="HN117" s="36" t="e">
        <f t="shared" si="381"/>
        <v>#DIV/0!</v>
      </c>
      <c r="HO117" s="70"/>
      <c r="HP117" s="70"/>
      <c r="HQ117" s="53"/>
      <c r="HR117" s="898"/>
      <c r="HS117" s="907" t="e">
        <f t="shared" si="325"/>
        <v>#DIV/0!</v>
      </c>
      <c r="HT117" s="898">
        <f t="shared" si="326"/>
        <v>0</v>
      </c>
      <c r="HU117" s="898">
        <f t="shared" ca="1" si="343"/>
        <v>0</v>
      </c>
      <c r="HV117" s="898"/>
      <c r="HW117" s="898"/>
      <c r="HX117" s="898"/>
      <c r="HY117" s="898"/>
      <c r="HZ117" s="898"/>
      <c r="IA117" s="73" t="e">
        <f>#REF!+HI117</f>
        <v>#REF!</v>
      </c>
      <c r="IB117" s="752"/>
      <c r="IC117" s="73"/>
      <c r="ID117" s="73"/>
      <c r="IE117" s="73"/>
      <c r="IF117" s="73"/>
    </row>
    <row r="118" spans="1:240 16328:16328" ht="15" customHeight="1">
      <c r="A118" s="676" t="s">
        <v>736</v>
      </c>
      <c r="B118" s="676"/>
      <c r="C118" s="39" t="s">
        <v>14</v>
      </c>
      <c r="D118" s="39" t="s">
        <v>92</v>
      </c>
      <c r="E118" s="39" t="s">
        <v>754</v>
      </c>
      <c r="F118" s="39"/>
      <c r="G118" s="39"/>
      <c r="H118" s="39"/>
      <c r="I118" s="41"/>
      <c r="J118" s="39"/>
      <c r="K118" s="39" t="s">
        <v>886</v>
      </c>
      <c r="L118" s="199" t="s">
        <v>735</v>
      </c>
      <c r="M118" s="129"/>
      <c r="N118" s="130"/>
      <c r="O118" s="131"/>
      <c r="P118" s="161">
        <v>4000</v>
      </c>
      <c r="Q118" s="161"/>
      <c r="R118" s="161"/>
      <c r="S118" s="161">
        <f t="shared" si="334"/>
        <v>0</v>
      </c>
      <c r="T118" s="161">
        <f t="shared" si="335"/>
        <v>0</v>
      </c>
      <c r="U118" s="167">
        <f t="shared" si="336"/>
        <v>0</v>
      </c>
      <c r="V118" s="167" t="e">
        <f t="shared" si="337"/>
        <v>#DIV/0!</v>
      </c>
      <c r="W118" s="167">
        <f t="shared" si="338"/>
        <v>0</v>
      </c>
      <c r="X118" s="161">
        <f t="shared" si="339"/>
        <v>266.66666666666669</v>
      </c>
      <c r="Y118" s="162"/>
      <c r="Z118" s="736">
        <f t="shared" si="340"/>
        <v>37.5</v>
      </c>
      <c r="AA118" s="162" t="s">
        <v>722</v>
      </c>
      <c r="AB118" s="162"/>
      <c r="AC118" s="163"/>
      <c r="AD118" s="39" t="s">
        <v>10</v>
      </c>
      <c r="AE118" s="675">
        <f t="shared" si="311"/>
        <v>15</v>
      </c>
      <c r="AF118" s="675">
        <f t="shared" si="312"/>
        <v>15</v>
      </c>
      <c r="AG118" s="50"/>
      <c r="AH118" s="39">
        <v>15</v>
      </c>
      <c r="AI118" s="50"/>
      <c r="AJ118" s="50"/>
      <c r="AK118" s="692"/>
      <c r="AL118" s="422"/>
      <c r="AM118" s="875">
        <f t="shared" si="313"/>
        <v>0</v>
      </c>
      <c r="AN118" s="10">
        <f t="shared" si="314"/>
        <v>0</v>
      </c>
      <c r="AO118" s="43"/>
      <c r="AP118" s="43"/>
      <c r="AQ118" s="43"/>
      <c r="AR118" s="61"/>
      <c r="AS118" s="61"/>
      <c r="AT118" s="61"/>
      <c r="AU118" s="61"/>
      <c r="AV118" s="61"/>
      <c r="AW118" s="43"/>
      <c r="AX118" s="59"/>
      <c r="AY118" s="61"/>
      <c r="AZ118" s="43"/>
      <c r="BA118" s="42"/>
      <c r="BB118" s="39"/>
      <c r="BC118" s="39"/>
      <c r="BD118" s="39"/>
      <c r="BE118" s="39"/>
      <c r="BF118" s="39"/>
      <c r="BG118" s="184"/>
      <c r="BH118" s="143"/>
      <c r="BI118" s="159"/>
      <c r="BJ118" s="75"/>
      <c r="BK118" s="867" t="s">
        <v>250</v>
      </c>
      <c r="BL118" s="125"/>
      <c r="BM118" s="158"/>
      <c r="BN118" s="1007">
        <f t="shared" si="308"/>
        <v>0</v>
      </c>
      <c r="BO118" s="954"/>
      <c r="BP118" s="125"/>
      <c r="BQ118" s="125"/>
      <c r="BR118" s="225"/>
      <c r="BS118" s="224">
        <f t="shared" si="345"/>
        <v>731</v>
      </c>
      <c r="BT118" s="605"/>
      <c r="BU118" s="224" t="str">
        <f t="shared" si="346"/>
        <v>oui</v>
      </c>
      <c r="BV118" s="784">
        <f t="shared" si="347"/>
        <v>-1550.5666666666666</v>
      </c>
      <c r="BW118" s="605">
        <f t="shared" si="348"/>
        <v>0</v>
      </c>
      <c r="BX118" s="605">
        <f t="shared" si="349"/>
        <v>0</v>
      </c>
      <c r="BY118" s="702"/>
      <c r="BZ118" s="708"/>
      <c r="CA118" s="703"/>
      <c r="CB118" s="703"/>
      <c r="CC118" s="703"/>
      <c r="CD118" s="699"/>
      <c r="CE118" s="699"/>
      <c r="CF118" s="699"/>
      <c r="CG118" s="699"/>
      <c r="CH118" s="699"/>
      <c r="CI118" s="699"/>
      <c r="CJ118" s="699"/>
      <c r="CK118" s="699"/>
      <c r="CL118" s="699"/>
      <c r="CM118" s="699"/>
      <c r="CN118" s="699"/>
      <c r="CO118" s="699"/>
      <c r="CP118" s="699"/>
      <c r="CQ118" s="488"/>
      <c r="CR118" s="490"/>
      <c r="CS118" s="490"/>
      <c r="CT118" s="492" t="str">
        <f t="shared" si="315"/>
        <v>0</v>
      </c>
      <c r="CU118" s="490"/>
      <c r="CV118" s="490"/>
      <c r="CW118" s="492" t="str">
        <f t="shared" si="316"/>
        <v>0</v>
      </c>
      <c r="CX118" s="490"/>
      <c r="CY118" s="490"/>
      <c r="CZ118" s="492" t="str">
        <f t="shared" si="317"/>
        <v>0</v>
      </c>
      <c r="DA118" s="490"/>
      <c r="DB118" s="490"/>
      <c r="DC118" s="492" t="str">
        <f t="shared" si="318"/>
        <v>0</v>
      </c>
      <c r="DD118" s="493"/>
      <c r="DE118" s="490"/>
      <c r="DF118" s="492" t="str">
        <f t="shared" si="319"/>
        <v>0</v>
      </c>
      <c r="DG118" s="438"/>
      <c r="DH118" s="494"/>
      <c r="DI118" s="479"/>
      <c r="DJ118" s="480"/>
      <c r="DK118" s="481"/>
      <c r="DL118" s="479"/>
      <c r="DM118" s="617">
        <v>45115</v>
      </c>
      <c r="DN118" s="326"/>
      <c r="DO118" s="432">
        <f t="shared" si="302"/>
        <v>1503.8333333333333</v>
      </c>
      <c r="DP118" s="481" t="str">
        <f t="shared" si="350"/>
        <v>0</v>
      </c>
      <c r="DQ118" s="618">
        <v>62</v>
      </c>
      <c r="DR118" s="188">
        <f t="shared" si="351"/>
        <v>65</v>
      </c>
      <c r="DS118" s="479"/>
      <c r="DT118" s="484">
        <f t="shared" ca="1" si="352"/>
        <v>43647</v>
      </c>
      <c r="DU118" s="481" t="str">
        <f t="shared" ca="1" si="353"/>
        <v>0</v>
      </c>
      <c r="DV118" s="479"/>
      <c r="DW118" s="497">
        <f t="shared" ca="1" si="354"/>
        <v>43647</v>
      </c>
      <c r="DX118" s="482" t="str">
        <f t="shared" ca="1" si="355"/>
        <v>0</v>
      </c>
      <c r="DY118" s="483"/>
      <c r="DZ118" s="497">
        <f t="shared" ca="1" si="356"/>
        <v>43647</v>
      </c>
      <c r="EA118" s="481" t="str">
        <f t="shared" ca="1" si="357"/>
        <v>0</v>
      </c>
      <c r="EB118" s="484">
        <v>43562</v>
      </c>
      <c r="EC118" s="484">
        <f t="shared" ca="1" si="358"/>
        <v>43647</v>
      </c>
      <c r="ED118" s="481">
        <f t="shared" ca="1" si="359"/>
        <v>85</v>
      </c>
      <c r="EE118" s="485"/>
      <c r="EF118" s="485"/>
      <c r="EG118" s="481" t="str">
        <f t="shared" si="360"/>
        <v>0</v>
      </c>
      <c r="EH118" s="484"/>
      <c r="EI118" s="484">
        <f t="shared" ca="1" si="361"/>
        <v>43647</v>
      </c>
      <c r="EJ118" s="481" t="str">
        <f t="shared" ca="1" si="362"/>
        <v>0</v>
      </c>
      <c r="EK118" s="484">
        <v>43639</v>
      </c>
      <c r="EL118" s="484">
        <f t="shared" ca="1" si="363"/>
        <v>43647</v>
      </c>
      <c r="EM118" s="481">
        <f t="shared" ca="1" si="364"/>
        <v>8</v>
      </c>
      <c r="EN118" s="484"/>
      <c r="EO118" s="484"/>
      <c r="EP118" s="484"/>
      <c r="EQ118" s="654">
        <f t="shared" si="365"/>
        <v>47004</v>
      </c>
      <c r="ER118" s="653">
        <f t="shared" si="366"/>
        <v>47095</v>
      </c>
      <c r="ES118" s="650">
        <f t="shared" si="367"/>
        <v>3.0333333333333332</v>
      </c>
      <c r="ET118" s="904">
        <f t="shared" ca="1" si="306"/>
        <v>114.93333333333334</v>
      </c>
      <c r="EU118" s="653">
        <f t="shared" ca="1" si="320"/>
        <v>44378</v>
      </c>
      <c r="EV118" s="748"/>
      <c r="EW118" s="737"/>
      <c r="EX118" s="749">
        <f t="shared" si="368"/>
        <v>47218</v>
      </c>
      <c r="EY118" s="443"/>
      <c r="EZ118" s="747">
        <f t="shared" si="369"/>
        <v>47034</v>
      </c>
      <c r="FA118" s="653">
        <f t="shared" si="370"/>
        <v>47248</v>
      </c>
      <c r="FB118" s="518"/>
      <c r="FC118" s="647">
        <f t="shared" si="371"/>
        <v>7.1333333333333337</v>
      </c>
      <c r="FD118" s="635"/>
      <c r="FE118" s="192">
        <f t="shared" si="372"/>
        <v>0</v>
      </c>
      <c r="FF118" s="91"/>
      <c r="FG118" s="502"/>
      <c r="FH118" s="502"/>
      <c r="FI118" s="502"/>
      <c r="FJ118" s="502"/>
      <c r="FK118" s="663"/>
      <c r="FL118" s="664" t="e">
        <f t="shared" si="373"/>
        <v>#DIV/0!</v>
      </c>
      <c r="FM118" s="499"/>
      <c r="FN118" s="511"/>
      <c r="FO118" s="504"/>
      <c r="FP118" s="504"/>
      <c r="FQ118" s="94"/>
      <c r="FR118" s="94"/>
      <c r="FS118" s="94"/>
      <c r="FT118" s="94"/>
      <c r="FU118" s="94"/>
      <c r="FV118" s="39"/>
      <c r="FW118" s="212">
        <f t="shared" si="374"/>
        <v>47460</v>
      </c>
      <c r="FX118" s="212"/>
      <c r="FY118" s="39"/>
      <c r="FZ118" s="39"/>
      <c r="GA118" s="39"/>
      <c r="GB118" s="39"/>
      <c r="GC118" s="39"/>
      <c r="GD118" s="39"/>
      <c r="GE118" s="39"/>
      <c r="GF118" s="39"/>
      <c r="GG118" s="39"/>
      <c r="GH118" s="39"/>
      <c r="GI118" s="39"/>
      <c r="GJ118" s="39"/>
      <c r="GK118" s="39"/>
      <c r="GL118" s="742"/>
      <c r="GM118" s="979">
        <f t="shared" si="341"/>
        <v>0</v>
      </c>
      <c r="GN118" s="772">
        <f t="shared" si="344"/>
        <v>0</v>
      </c>
      <c r="GO118" s="53">
        <f t="shared" si="375"/>
        <v>0</v>
      </c>
      <c r="GP118" s="898">
        <f t="shared" si="321"/>
        <v>0</v>
      </c>
      <c r="GQ118" s="35" t="e">
        <f t="shared" si="342"/>
        <v>#DIV/0!</v>
      </c>
      <c r="GR118" s="35" t="e">
        <f>#REF!/AE118</f>
        <v>#REF!</v>
      </c>
      <c r="GS118" s="53"/>
      <c r="GT118" s="577"/>
      <c r="GU118" s="35"/>
      <c r="GV118" s="53">
        <f t="shared" si="376"/>
        <v>0</v>
      </c>
      <c r="GW118" s="67"/>
      <c r="GX118" s="67"/>
      <c r="GY118" s="568">
        <f t="shared" si="377"/>
        <v>0</v>
      </c>
      <c r="GZ118" s="53"/>
      <c r="HA118" s="53"/>
      <c r="HB118" s="53"/>
      <c r="HC118" s="68" t="e">
        <f t="shared" si="382"/>
        <v>#DIV/0!</v>
      </c>
      <c r="HD118" s="53"/>
      <c r="HE118" s="53"/>
      <c r="HF118" s="53"/>
      <c r="HG118" s="35">
        <f t="shared" si="378"/>
        <v>0</v>
      </c>
      <c r="HH118" s="35">
        <f t="shared" si="379"/>
        <v>0</v>
      </c>
      <c r="HI118" s="70"/>
      <c r="HJ118" s="70"/>
      <c r="HK118" s="35" t="e">
        <f>(#REF!+#REF!+HJ118)/AE118</f>
        <v>#REF!</v>
      </c>
      <c r="HL118" s="70"/>
      <c r="HM118" s="35">
        <f t="shared" si="380"/>
        <v>0</v>
      </c>
      <c r="HN118" s="36" t="e">
        <f t="shared" si="381"/>
        <v>#DIV/0!</v>
      </c>
      <c r="HO118" s="70"/>
      <c r="HP118" s="70"/>
      <c r="HQ118" s="53"/>
      <c r="HR118" s="898"/>
      <c r="HS118" s="907" t="e">
        <f t="shared" si="325"/>
        <v>#DIV/0!</v>
      </c>
      <c r="HT118" s="898">
        <f t="shared" si="326"/>
        <v>0</v>
      </c>
      <c r="HU118" s="898">
        <f t="shared" ca="1" si="343"/>
        <v>0</v>
      </c>
      <c r="HV118" s="898"/>
      <c r="HW118" s="898"/>
      <c r="HX118" s="898"/>
      <c r="HY118" s="898"/>
      <c r="HZ118" s="898"/>
      <c r="IA118" s="73" t="e">
        <f>#REF!+HI118</f>
        <v>#REF!</v>
      </c>
      <c r="IB118" s="752"/>
      <c r="IC118" s="73"/>
      <c r="ID118" s="73"/>
      <c r="IE118" s="73"/>
      <c r="IF118" s="73"/>
    </row>
    <row r="119" spans="1:240 16328:16328" ht="15" customHeight="1">
      <c r="A119" s="66" t="s">
        <v>505</v>
      </c>
      <c r="B119" s="66"/>
      <c r="C119" s="39" t="s">
        <v>21</v>
      </c>
      <c r="D119" s="39" t="s">
        <v>92</v>
      </c>
      <c r="E119" s="39" t="s">
        <v>528</v>
      </c>
      <c r="F119" s="39"/>
      <c r="G119" s="39"/>
      <c r="H119" s="39"/>
      <c r="I119" s="39" t="s">
        <v>190</v>
      </c>
      <c r="J119" s="39"/>
      <c r="K119" s="39" t="s">
        <v>495</v>
      </c>
      <c r="L119" s="199" t="s">
        <v>775</v>
      </c>
      <c r="M119" s="129" t="s">
        <v>496</v>
      </c>
      <c r="N119" s="130"/>
      <c r="O119" s="131"/>
      <c r="P119" s="161">
        <v>5498</v>
      </c>
      <c r="Q119" s="161">
        <v>924932</v>
      </c>
      <c r="R119" s="161"/>
      <c r="S119" s="161">
        <f t="shared" si="334"/>
        <v>22022.190476190477</v>
      </c>
      <c r="T119" s="161">
        <f t="shared" si="335"/>
        <v>168.23062931975264</v>
      </c>
      <c r="U119" s="167">
        <f t="shared" si="336"/>
        <v>0</v>
      </c>
      <c r="V119" s="167" t="e">
        <f t="shared" si="337"/>
        <v>#DIV/0!</v>
      </c>
      <c r="W119" s="167">
        <f t="shared" si="338"/>
        <v>0</v>
      </c>
      <c r="X119" s="161">
        <f t="shared" si="339"/>
        <v>130.9047619047619</v>
      </c>
      <c r="Y119" s="162"/>
      <c r="Z119" s="736">
        <f t="shared" si="340"/>
        <v>76.391415060021828</v>
      </c>
      <c r="AA119" s="162" t="s">
        <v>152</v>
      </c>
      <c r="AB119" s="162">
        <v>580</v>
      </c>
      <c r="AC119" s="163">
        <v>0.1</v>
      </c>
      <c r="AD119" s="39" t="s">
        <v>9</v>
      </c>
      <c r="AE119" s="675">
        <f t="shared" si="311"/>
        <v>42</v>
      </c>
      <c r="AF119" s="675">
        <f t="shared" si="312"/>
        <v>42</v>
      </c>
      <c r="AG119" s="39">
        <v>42</v>
      </c>
      <c r="AH119" s="50"/>
      <c r="AI119" s="50"/>
      <c r="AJ119" s="50"/>
      <c r="AK119" s="209"/>
      <c r="AL119" s="422"/>
      <c r="AM119" s="875">
        <f t="shared" si="313"/>
        <v>0</v>
      </c>
      <c r="AN119" s="10">
        <f t="shared" si="314"/>
        <v>0</v>
      </c>
      <c r="AO119" s="43"/>
      <c r="AP119" s="43"/>
      <c r="AQ119" s="43"/>
      <c r="AR119" s="61"/>
      <c r="AS119" s="61"/>
      <c r="AT119" s="61"/>
      <c r="AU119" s="61"/>
      <c r="AV119" s="61"/>
      <c r="AW119" s="43"/>
      <c r="AX119" s="59" t="s">
        <v>136</v>
      </c>
      <c r="AY119" s="61"/>
      <c r="AZ119" s="43"/>
      <c r="BA119" s="39" t="s">
        <v>439</v>
      </c>
      <c r="BB119" s="39" t="s">
        <v>100</v>
      </c>
      <c r="BC119" s="39"/>
      <c r="BD119" s="39"/>
      <c r="BE119" s="39"/>
      <c r="BF119" s="39"/>
      <c r="BG119" s="39"/>
      <c r="BH119" s="39"/>
      <c r="BI119" s="159"/>
      <c r="BJ119" s="75"/>
      <c r="BK119" s="867" t="s">
        <v>250</v>
      </c>
      <c r="BL119" s="125"/>
      <c r="BM119" s="158"/>
      <c r="BN119" s="1007">
        <f t="shared" si="308"/>
        <v>0</v>
      </c>
      <c r="BO119" s="954"/>
      <c r="BP119" s="125"/>
      <c r="BQ119" s="125"/>
      <c r="BR119" s="225"/>
      <c r="BS119" s="224">
        <f t="shared" si="345"/>
        <v>731</v>
      </c>
      <c r="BT119" s="605"/>
      <c r="BU119" s="224" t="str">
        <f t="shared" si="346"/>
        <v>oui</v>
      </c>
      <c r="BV119" s="784">
        <f t="shared" si="347"/>
        <v>-1537.4333333333334</v>
      </c>
      <c r="BW119" s="605">
        <f t="shared" si="348"/>
        <v>0</v>
      </c>
      <c r="BX119" s="605">
        <f t="shared" si="349"/>
        <v>0</v>
      </c>
      <c r="BY119" s="702"/>
      <c r="BZ119" s="708"/>
      <c r="CA119" s="703"/>
      <c r="CB119" s="703"/>
      <c r="CC119" s="703"/>
      <c r="CD119" s="699"/>
      <c r="CE119" s="699"/>
      <c r="CF119" s="699"/>
      <c r="CG119" s="699"/>
      <c r="CH119" s="699"/>
      <c r="CI119" s="699"/>
      <c r="CJ119" s="699"/>
      <c r="CK119" s="699"/>
      <c r="CL119" s="699"/>
      <c r="CM119" s="699"/>
      <c r="CN119" s="699"/>
      <c r="CO119" s="699"/>
      <c r="CP119" s="699"/>
      <c r="CQ119" s="488"/>
      <c r="CR119" s="490"/>
      <c r="CS119" s="490"/>
      <c r="CT119" s="492" t="str">
        <f t="shared" si="315"/>
        <v>0</v>
      </c>
      <c r="CU119" s="490"/>
      <c r="CV119" s="490"/>
      <c r="CW119" s="492" t="str">
        <f t="shared" si="316"/>
        <v>0</v>
      </c>
      <c r="CX119" s="490"/>
      <c r="CY119" s="490"/>
      <c r="CZ119" s="492" t="str">
        <f t="shared" si="317"/>
        <v>0</v>
      </c>
      <c r="DA119" s="490"/>
      <c r="DB119" s="490"/>
      <c r="DC119" s="492" t="str">
        <f t="shared" si="318"/>
        <v>0</v>
      </c>
      <c r="DD119" s="493"/>
      <c r="DE119" s="490"/>
      <c r="DF119" s="492" t="str">
        <f t="shared" si="319"/>
        <v>0</v>
      </c>
      <c r="DG119" s="438"/>
      <c r="DH119" s="494"/>
      <c r="DI119" s="479"/>
      <c r="DJ119" s="480"/>
      <c r="DK119" s="481"/>
      <c r="DL119" s="479"/>
      <c r="DM119" s="617">
        <v>45116</v>
      </c>
      <c r="DN119" s="326"/>
      <c r="DO119" s="432">
        <f t="shared" si="302"/>
        <v>1503.8666666666666</v>
      </c>
      <c r="DP119" s="481" t="str">
        <f t="shared" si="350"/>
        <v>0</v>
      </c>
      <c r="DQ119" s="618">
        <v>49</v>
      </c>
      <c r="DR119" s="188">
        <f t="shared" si="351"/>
        <v>52</v>
      </c>
      <c r="DS119" s="479"/>
      <c r="DT119" s="484">
        <f t="shared" ca="1" si="352"/>
        <v>43647</v>
      </c>
      <c r="DU119" s="481" t="str">
        <f t="shared" ca="1" si="353"/>
        <v>0</v>
      </c>
      <c r="DV119" s="479"/>
      <c r="DW119" s="497">
        <f t="shared" ca="1" si="354"/>
        <v>43647</v>
      </c>
      <c r="DX119" s="482" t="str">
        <f t="shared" ca="1" si="355"/>
        <v>0</v>
      </c>
      <c r="DY119" s="483"/>
      <c r="DZ119" s="497">
        <f t="shared" ca="1" si="356"/>
        <v>43647</v>
      </c>
      <c r="EA119" s="481" t="str">
        <f t="shared" ca="1" si="357"/>
        <v>0</v>
      </c>
      <c r="EB119" s="484">
        <v>43549</v>
      </c>
      <c r="EC119" s="484">
        <f t="shared" ca="1" si="358"/>
        <v>43647</v>
      </c>
      <c r="ED119" s="481">
        <f t="shared" ca="1" si="359"/>
        <v>98</v>
      </c>
      <c r="EE119" s="485"/>
      <c r="EF119" s="485"/>
      <c r="EG119" s="481" t="str">
        <f t="shared" si="360"/>
        <v>0</v>
      </c>
      <c r="EH119" s="484"/>
      <c r="EI119" s="484">
        <f t="shared" ca="1" si="361"/>
        <v>43647</v>
      </c>
      <c r="EJ119" s="481" t="str">
        <f t="shared" ca="1" si="362"/>
        <v>0</v>
      </c>
      <c r="EK119" s="484">
        <v>43626</v>
      </c>
      <c r="EL119" s="484">
        <f t="shared" ca="1" si="363"/>
        <v>43647</v>
      </c>
      <c r="EM119" s="481">
        <f t="shared" ca="1" si="364"/>
        <v>21</v>
      </c>
      <c r="EN119" s="484"/>
      <c r="EO119" s="484"/>
      <c r="EP119" s="484"/>
      <c r="EQ119" s="654">
        <f t="shared" si="365"/>
        <v>46608</v>
      </c>
      <c r="ER119" s="653">
        <f t="shared" si="366"/>
        <v>46700</v>
      </c>
      <c r="ES119" s="650">
        <f t="shared" si="367"/>
        <v>3.0666666666666669</v>
      </c>
      <c r="ET119" s="904">
        <f t="shared" ca="1" si="306"/>
        <v>101.76666666666667</v>
      </c>
      <c r="EU119" s="653">
        <f t="shared" ca="1" si="320"/>
        <v>44378</v>
      </c>
      <c r="EV119" s="748"/>
      <c r="EW119" s="737"/>
      <c r="EX119" s="749">
        <f t="shared" si="368"/>
        <v>46823</v>
      </c>
      <c r="EY119" s="443"/>
      <c r="EZ119" s="747">
        <f t="shared" si="369"/>
        <v>46639</v>
      </c>
      <c r="FA119" s="653">
        <f t="shared" si="370"/>
        <v>46854</v>
      </c>
      <c r="FB119" s="518"/>
      <c r="FC119" s="647">
        <f t="shared" si="371"/>
        <v>7.166666666666667</v>
      </c>
      <c r="FD119" s="635"/>
      <c r="FE119" s="192">
        <f t="shared" si="372"/>
        <v>0</v>
      </c>
      <c r="FF119" s="91"/>
      <c r="FG119" s="502"/>
      <c r="FH119" s="502">
        <v>0</v>
      </c>
      <c r="FI119" s="502"/>
      <c r="FJ119" s="502"/>
      <c r="FK119" s="663"/>
      <c r="FL119" s="664" t="e">
        <f t="shared" si="373"/>
        <v>#DIV/0!</v>
      </c>
      <c r="FM119" s="499"/>
      <c r="FN119" s="511"/>
      <c r="FO119" s="504"/>
      <c r="FP119" s="504"/>
      <c r="FQ119" s="94"/>
      <c r="FR119" s="94"/>
      <c r="FS119" s="94"/>
      <c r="FT119" s="94"/>
      <c r="FU119" s="94"/>
      <c r="FV119" s="39"/>
      <c r="FW119" s="212">
        <f t="shared" si="374"/>
        <v>47066</v>
      </c>
      <c r="FX119" s="212"/>
      <c r="FY119" s="39"/>
      <c r="FZ119" s="39"/>
      <c r="GA119" s="39"/>
      <c r="GB119" s="39"/>
      <c r="GC119" s="39"/>
      <c r="GD119" s="39"/>
      <c r="GE119" s="39"/>
      <c r="GF119" s="39"/>
      <c r="GG119" s="39"/>
      <c r="GH119" s="39"/>
      <c r="GI119" s="39"/>
      <c r="GJ119" s="39"/>
      <c r="GK119" s="39"/>
      <c r="GL119" s="742"/>
      <c r="GM119" s="979">
        <f t="shared" si="341"/>
        <v>0</v>
      </c>
      <c r="GN119" s="772">
        <f t="shared" si="344"/>
        <v>0</v>
      </c>
      <c r="GO119" s="53">
        <f t="shared" si="375"/>
        <v>0</v>
      </c>
      <c r="GP119" s="898">
        <f t="shared" si="321"/>
        <v>0</v>
      </c>
      <c r="GQ119" s="35" t="e">
        <f t="shared" si="342"/>
        <v>#DIV/0!</v>
      </c>
      <c r="GR119" s="35" t="e">
        <f>#REF!/AE119</f>
        <v>#REF!</v>
      </c>
      <c r="GS119" s="53"/>
      <c r="GT119" s="577"/>
      <c r="GU119" s="35" t="e">
        <f>#REF!/AE119</f>
        <v>#REF!</v>
      </c>
      <c r="GV119" s="53">
        <f t="shared" si="376"/>
        <v>0</v>
      </c>
      <c r="GW119" s="67"/>
      <c r="GX119" s="67"/>
      <c r="GY119" s="568">
        <f t="shared" si="377"/>
        <v>0</v>
      </c>
      <c r="GZ119" s="53"/>
      <c r="HA119" s="53"/>
      <c r="HB119" s="53"/>
      <c r="HC119" s="68" t="e">
        <f t="shared" si="382"/>
        <v>#DIV/0!</v>
      </c>
      <c r="HD119" s="53"/>
      <c r="HE119" s="53"/>
      <c r="HF119" s="53"/>
      <c r="HG119" s="35">
        <f t="shared" si="378"/>
        <v>0</v>
      </c>
      <c r="HH119" s="35">
        <f t="shared" si="379"/>
        <v>0</v>
      </c>
      <c r="HI119" s="70"/>
      <c r="HJ119" s="70"/>
      <c r="HK119" s="35" t="e">
        <f>(#REF!+#REF!+HJ119)/AE119</f>
        <v>#REF!</v>
      </c>
      <c r="HL119" s="70"/>
      <c r="HM119" s="35">
        <f t="shared" si="380"/>
        <v>0</v>
      </c>
      <c r="HN119" s="36" t="e">
        <f>(#REF!+#REF!+HJ119+HL119)/(HI119+#REF!-HO119)</f>
        <v>#REF!</v>
      </c>
      <c r="HO119" s="70"/>
      <c r="HP119" s="70"/>
      <c r="HQ119" s="53">
        <f>FH119</f>
        <v>0</v>
      </c>
      <c r="HR119" s="898"/>
      <c r="HS119" s="907" t="e">
        <f t="shared" si="325"/>
        <v>#DIV/0!</v>
      </c>
      <c r="HT119" s="898">
        <f t="shared" si="326"/>
        <v>0</v>
      </c>
      <c r="HU119" s="898">
        <f t="shared" ca="1" si="343"/>
        <v>0</v>
      </c>
      <c r="HV119" s="898"/>
      <c r="HW119" s="898"/>
      <c r="HX119" s="898"/>
      <c r="HY119" s="898"/>
      <c r="HZ119" s="898"/>
      <c r="IA119" s="73" t="e">
        <f>#REF!+HI119</f>
        <v>#REF!</v>
      </c>
      <c r="IB119" s="752"/>
      <c r="IC119" s="73"/>
      <c r="ID119" s="73"/>
      <c r="IE119" s="73"/>
      <c r="IF119" s="73"/>
    </row>
    <row r="120" spans="1:240 16328:16328" ht="15" customHeight="1">
      <c r="A120" s="66" t="s">
        <v>504</v>
      </c>
      <c r="B120" s="66"/>
      <c r="C120" s="39" t="s">
        <v>21</v>
      </c>
      <c r="D120" s="39" t="s">
        <v>92</v>
      </c>
      <c r="E120" s="39" t="s">
        <v>528</v>
      </c>
      <c r="F120" s="39"/>
      <c r="G120" s="39"/>
      <c r="H120" s="39"/>
      <c r="I120" s="39" t="s">
        <v>190</v>
      </c>
      <c r="J120" s="39"/>
      <c r="K120" s="39" t="s">
        <v>495</v>
      </c>
      <c r="L120" s="199" t="s">
        <v>775</v>
      </c>
      <c r="M120" s="129" t="s">
        <v>496</v>
      </c>
      <c r="N120" s="130"/>
      <c r="O120" s="131"/>
      <c r="P120" s="161">
        <v>5498</v>
      </c>
      <c r="Q120" s="161">
        <v>1219167</v>
      </c>
      <c r="R120" s="161"/>
      <c r="S120" s="161">
        <f t="shared" si="334"/>
        <v>23003.150943396227</v>
      </c>
      <c r="T120" s="161">
        <f t="shared" si="335"/>
        <v>221.74736267733721</v>
      </c>
      <c r="U120" s="167">
        <f t="shared" si="336"/>
        <v>0</v>
      </c>
      <c r="V120" s="167" t="e">
        <f t="shared" si="337"/>
        <v>#DIV/0!</v>
      </c>
      <c r="W120" s="167">
        <f t="shared" si="338"/>
        <v>0</v>
      </c>
      <c r="X120" s="161">
        <f t="shared" si="339"/>
        <v>103.73584905660377</v>
      </c>
      <c r="Y120" s="162"/>
      <c r="Z120" s="736">
        <f t="shared" si="340"/>
        <v>96.398690432884692</v>
      </c>
      <c r="AA120" s="162" t="s">
        <v>152</v>
      </c>
      <c r="AB120" s="162">
        <v>580</v>
      </c>
      <c r="AC120" s="163">
        <v>0.1</v>
      </c>
      <c r="AD120" s="39" t="s">
        <v>10</v>
      </c>
      <c r="AE120" s="675">
        <f t="shared" si="311"/>
        <v>53</v>
      </c>
      <c r="AF120" s="675">
        <f t="shared" si="312"/>
        <v>53</v>
      </c>
      <c r="AG120" s="50"/>
      <c r="AH120" s="39">
        <v>53</v>
      </c>
      <c r="AI120" s="50"/>
      <c r="AJ120" s="50"/>
      <c r="AK120" s="209"/>
      <c r="AL120" s="422"/>
      <c r="AM120" s="875">
        <f t="shared" si="313"/>
        <v>0</v>
      </c>
      <c r="AN120" s="10">
        <f t="shared" si="314"/>
        <v>0</v>
      </c>
      <c r="AO120" s="43"/>
      <c r="AP120" s="43"/>
      <c r="AQ120" s="43"/>
      <c r="AR120" s="61"/>
      <c r="AS120" s="61"/>
      <c r="AT120" s="61"/>
      <c r="AU120" s="61"/>
      <c r="AV120" s="61"/>
      <c r="AW120" s="43"/>
      <c r="AX120" s="59" t="s">
        <v>136</v>
      </c>
      <c r="AY120" s="61"/>
      <c r="AZ120" s="43"/>
      <c r="BA120" s="39" t="s">
        <v>439</v>
      </c>
      <c r="BB120" s="39" t="s">
        <v>100</v>
      </c>
      <c r="BC120" s="39"/>
      <c r="BD120" s="39"/>
      <c r="BE120" s="39"/>
      <c r="BF120" s="39"/>
      <c r="BG120" s="39"/>
      <c r="BH120" s="39"/>
      <c r="BI120" s="159"/>
      <c r="BJ120" s="75"/>
      <c r="BK120" s="867" t="s">
        <v>250</v>
      </c>
      <c r="BL120" s="125"/>
      <c r="BM120" s="158"/>
      <c r="BN120" s="1007">
        <f t="shared" si="308"/>
        <v>0</v>
      </c>
      <c r="BO120" s="954"/>
      <c r="BP120" s="125"/>
      <c r="BQ120" s="125"/>
      <c r="BR120" s="225"/>
      <c r="BS120" s="224">
        <f t="shared" si="345"/>
        <v>731</v>
      </c>
      <c r="BT120" s="605"/>
      <c r="BU120" s="224" t="str">
        <f t="shared" si="346"/>
        <v>oui</v>
      </c>
      <c r="BV120" s="784">
        <f t="shared" si="347"/>
        <v>-1538.4666666666667</v>
      </c>
      <c r="BW120" s="605">
        <f t="shared" si="348"/>
        <v>0</v>
      </c>
      <c r="BX120" s="605">
        <f t="shared" si="349"/>
        <v>0</v>
      </c>
      <c r="BY120" s="702"/>
      <c r="BZ120" s="708"/>
      <c r="CA120" s="703"/>
      <c r="CB120" s="703"/>
      <c r="CC120" s="703"/>
      <c r="CD120" s="699"/>
      <c r="CE120" s="699"/>
      <c r="CF120" s="699"/>
      <c r="CG120" s="699"/>
      <c r="CH120" s="699"/>
      <c r="CI120" s="699"/>
      <c r="CJ120" s="699"/>
      <c r="CK120" s="699"/>
      <c r="CL120" s="699"/>
      <c r="CM120" s="699"/>
      <c r="CN120" s="699"/>
      <c r="CO120" s="699"/>
      <c r="CP120" s="699"/>
      <c r="CQ120" s="488"/>
      <c r="CR120" s="490"/>
      <c r="CS120" s="490"/>
      <c r="CT120" s="492" t="str">
        <f t="shared" si="315"/>
        <v>0</v>
      </c>
      <c r="CU120" s="490"/>
      <c r="CV120" s="490"/>
      <c r="CW120" s="492" t="str">
        <f t="shared" si="316"/>
        <v>0</v>
      </c>
      <c r="CX120" s="490"/>
      <c r="CY120" s="490"/>
      <c r="CZ120" s="492" t="str">
        <f t="shared" si="317"/>
        <v>0</v>
      </c>
      <c r="DA120" s="490"/>
      <c r="DB120" s="490"/>
      <c r="DC120" s="492" t="str">
        <f t="shared" si="318"/>
        <v>0</v>
      </c>
      <c r="DD120" s="493"/>
      <c r="DE120" s="490"/>
      <c r="DF120" s="492" t="str">
        <f t="shared" si="319"/>
        <v>0</v>
      </c>
      <c r="DG120" s="438"/>
      <c r="DH120" s="494"/>
      <c r="DI120" s="479"/>
      <c r="DJ120" s="480"/>
      <c r="DK120" s="481"/>
      <c r="DL120" s="479"/>
      <c r="DM120" s="617">
        <v>45117</v>
      </c>
      <c r="DN120" s="326"/>
      <c r="DO120" s="432">
        <f t="shared" si="302"/>
        <v>1503.9</v>
      </c>
      <c r="DP120" s="481" t="str">
        <f t="shared" si="350"/>
        <v>0</v>
      </c>
      <c r="DQ120" s="618">
        <v>50</v>
      </c>
      <c r="DR120" s="188">
        <f t="shared" si="351"/>
        <v>53</v>
      </c>
      <c r="DS120" s="479"/>
      <c r="DT120" s="484">
        <f t="shared" ca="1" si="352"/>
        <v>43647</v>
      </c>
      <c r="DU120" s="481" t="str">
        <f t="shared" ca="1" si="353"/>
        <v>0</v>
      </c>
      <c r="DV120" s="479"/>
      <c r="DW120" s="497">
        <f t="shared" ca="1" si="354"/>
        <v>43647</v>
      </c>
      <c r="DX120" s="482" t="str">
        <f t="shared" ca="1" si="355"/>
        <v>0</v>
      </c>
      <c r="DY120" s="483"/>
      <c r="DZ120" s="497">
        <f t="shared" ca="1" si="356"/>
        <v>43647</v>
      </c>
      <c r="EA120" s="481" t="str">
        <f t="shared" ca="1" si="357"/>
        <v>0</v>
      </c>
      <c r="EB120" s="484">
        <v>43550</v>
      </c>
      <c r="EC120" s="484">
        <f t="shared" ca="1" si="358"/>
        <v>43647</v>
      </c>
      <c r="ED120" s="481">
        <f t="shared" ca="1" si="359"/>
        <v>97</v>
      </c>
      <c r="EE120" s="485"/>
      <c r="EF120" s="485"/>
      <c r="EG120" s="481" t="str">
        <f t="shared" si="360"/>
        <v>0</v>
      </c>
      <c r="EH120" s="484"/>
      <c r="EI120" s="484">
        <f t="shared" ca="1" si="361"/>
        <v>43647</v>
      </c>
      <c r="EJ120" s="481" t="str">
        <f t="shared" ca="1" si="362"/>
        <v>0</v>
      </c>
      <c r="EK120" s="484">
        <v>43627</v>
      </c>
      <c r="EL120" s="484">
        <f t="shared" ca="1" si="363"/>
        <v>43647</v>
      </c>
      <c r="EM120" s="481">
        <f t="shared" ca="1" si="364"/>
        <v>20</v>
      </c>
      <c r="EN120" s="484"/>
      <c r="EO120" s="484"/>
      <c r="EP120" s="484"/>
      <c r="EQ120" s="654">
        <f t="shared" si="365"/>
        <v>46640</v>
      </c>
      <c r="ER120" s="653">
        <f t="shared" si="366"/>
        <v>46731</v>
      </c>
      <c r="ES120" s="650">
        <f t="shared" si="367"/>
        <v>3.0333333333333332</v>
      </c>
      <c r="ET120" s="904">
        <f t="shared" ca="1" si="306"/>
        <v>102.8</v>
      </c>
      <c r="EU120" s="653">
        <f t="shared" ca="1" si="320"/>
        <v>44378</v>
      </c>
      <c r="EV120" s="748"/>
      <c r="EW120" s="737"/>
      <c r="EX120" s="749">
        <f t="shared" si="368"/>
        <v>46855</v>
      </c>
      <c r="EY120" s="443"/>
      <c r="EZ120" s="747">
        <f t="shared" si="369"/>
        <v>46670</v>
      </c>
      <c r="FA120" s="653">
        <f t="shared" si="370"/>
        <v>46885</v>
      </c>
      <c r="FB120" s="518"/>
      <c r="FC120" s="647">
        <f t="shared" si="371"/>
        <v>7.166666666666667</v>
      </c>
      <c r="FD120" s="635"/>
      <c r="FE120" s="192">
        <f t="shared" si="372"/>
        <v>0</v>
      </c>
      <c r="FF120" s="91"/>
      <c r="FG120" s="502"/>
      <c r="FH120" s="502">
        <v>0</v>
      </c>
      <c r="FI120" s="502"/>
      <c r="FJ120" s="502"/>
      <c r="FK120" s="663"/>
      <c r="FL120" s="664" t="e">
        <f t="shared" si="373"/>
        <v>#DIV/0!</v>
      </c>
      <c r="FM120" s="499"/>
      <c r="FN120" s="511"/>
      <c r="FO120" s="504"/>
      <c r="FP120" s="504"/>
      <c r="FQ120" s="94"/>
      <c r="FR120" s="94"/>
      <c r="FS120" s="94"/>
      <c r="FT120" s="94"/>
      <c r="FU120" s="94"/>
      <c r="FV120" s="39"/>
      <c r="FW120" s="212">
        <f t="shared" si="374"/>
        <v>47097</v>
      </c>
      <c r="FX120" s="212"/>
      <c r="FY120" s="39"/>
      <c r="FZ120" s="39"/>
      <c r="GA120" s="39"/>
      <c r="GB120" s="39"/>
      <c r="GC120" s="39"/>
      <c r="GD120" s="39"/>
      <c r="GE120" s="39"/>
      <c r="GF120" s="39"/>
      <c r="GG120" s="39"/>
      <c r="GH120" s="39"/>
      <c r="GI120" s="39"/>
      <c r="GJ120" s="39"/>
      <c r="GK120" s="39"/>
      <c r="GL120" s="742"/>
      <c r="GM120" s="979">
        <f t="shared" si="341"/>
        <v>0</v>
      </c>
      <c r="GN120" s="772">
        <f t="shared" si="344"/>
        <v>0</v>
      </c>
      <c r="GO120" s="53">
        <f t="shared" si="375"/>
        <v>0</v>
      </c>
      <c r="GP120" s="898">
        <f t="shared" si="321"/>
        <v>0</v>
      </c>
      <c r="GQ120" s="35" t="e">
        <f t="shared" si="342"/>
        <v>#DIV/0!</v>
      </c>
      <c r="GR120" s="35" t="e">
        <f>#REF!/AE120</f>
        <v>#REF!</v>
      </c>
      <c r="GS120" s="53"/>
      <c r="GT120" s="577"/>
      <c r="GU120" s="35" t="e">
        <f>#REF!/AE120</f>
        <v>#REF!</v>
      </c>
      <c r="GV120" s="53">
        <f t="shared" si="376"/>
        <v>0</v>
      </c>
      <c r="GW120" s="67"/>
      <c r="GX120" s="67"/>
      <c r="GY120" s="568">
        <f t="shared" si="377"/>
        <v>0</v>
      </c>
      <c r="GZ120" s="53"/>
      <c r="HA120" s="53"/>
      <c r="HB120" s="53"/>
      <c r="HC120" s="68" t="e">
        <f t="shared" si="382"/>
        <v>#DIV/0!</v>
      </c>
      <c r="HD120" s="53"/>
      <c r="HE120" s="53"/>
      <c r="HF120" s="53"/>
      <c r="HG120" s="35">
        <f t="shared" si="378"/>
        <v>0</v>
      </c>
      <c r="HH120" s="35">
        <f t="shared" si="379"/>
        <v>0</v>
      </c>
      <c r="HI120" s="70"/>
      <c r="HJ120" s="70"/>
      <c r="HK120" s="35" t="e">
        <f>(#REF!+#REF!+HJ120)/AE120</f>
        <v>#REF!</v>
      </c>
      <c r="HL120" s="70"/>
      <c r="HM120" s="35">
        <f t="shared" si="380"/>
        <v>0</v>
      </c>
      <c r="HN120" s="36" t="e">
        <f t="shared" ref="HN120:HN125" si="383">(GS120+HA120+HJ120+HL120)/(HI120+GN120-HO120)</f>
        <v>#DIV/0!</v>
      </c>
      <c r="HO120" s="70"/>
      <c r="HP120" s="70"/>
      <c r="HQ120" s="53">
        <f>FH120</f>
        <v>0</v>
      </c>
      <c r="HR120" s="898"/>
      <c r="HS120" s="907" t="e">
        <f t="shared" si="325"/>
        <v>#DIV/0!</v>
      </c>
      <c r="HT120" s="898">
        <f t="shared" si="326"/>
        <v>0</v>
      </c>
      <c r="HU120" s="898">
        <f t="shared" ca="1" si="343"/>
        <v>0</v>
      </c>
      <c r="HV120" s="898"/>
      <c r="HW120" s="898"/>
      <c r="HX120" s="898"/>
      <c r="HY120" s="898"/>
      <c r="HZ120" s="898"/>
      <c r="IA120" s="73" t="e">
        <f>#REF!+HI120</f>
        <v>#REF!</v>
      </c>
      <c r="IB120" s="752"/>
      <c r="IC120" s="73"/>
      <c r="ID120" s="73"/>
      <c r="IE120" s="73"/>
      <c r="IF120" s="73"/>
    </row>
    <row r="121" spans="1:240 16328:16328" ht="15" customHeight="1">
      <c r="A121" s="74" t="s">
        <v>723</v>
      </c>
      <c r="B121" s="74"/>
      <c r="C121" s="39" t="s">
        <v>14</v>
      </c>
      <c r="D121" s="39" t="s">
        <v>92</v>
      </c>
      <c r="E121" s="39" t="s">
        <v>754</v>
      </c>
      <c r="F121" s="39"/>
      <c r="G121" s="39"/>
      <c r="H121" s="39"/>
      <c r="I121" s="41"/>
      <c r="J121" s="39"/>
      <c r="K121" s="39" t="s">
        <v>882</v>
      </c>
      <c r="L121" s="199" t="s">
        <v>725</v>
      </c>
      <c r="M121" s="129"/>
      <c r="N121" s="130"/>
      <c r="O121" s="131"/>
      <c r="P121" s="161">
        <v>8400</v>
      </c>
      <c r="Q121" s="161"/>
      <c r="R121" s="161"/>
      <c r="S121" s="161">
        <f t="shared" si="334"/>
        <v>0</v>
      </c>
      <c r="T121" s="161">
        <f t="shared" si="335"/>
        <v>0</v>
      </c>
      <c r="U121" s="167">
        <f t="shared" si="336"/>
        <v>0</v>
      </c>
      <c r="V121" s="167" t="e">
        <f t="shared" si="337"/>
        <v>#DIV/0!</v>
      </c>
      <c r="W121" s="167">
        <f t="shared" si="338"/>
        <v>0</v>
      </c>
      <c r="X121" s="161">
        <f t="shared" si="339"/>
        <v>280</v>
      </c>
      <c r="Y121" s="162"/>
      <c r="Z121" s="736">
        <f t="shared" si="340"/>
        <v>35.714285714285715</v>
      </c>
      <c r="AA121" s="162" t="s">
        <v>724</v>
      </c>
      <c r="AB121" s="162"/>
      <c r="AC121" s="163"/>
      <c r="AD121" s="39" t="s">
        <v>10</v>
      </c>
      <c r="AE121" s="674">
        <f t="shared" si="311"/>
        <v>30</v>
      </c>
      <c r="AF121" s="674">
        <f t="shared" si="312"/>
        <v>30</v>
      </c>
      <c r="AG121" s="50"/>
      <c r="AH121" s="39">
        <v>30</v>
      </c>
      <c r="AI121" s="50"/>
      <c r="AJ121" s="50"/>
      <c r="AK121" s="692"/>
      <c r="AL121" s="426"/>
      <c r="AM121" s="875">
        <f t="shared" si="313"/>
        <v>0</v>
      </c>
      <c r="AN121" s="43">
        <f t="shared" si="314"/>
        <v>0</v>
      </c>
      <c r="AO121" s="43"/>
      <c r="AP121" s="43"/>
      <c r="AQ121" s="43"/>
      <c r="AR121" s="61"/>
      <c r="AS121" s="61"/>
      <c r="AT121" s="61"/>
      <c r="AU121" s="61"/>
      <c r="AV121" s="61"/>
      <c r="AW121" s="43"/>
      <c r="AX121" s="59"/>
      <c r="AY121" s="61"/>
      <c r="AZ121" s="43"/>
      <c r="BA121" s="42"/>
      <c r="BB121" s="39"/>
      <c r="BC121" s="39"/>
      <c r="BD121" s="39"/>
      <c r="BE121" s="39"/>
      <c r="BF121" s="39"/>
      <c r="BG121" s="184"/>
      <c r="BH121" s="143"/>
      <c r="BI121" s="159"/>
      <c r="BJ121" s="75"/>
      <c r="BK121" s="867" t="s">
        <v>250</v>
      </c>
      <c r="BL121" s="125"/>
      <c r="BM121" s="158"/>
      <c r="BN121" s="1007">
        <f t="shared" si="308"/>
        <v>0</v>
      </c>
      <c r="BO121" s="954"/>
      <c r="BP121" s="125"/>
      <c r="BQ121" s="125"/>
      <c r="BR121" s="225"/>
      <c r="BS121" s="224">
        <f t="shared" si="345"/>
        <v>731</v>
      </c>
      <c r="BT121" s="605"/>
      <c r="BU121" s="224" t="str">
        <f t="shared" si="346"/>
        <v>oui</v>
      </c>
      <c r="BV121" s="784">
        <f t="shared" si="347"/>
        <v>-1547.7</v>
      </c>
      <c r="BW121" s="605">
        <f t="shared" si="348"/>
        <v>0</v>
      </c>
      <c r="BX121" s="605">
        <f t="shared" si="349"/>
        <v>0</v>
      </c>
      <c r="BY121" s="702"/>
      <c r="BZ121" s="708"/>
      <c r="CA121" s="703"/>
      <c r="CB121" s="703"/>
      <c r="CC121" s="703"/>
      <c r="CD121" s="699"/>
      <c r="CE121" s="699"/>
      <c r="CF121" s="699"/>
      <c r="CG121" s="699"/>
      <c r="CH121" s="699"/>
      <c r="CI121" s="699"/>
      <c r="CJ121" s="699"/>
      <c r="CK121" s="699"/>
      <c r="CL121" s="699"/>
      <c r="CM121" s="699"/>
      <c r="CN121" s="699"/>
      <c r="CO121" s="699"/>
      <c r="CP121" s="699"/>
      <c r="CQ121" s="488"/>
      <c r="CR121" s="490"/>
      <c r="CS121" s="490"/>
      <c r="CT121" s="492" t="str">
        <f t="shared" si="315"/>
        <v>0</v>
      </c>
      <c r="CU121" s="490"/>
      <c r="CV121" s="490"/>
      <c r="CW121" s="492" t="str">
        <f t="shared" si="316"/>
        <v>0</v>
      </c>
      <c r="CX121" s="490"/>
      <c r="CY121" s="490"/>
      <c r="CZ121" s="492" t="str">
        <f t="shared" si="317"/>
        <v>0</v>
      </c>
      <c r="DA121" s="490"/>
      <c r="DB121" s="490"/>
      <c r="DC121" s="492" t="str">
        <f t="shared" si="318"/>
        <v>0</v>
      </c>
      <c r="DD121" s="493"/>
      <c r="DE121" s="490"/>
      <c r="DF121" s="492" t="str">
        <f t="shared" si="319"/>
        <v>0</v>
      </c>
      <c r="DG121" s="438"/>
      <c r="DH121" s="494"/>
      <c r="DI121" s="479"/>
      <c r="DJ121" s="480"/>
      <c r="DK121" s="481"/>
      <c r="DL121" s="841"/>
      <c r="DM121" s="842">
        <v>45118</v>
      </c>
      <c r="DN121" s="326"/>
      <c r="DO121" s="191">
        <f t="shared" si="302"/>
        <v>1503.9333333333334</v>
      </c>
      <c r="DP121" s="481" t="str">
        <f t="shared" si="350"/>
        <v>0</v>
      </c>
      <c r="DQ121" s="618">
        <v>59</v>
      </c>
      <c r="DR121" s="188">
        <f t="shared" si="351"/>
        <v>62</v>
      </c>
      <c r="DS121" s="479"/>
      <c r="DT121" s="484">
        <f t="shared" ca="1" si="352"/>
        <v>43647</v>
      </c>
      <c r="DU121" s="481" t="str">
        <f t="shared" ca="1" si="353"/>
        <v>0</v>
      </c>
      <c r="DV121" s="680"/>
      <c r="DW121" s="484">
        <f t="shared" ca="1" si="354"/>
        <v>43647</v>
      </c>
      <c r="DX121" s="482" t="str">
        <f t="shared" ca="1" si="355"/>
        <v>0</v>
      </c>
      <c r="DY121" s="844"/>
      <c r="DZ121" s="484">
        <f t="shared" ca="1" si="356"/>
        <v>43647</v>
      </c>
      <c r="EA121" s="481" t="str">
        <f t="shared" ca="1" si="357"/>
        <v>0</v>
      </c>
      <c r="EB121" s="484">
        <v>43559</v>
      </c>
      <c r="EC121" s="484">
        <f t="shared" ca="1" si="358"/>
        <v>43647</v>
      </c>
      <c r="ED121" s="481">
        <f t="shared" ca="1" si="359"/>
        <v>88</v>
      </c>
      <c r="EE121" s="485"/>
      <c r="EF121" s="485"/>
      <c r="EG121" s="481" t="str">
        <f t="shared" si="360"/>
        <v>0</v>
      </c>
      <c r="EH121" s="484"/>
      <c r="EI121" s="484">
        <f t="shared" ca="1" si="361"/>
        <v>43647</v>
      </c>
      <c r="EJ121" s="481" t="str">
        <f t="shared" ca="1" si="362"/>
        <v>0</v>
      </c>
      <c r="EK121" s="484">
        <v>43636</v>
      </c>
      <c r="EL121" s="484">
        <f t="shared" ca="1" si="363"/>
        <v>43647</v>
      </c>
      <c r="EM121" s="481">
        <f t="shared" ca="1" si="364"/>
        <v>11</v>
      </c>
      <c r="EN121" s="484"/>
      <c r="EO121" s="484"/>
      <c r="EP121" s="845"/>
      <c r="EQ121" s="841">
        <f t="shared" si="365"/>
        <v>46915</v>
      </c>
      <c r="ER121" s="805">
        <f t="shared" si="366"/>
        <v>47007</v>
      </c>
      <c r="ES121" s="804">
        <f t="shared" si="367"/>
        <v>3.0666666666666669</v>
      </c>
      <c r="ET121" s="904">
        <f t="shared" ca="1" si="306"/>
        <v>112</v>
      </c>
      <c r="EU121" s="748">
        <f t="shared" ca="1" si="320"/>
        <v>44378</v>
      </c>
      <c r="EV121" s="737"/>
      <c r="EW121" s="749"/>
      <c r="EX121" s="652">
        <f t="shared" si="368"/>
        <v>47131</v>
      </c>
      <c r="EY121" s="850"/>
      <c r="EZ121" s="653">
        <f t="shared" si="369"/>
        <v>46945</v>
      </c>
      <c r="FA121" s="749">
        <f t="shared" si="370"/>
        <v>47162</v>
      </c>
      <c r="FB121" s="852"/>
      <c r="FC121" s="807">
        <f t="shared" si="371"/>
        <v>7.2333333333333334</v>
      </c>
      <c r="FD121" s="192"/>
      <c r="FE121" s="192">
        <f t="shared" si="372"/>
        <v>0</v>
      </c>
      <c r="FF121" s="91"/>
      <c r="FG121" s="502"/>
      <c r="FH121" s="502"/>
      <c r="FI121" s="502"/>
      <c r="FJ121" s="663"/>
      <c r="FK121" s="502"/>
      <c r="FL121" s="664" t="e">
        <f t="shared" si="373"/>
        <v>#DIV/0!</v>
      </c>
      <c r="FM121" s="499"/>
      <c r="FN121" s="520"/>
      <c r="FO121" s="504"/>
      <c r="FP121" s="499"/>
      <c r="FQ121" s="94"/>
      <c r="FR121" s="94"/>
      <c r="FS121" s="94"/>
      <c r="FT121" s="94"/>
      <c r="FU121" s="94"/>
      <c r="FV121" s="39"/>
      <c r="FW121" s="212">
        <f t="shared" si="374"/>
        <v>47372</v>
      </c>
      <c r="FX121" s="212"/>
      <c r="FY121" s="39"/>
      <c r="FZ121" s="39"/>
      <c r="GA121" s="39"/>
      <c r="GB121" s="39"/>
      <c r="GC121" s="39"/>
      <c r="GD121" s="39"/>
      <c r="GE121" s="39"/>
      <c r="GF121" s="39"/>
      <c r="GG121" s="39"/>
      <c r="GH121" s="39"/>
      <c r="GI121" s="39"/>
      <c r="GJ121" s="39"/>
      <c r="GK121" s="39"/>
      <c r="GL121" s="742"/>
      <c r="GM121" s="979">
        <f t="shared" si="341"/>
        <v>0</v>
      </c>
      <c r="GN121" s="772">
        <f t="shared" si="344"/>
        <v>0</v>
      </c>
      <c r="GO121" s="53">
        <f t="shared" si="375"/>
        <v>0</v>
      </c>
      <c r="GP121" s="898">
        <f t="shared" si="321"/>
        <v>0</v>
      </c>
      <c r="GQ121" s="35" t="e">
        <f t="shared" si="342"/>
        <v>#DIV/0!</v>
      </c>
      <c r="GR121" s="35" t="e">
        <f>#REF!/AE121</f>
        <v>#REF!</v>
      </c>
      <c r="GS121" s="856"/>
      <c r="GT121" s="810"/>
      <c r="GU121" s="35"/>
      <c r="GV121" s="53">
        <f t="shared" si="376"/>
        <v>0</v>
      </c>
      <c r="GW121" s="67"/>
      <c r="GX121" s="67"/>
      <c r="GY121" s="568">
        <f t="shared" si="377"/>
        <v>0</v>
      </c>
      <c r="GZ121" s="53"/>
      <c r="HA121" s="53"/>
      <c r="HB121" s="11"/>
      <c r="HC121" s="68" t="e">
        <f t="shared" si="382"/>
        <v>#DIV/0!</v>
      </c>
      <c r="HD121" s="53"/>
      <c r="HE121" s="53"/>
      <c r="HF121" s="53"/>
      <c r="HG121" s="35">
        <f t="shared" si="378"/>
        <v>0</v>
      </c>
      <c r="HH121" s="35">
        <f t="shared" si="379"/>
        <v>0</v>
      </c>
      <c r="HI121" s="70"/>
      <c r="HJ121" s="70"/>
      <c r="HK121" s="35" t="e">
        <f>(#REF!+#REF!+HJ121)/AE121</f>
        <v>#REF!</v>
      </c>
      <c r="HL121" s="70"/>
      <c r="HM121" s="35">
        <f t="shared" si="380"/>
        <v>0</v>
      </c>
      <c r="HN121" s="36" t="e">
        <f t="shared" si="383"/>
        <v>#DIV/0!</v>
      </c>
      <c r="HO121" s="70"/>
      <c r="HP121" s="70"/>
      <c r="HQ121" s="11"/>
      <c r="HR121" s="898"/>
      <c r="HS121" s="907" t="e">
        <f t="shared" si="325"/>
        <v>#DIV/0!</v>
      </c>
      <c r="HT121" s="898">
        <f t="shared" si="326"/>
        <v>0</v>
      </c>
      <c r="HU121" s="898">
        <f t="shared" ca="1" si="343"/>
        <v>0</v>
      </c>
      <c r="HV121" s="898"/>
      <c r="HW121" s="898"/>
      <c r="HX121" s="898"/>
      <c r="HY121" s="898"/>
      <c r="HZ121" s="898"/>
      <c r="IA121" s="73" t="e">
        <f>#REF!+HI121</f>
        <v>#REF!</v>
      </c>
      <c r="IB121" s="752"/>
      <c r="IC121" s="73"/>
      <c r="ID121" s="73"/>
      <c r="IE121" s="73"/>
      <c r="IF121" s="73"/>
      <c r="XCZ121" s="74"/>
    </row>
    <row r="122" spans="1:240 16328:16328" ht="15" customHeight="1">
      <c r="A122" s="916" t="s">
        <v>514</v>
      </c>
      <c r="B122" s="916"/>
      <c r="C122" s="39" t="s">
        <v>14</v>
      </c>
      <c r="D122" s="39" t="s">
        <v>92</v>
      </c>
      <c r="E122" s="39" t="s">
        <v>754</v>
      </c>
      <c r="F122" s="39"/>
      <c r="G122" s="39"/>
      <c r="H122" s="39"/>
      <c r="I122" s="41"/>
      <c r="J122" s="39"/>
      <c r="K122" s="39" t="s">
        <v>883</v>
      </c>
      <c r="L122" s="199" t="s">
        <v>753</v>
      </c>
      <c r="M122" s="129"/>
      <c r="N122" s="130"/>
      <c r="O122" s="131"/>
      <c r="P122" s="161"/>
      <c r="Q122" s="161"/>
      <c r="R122" s="161"/>
      <c r="S122" s="161">
        <f t="shared" si="334"/>
        <v>0</v>
      </c>
      <c r="T122" s="161"/>
      <c r="U122" s="167"/>
      <c r="V122" s="167"/>
      <c r="W122" s="167">
        <f t="shared" si="338"/>
        <v>0</v>
      </c>
      <c r="X122" s="161"/>
      <c r="Y122" s="162"/>
      <c r="Z122" s="736" t="e">
        <f t="shared" si="340"/>
        <v>#DIV/0!</v>
      </c>
      <c r="AA122" s="162"/>
      <c r="AB122" s="162"/>
      <c r="AC122" s="163"/>
      <c r="AD122" s="39" t="s">
        <v>10</v>
      </c>
      <c r="AE122" s="675">
        <f t="shared" si="311"/>
        <v>60</v>
      </c>
      <c r="AF122" s="675">
        <f t="shared" si="312"/>
        <v>60</v>
      </c>
      <c r="AG122" s="50"/>
      <c r="AH122" s="39">
        <v>60</v>
      </c>
      <c r="AI122" s="50"/>
      <c r="AJ122" s="50"/>
      <c r="AK122" s="692"/>
      <c r="AL122" s="422"/>
      <c r="AM122" s="875">
        <f t="shared" si="313"/>
        <v>0</v>
      </c>
      <c r="AN122" s="10">
        <f t="shared" si="314"/>
        <v>0</v>
      </c>
      <c r="AO122" s="43"/>
      <c r="AP122" s="43"/>
      <c r="AQ122" s="43"/>
      <c r="AR122" s="61"/>
      <c r="AS122" s="61"/>
      <c r="AT122" s="61"/>
      <c r="AU122" s="61"/>
      <c r="AV122" s="61"/>
      <c r="AW122" s="43"/>
      <c r="AX122" s="59"/>
      <c r="AY122" s="61"/>
      <c r="AZ122" s="43"/>
      <c r="BA122" s="42"/>
      <c r="BB122" s="39"/>
      <c r="BC122" s="39"/>
      <c r="BD122" s="39"/>
      <c r="BE122" s="39"/>
      <c r="BF122" s="39"/>
      <c r="BG122" s="184"/>
      <c r="BH122" s="143"/>
      <c r="BI122" s="159"/>
      <c r="BJ122" s="75"/>
      <c r="BK122" s="867" t="s">
        <v>250</v>
      </c>
      <c r="BL122" s="125"/>
      <c r="BM122" s="158"/>
      <c r="BN122" s="1007">
        <f t="shared" si="308"/>
        <v>0</v>
      </c>
      <c r="BO122" s="954"/>
      <c r="BP122" s="125"/>
      <c r="BQ122" s="125"/>
      <c r="BR122" s="225"/>
      <c r="BS122" s="224">
        <f t="shared" si="345"/>
        <v>731</v>
      </c>
      <c r="BT122" s="605"/>
      <c r="BU122" s="224" t="str">
        <f t="shared" si="346"/>
        <v>oui</v>
      </c>
      <c r="BV122" s="784">
        <f t="shared" si="347"/>
        <v>-1548.7</v>
      </c>
      <c r="BW122" s="605">
        <f t="shared" si="348"/>
        <v>0</v>
      </c>
      <c r="BX122" s="605">
        <f t="shared" si="349"/>
        <v>0</v>
      </c>
      <c r="BY122" s="702"/>
      <c r="BZ122" s="708"/>
      <c r="CA122" s="703"/>
      <c r="CB122" s="703"/>
      <c r="CC122" s="703"/>
      <c r="CD122" s="699"/>
      <c r="CE122" s="699"/>
      <c r="CF122" s="699"/>
      <c r="CG122" s="699"/>
      <c r="CH122" s="699"/>
      <c r="CI122" s="699"/>
      <c r="CJ122" s="699"/>
      <c r="CK122" s="699"/>
      <c r="CL122" s="699"/>
      <c r="CM122" s="699"/>
      <c r="CN122" s="699"/>
      <c r="CO122" s="699"/>
      <c r="CP122" s="699"/>
      <c r="CQ122" s="488"/>
      <c r="CR122" s="490"/>
      <c r="CS122" s="490"/>
      <c r="CT122" s="492" t="str">
        <f t="shared" si="315"/>
        <v>0</v>
      </c>
      <c r="CU122" s="490"/>
      <c r="CV122" s="490"/>
      <c r="CW122" s="492" t="str">
        <f t="shared" si="316"/>
        <v>0</v>
      </c>
      <c r="CX122" s="490"/>
      <c r="CY122" s="490"/>
      <c r="CZ122" s="492" t="str">
        <f t="shared" si="317"/>
        <v>0</v>
      </c>
      <c r="DA122" s="490"/>
      <c r="DB122" s="490"/>
      <c r="DC122" s="492" t="str">
        <f t="shared" si="318"/>
        <v>0</v>
      </c>
      <c r="DD122" s="493"/>
      <c r="DE122" s="490"/>
      <c r="DF122" s="492" t="str">
        <f t="shared" si="319"/>
        <v>0</v>
      </c>
      <c r="DG122" s="438"/>
      <c r="DH122" s="494"/>
      <c r="DI122" s="479"/>
      <c r="DJ122" s="480"/>
      <c r="DK122" s="481"/>
      <c r="DL122" s="479"/>
      <c r="DM122" s="617">
        <v>45120</v>
      </c>
      <c r="DN122" s="326"/>
      <c r="DO122" s="432">
        <f t="shared" si="302"/>
        <v>1504</v>
      </c>
      <c r="DP122" s="481" t="str">
        <f t="shared" si="350"/>
        <v>0</v>
      </c>
      <c r="DQ122" s="618">
        <v>60</v>
      </c>
      <c r="DR122" s="188">
        <f t="shared" si="351"/>
        <v>63</v>
      </c>
      <c r="DS122" s="479"/>
      <c r="DT122" s="484">
        <f t="shared" ca="1" si="352"/>
        <v>43647</v>
      </c>
      <c r="DU122" s="481" t="str">
        <f t="shared" ca="1" si="353"/>
        <v>0</v>
      </c>
      <c r="DV122" s="479"/>
      <c r="DW122" s="497">
        <f t="shared" ca="1" si="354"/>
        <v>43647</v>
      </c>
      <c r="DX122" s="482" t="str">
        <f t="shared" ca="1" si="355"/>
        <v>0</v>
      </c>
      <c r="DY122" s="844"/>
      <c r="DZ122" s="497">
        <f t="shared" ca="1" si="356"/>
        <v>43647</v>
      </c>
      <c r="EA122" s="481" t="str">
        <f t="shared" ca="1" si="357"/>
        <v>0</v>
      </c>
      <c r="EB122" s="484">
        <v>43560</v>
      </c>
      <c r="EC122" s="484">
        <f t="shared" ca="1" si="358"/>
        <v>43647</v>
      </c>
      <c r="ED122" s="481">
        <f t="shared" ca="1" si="359"/>
        <v>87</v>
      </c>
      <c r="EE122" s="485"/>
      <c r="EF122" s="485"/>
      <c r="EG122" s="481" t="str">
        <f t="shared" si="360"/>
        <v>0</v>
      </c>
      <c r="EH122" s="484"/>
      <c r="EI122" s="484">
        <f t="shared" ca="1" si="361"/>
        <v>43647</v>
      </c>
      <c r="EJ122" s="481" t="str">
        <f t="shared" ca="1" si="362"/>
        <v>0</v>
      </c>
      <c r="EK122" s="484">
        <v>43637</v>
      </c>
      <c r="EL122" s="484">
        <f t="shared" ca="1" si="363"/>
        <v>43647</v>
      </c>
      <c r="EM122" s="481">
        <f t="shared" ca="1" si="364"/>
        <v>10</v>
      </c>
      <c r="EN122" s="484"/>
      <c r="EO122" s="484"/>
      <c r="EP122" s="484"/>
      <c r="EQ122" s="654">
        <f t="shared" si="365"/>
        <v>46947</v>
      </c>
      <c r="ER122" s="653">
        <f t="shared" si="366"/>
        <v>47039</v>
      </c>
      <c r="ES122" s="650">
        <f t="shared" si="367"/>
        <v>3.0666666666666669</v>
      </c>
      <c r="ET122" s="904">
        <f t="shared" ca="1" si="306"/>
        <v>113.06666666666666</v>
      </c>
      <c r="EU122" s="653">
        <f t="shared" ca="1" si="320"/>
        <v>44378</v>
      </c>
      <c r="EV122" s="748"/>
      <c r="EW122" s="737"/>
      <c r="EX122" s="749">
        <f t="shared" si="368"/>
        <v>47164</v>
      </c>
      <c r="EY122" s="443"/>
      <c r="EZ122" s="747">
        <f t="shared" si="369"/>
        <v>46978</v>
      </c>
      <c r="FA122" s="653">
        <f t="shared" si="370"/>
        <v>47192</v>
      </c>
      <c r="FB122" s="518"/>
      <c r="FC122" s="647">
        <f t="shared" si="371"/>
        <v>7.1333333333333337</v>
      </c>
      <c r="FD122" s="635"/>
      <c r="FE122" s="192">
        <f t="shared" si="372"/>
        <v>0</v>
      </c>
      <c r="FF122" s="91"/>
      <c r="FG122" s="502"/>
      <c r="FH122" s="502"/>
      <c r="FI122" s="502"/>
      <c r="FJ122" s="502"/>
      <c r="FK122" s="663"/>
      <c r="FL122" s="664" t="e">
        <f t="shared" si="373"/>
        <v>#DIV/0!</v>
      </c>
      <c r="FM122" s="499"/>
      <c r="FN122" s="511"/>
      <c r="FO122" s="504"/>
      <c r="FP122" s="504"/>
      <c r="FQ122" s="94"/>
      <c r="FR122" s="94"/>
      <c r="FS122" s="94"/>
      <c r="FT122" s="94"/>
      <c r="FU122" s="94"/>
      <c r="FV122" s="39"/>
      <c r="FW122" s="212">
        <f t="shared" si="374"/>
        <v>47404</v>
      </c>
      <c r="FX122" s="212"/>
      <c r="FY122" s="39"/>
      <c r="FZ122" s="39"/>
      <c r="GA122" s="39"/>
      <c r="GB122" s="39"/>
      <c r="GC122" s="39"/>
      <c r="GD122" s="39"/>
      <c r="GE122" s="39"/>
      <c r="GF122" s="39"/>
      <c r="GG122" s="39"/>
      <c r="GH122" s="39"/>
      <c r="GI122" s="39"/>
      <c r="GJ122" s="39"/>
      <c r="GK122" s="39"/>
      <c r="GL122" s="742"/>
      <c r="GM122" s="979">
        <f t="shared" si="341"/>
        <v>0</v>
      </c>
      <c r="GN122" s="772">
        <f t="shared" si="344"/>
        <v>0</v>
      </c>
      <c r="GO122" s="53">
        <f t="shared" si="375"/>
        <v>0</v>
      </c>
      <c r="GP122" s="898">
        <f t="shared" si="321"/>
        <v>0</v>
      </c>
      <c r="GQ122" s="35" t="e">
        <f t="shared" si="342"/>
        <v>#DIV/0!</v>
      </c>
      <c r="GR122" s="35" t="e">
        <f>#REF!/AE122</f>
        <v>#REF!</v>
      </c>
      <c r="GS122" s="53"/>
      <c r="GT122" s="577"/>
      <c r="GU122" s="35"/>
      <c r="GV122" s="53">
        <f t="shared" si="376"/>
        <v>0</v>
      </c>
      <c r="GW122" s="67"/>
      <c r="GX122" s="67"/>
      <c r="GY122" s="568">
        <f t="shared" si="377"/>
        <v>0</v>
      </c>
      <c r="GZ122" s="53"/>
      <c r="HA122" s="53"/>
      <c r="HB122" s="53"/>
      <c r="HC122" s="68" t="e">
        <f t="shared" si="382"/>
        <v>#DIV/0!</v>
      </c>
      <c r="HD122" s="53"/>
      <c r="HE122" s="53"/>
      <c r="HF122" s="53"/>
      <c r="HG122" s="35">
        <f t="shared" si="378"/>
        <v>0</v>
      </c>
      <c r="HH122" s="35">
        <f t="shared" si="379"/>
        <v>0</v>
      </c>
      <c r="HI122" s="70"/>
      <c r="HJ122" s="70"/>
      <c r="HK122" s="35" t="e">
        <f>(#REF!+#REF!+HJ122)/AE122</f>
        <v>#REF!</v>
      </c>
      <c r="HL122" s="70"/>
      <c r="HM122" s="35">
        <f t="shared" si="380"/>
        <v>0</v>
      </c>
      <c r="HN122" s="36" t="e">
        <f t="shared" si="383"/>
        <v>#DIV/0!</v>
      </c>
      <c r="HO122" s="70"/>
      <c r="HP122" s="70"/>
      <c r="HQ122" s="53"/>
      <c r="HR122" s="898"/>
      <c r="HS122" s="907" t="e">
        <f t="shared" si="325"/>
        <v>#DIV/0!</v>
      </c>
      <c r="HT122" s="898">
        <f t="shared" si="326"/>
        <v>0</v>
      </c>
      <c r="HU122" s="898">
        <f t="shared" ca="1" si="343"/>
        <v>0</v>
      </c>
      <c r="HV122" s="898"/>
      <c r="HW122" s="898"/>
      <c r="HX122" s="898"/>
      <c r="HY122" s="898"/>
      <c r="HZ122" s="898"/>
      <c r="IA122" s="73" t="e">
        <f>#REF!+HI122</f>
        <v>#REF!</v>
      </c>
      <c r="IB122" s="752"/>
      <c r="IC122" s="73"/>
      <c r="ID122" s="73"/>
      <c r="IE122" s="73"/>
      <c r="IF122" s="73"/>
    </row>
    <row r="123" spans="1:240 16328:16328" ht="15" customHeight="1">
      <c r="A123" s="676" t="s">
        <v>766</v>
      </c>
      <c r="B123" s="676"/>
      <c r="C123" s="39" t="s">
        <v>21</v>
      </c>
      <c r="D123" s="39" t="s">
        <v>92</v>
      </c>
      <c r="E123" s="39"/>
      <c r="F123" s="39"/>
      <c r="G123" s="39"/>
      <c r="H123" s="39"/>
      <c r="I123" s="41"/>
      <c r="J123" s="39"/>
      <c r="K123" s="39" t="s">
        <v>370</v>
      </c>
      <c r="L123" s="199" t="s">
        <v>767</v>
      </c>
      <c r="M123" s="129" t="s">
        <v>768</v>
      </c>
      <c r="N123" s="130"/>
      <c r="O123" s="131"/>
      <c r="P123" s="161">
        <v>52241</v>
      </c>
      <c r="Q123" s="161"/>
      <c r="R123" s="161"/>
      <c r="S123" s="161">
        <f t="shared" si="334"/>
        <v>0</v>
      </c>
      <c r="T123" s="161">
        <f t="shared" ref="T123:T128" si="384">Q123/P123</f>
        <v>0</v>
      </c>
      <c r="U123" s="167">
        <f t="shared" ref="U123:U128" si="385">R123/P123</f>
        <v>0</v>
      </c>
      <c r="V123" s="167" t="e">
        <f>R123/AL123</f>
        <v>#DIV/0!</v>
      </c>
      <c r="W123" s="167">
        <f t="shared" si="338"/>
        <v>0</v>
      </c>
      <c r="X123" s="161">
        <f t="shared" ref="X123:X128" si="386">P123/AE123</f>
        <v>870.68333333333328</v>
      </c>
      <c r="Y123" s="162"/>
      <c r="Z123" s="733">
        <f t="shared" si="340"/>
        <v>11.485231905974235</v>
      </c>
      <c r="AA123" s="162"/>
      <c r="AB123" s="162"/>
      <c r="AC123" s="163"/>
      <c r="AD123" s="39" t="s">
        <v>10</v>
      </c>
      <c r="AE123" s="675">
        <f t="shared" si="311"/>
        <v>60</v>
      </c>
      <c r="AF123" s="675">
        <f t="shared" si="312"/>
        <v>60</v>
      </c>
      <c r="AG123" s="50"/>
      <c r="AH123" s="39">
        <v>60</v>
      </c>
      <c r="AI123" s="50"/>
      <c r="AJ123" s="50"/>
      <c r="AK123" s="692"/>
      <c r="AL123" s="422"/>
      <c r="AM123" s="875">
        <f t="shared" si="313"/>
        <v>0</v>
      </c>
      <c r="AN123" s="10">
        <f t="shared" si="314"/>
        <v>0</v>
      </c>
      <c r="AO123" s="43"/>
      <c r="AP123" s="43"/>
      <c r="AQ123" s="43"/>
      <c r="AR123" s="61"/>
      <c r="AS123" s="61"/>
      <c r="AT123" s="61"/>
      <c r="AU123" s="61"/>
      <c r="AV123" s="61"/>
      <c r="AW123" s="43"/>
      <c r="AX123" s="59"/>
      <c r="AY123" s="61"/>
      <c r="AZ123" s="43"/>
      <c r="BA123" s="42"/>
      <c r="BB123" s="39"/>
      <c r="BC123" s="39"/>
      <c r="BD123" s="39"/>
      <c r="BE123" s="39"/>
      <c r="BF123" s="39"/>
      <c r="BG123" s="184"/>
      <c r="BH123" s="143"/>
      <c r="BI123" s="159"/>
      <c r="BJ123" s="75"/>
      <c r="BK123" s="867" t="s">
        <v>250</v>
      </c>
      <c r="BL123" s="125"/>
      <c r="BM123" s="158"/>
      <c r="BN123" s="1007">
        <f t="shared" si="308"/>
        <v>0</v>
      </c>
      <c r="BO123" s="954"/>
      <c r="BP123" s="125"/>
      <c r="BQ123" s="125"/>
      <c r="BR123" s="225"/>
      <c r="BS123" s="224">
        <f t="shared" si="345"/>
        <v>731</v>
      </c>
      <c r="BT123" s="605"/>
      <c r="BU123" s="224" t="str">
        <f t="shared" si="346"/>
        <v>oui</v>
      </c>
      <c r="BV123" s="784">
        <f t="shared" si="347"/>
        <v>-1537.1666666666667</v>
      </c>
      <c r="BW123" s="605">
        <f t="shared" si="348"/>
        <v>0</v>
      </c>
      <c r="BX123" s="605">
        <f t="shared" si="349"/>
        <v>0</v>
      </c>
      <c r="BY123" s="702"/>
      <c r="BZ123" s="708"/>
      <c r="CA123" s="703"/>
      <c r="CB123" s="703"/>
      <c r="CC123" s="703"/>
      <c r="CD123" s="699"/>
      <c r="CE123" s="699"/>
      <c r="CF123" s="699"/>
      <c r="CG123" s="699"/>
      <c r="CH123" s="699"/>
      <c r="CI123" s="699"/>
      <c r="CJ123" s="699"/>
      <c r="CK123" s="699"/>
      <c r="CL123" s="699"/>
      <c r="CM123" s="699"/>
      <c r="CN123" s="699"/>
      <c r="CO123" s="699"/>
      <c r="CP123" s="699"/>
      <c r="CQ123" s="488"/>
      <c r="CR123" s="490"/>
      <c r="CS123" s="490"/>
      <c r="CT123" s="492" t="str">
        <f t="shared" si="315"/>
        <v>0</v>
      </c>
      <c r="CU123" s="490"/>
      <c r="CV123" s="490"/>
      <c r="CW123" s="492" t="str">
        <f t="shared" si="316"/>
        <v>0</v>
      </c>
      <c r="CX123" s="490"/>
      <c r="CY123" s="490"/>
      <c r="CZ123" s="492" t="str">
        <f t="shared" si="317"/>
        <v>0</v>
      </c>
      <c r="DA123" s="490"/>
      <c r="DB123" s="490"/>
      <c r="DC123" s="492" t="str">
        <f t="shared" si="318"/>
        <v>0</v>
      </c>
      <c r="DD123" s="493"/>
      <c r="DE123" s="490"/>
      <c r="DF123" s="492" t="str">
        <f t="shared" si="319"/>
        <v>0</v>
      </c>
      <c r="DG123" s="438"/>
      <c r="DH123" s="494"/>
      <c r="DI123" s="479"/>
      <c r="DJ123" s="480"/>
      <c r="DK123" s="481"/>
      <c r="DL123" s="479"/>
      <c r="DM123" s="617">
        <v>44743</v>
      </c>
      <c r="DN123" s="326"/>
      <c r="DO123" s="432">
        <f t="shared" si="302"/>
        <v>1491.4333333333334</v>
      </c>
      <c r="DP123" s="481" t="str">
        <f t="shared" si="350"/>
        <v>0</v>
      </c>
      <c r="DQ123" s="618">
        <v>61</v>
      </c>
      <c r="DR123" s="188">
        <f t="shared" si="351"/>
        <v>64</v>
      </c>
      <c r="DS123" s="479"/>
      <c r="DT123" s="484">
        <f t="shared" ca="1" si="352"/>
        <v>43647</v>
      </c>
      <c r="DU123" s="481" t="str">
        <f t="shared" ca="1" si="353"/>
        <v>0</v>
      </c>
      <c r="DV123" s="479"/>
      <c r="DW123" s="497">
        <f t="shared" ca="1" si="354"/>
        <v>43647</v>
      </c>
      <c r="DX123" s="482" t="str">
        <f t="shared" ca="1" si="355"/>
        <v>0</v>
      </c>
      <c r="DY123" s="483"/>
      <c r="DZ123" s="497">
        <f t="shared" ca="1" si="356"/>
        <v>43647</v>
      </c>
      <c r="EA123" s="481" t="str">
        <f t="shared" ca="1" si="357"/>
        <v>0</v>
      </c>
      <c r="EB123" s="484">
        <v>43561</v>
      </c>
      <c r="EC123" s="484">
        <f t="shared" ca="1" si="358"/>
        <v>43647</v>
      </c>
      <c r="ED123" s="481">
        <f t="shared" ca="1" si="359"/>
        <v>86</v>
      </c>
      <c r="EE123" s="485"/>
      <c r="EF123" s="485"/>
      <c r="EG123" s="481" t="str">
        <f t="shared" si="360"/>
        <v>0</v>
      </c>
      <c r="EH123" s="484"/>
      <c r="EI123" s="484">
        <f t="shared" ca="1" si="361"/>
        <v>43647</v>
      </c>
      <c r="EJ123" s="481" t="str">
        <f t="shared" ca="1" si="362"/>
        <v>0</v>
      </c>
      <c r="EK123" s="484">
        <v>43638</v>
      </c>
      <c r="EL123" s="484">
        <f t="shared" ca="1" si="363"/>
        <v>43647</v>
      </c>
      <c r="EM123" s="481">
        <f t="shared" ca="1" si="364"/>
        <v>9</v>
      </c>
      <c r="EN123" s="484"/>
      <c r="EO123" s="484"/>
      <c r="EP123" s="484"/>
      <c r="EQ123" s="654">
        <f t="shared" si="365"/>
        <v>46600</v>
      </c>
      <c r="ER123" s="653">
        <f t="shared" si="366"/>
        <v>46692</v>
      </c>
      <c r="ES123" s="650">
        <f t="shared" si="367"/>
        <v>3.0666666666666669</v>
      </c>
      <c r="ET123" s="904">
        <f t="shared" ca="1" si="306"/>
        <v>101.5</v>
      </c>
      <c r="EU123" s="653">
        <f t="shared" ca="1" si="320"/>
        <v>44378</v>
      </c>
      <c r="EV123" s="748"/>
      <c r="EW123" s="737"/>
      <c r="EX123" s="749">
        <f t="shared" si="368"/>
        <v>46815</v>
      </c>
      <c r="EY123" s="443"/>
      <c r="EZ123" s="747">
        <f t="shared" si="369"/>
        <v>46631</v>
      </c>
      <c r="FA123" s="653">
        <f t="shared" si="370"/>
        <v>46846</v>
      </c>
      <c r="FB123" s="518"/>
      <c r="FC123" s="647">
        <f t="shared" si="371"/>
        <v>7.166666666666667</v>
      </c>
      <c r="FD123" s="635"/>
      <c r="FE123" s="192">
        <f t="shared" si="372"/>
        <v>0</v>
      </c>
      <c r="FF123" s="91"/>
      <c r="FG123" s="502"/>
      <c r="FH123" s="502"/>
      <c r="FI123" s="502"/>
      <c r="FJ123" s="502"/>
      <c r="FK123" s="663"/>
      <c r="FL123" s="664" t="e">
        <f t="shared" si="373"/>
        <v>#DIV/0!</v>
      </c>
      <c r="FM123" s="499"/>
      <c r="FN123" s="511"/>
      <c r="FO123" s="504"/>
      <c r="FP123" s="504"/>
      <c r="FQ123" s="94"/>
      <c r="FR123" s="94"/>
      <c r="FS123" s="94"/>
      <c r="FT123" s="94"/>
      <c r="FU123" s="94"/>
      <c r="FV123" s="39"/>
      <c r="FW123" s="212">
        <f t="shared" si="374"/>
        <v>47058</v>
      </c>
      <c r="FX123" s="212"/>
      <c r="FY123" s="39"/>
      <c r="FZ123" s="39"/>
      <c r="GA123" s="39"/>
      <c r="GB123" s="39"/>
      <c r="GC123" s="39"/>
      <c r="GD123" s="39"/>
      <c r="GE123" s="39"/>
      <c r="GF123" s="39"/>
      <c r="GG123" s="39"/>
      <c r="GH123" s="39"/>
      <c r="GI123" s="39"/>
      <c r="GJ123" s="39"/>
      <c r="GK123" s="39"/>
      <c r="GL123" s="742"/>
      <c r="GM123" s="979">
        <f t="shared" si="341"/>
        <v>0</v>
      </c>
      <c r="GN123" s="772">
        <f t="shared" si="344"/>
        <v>0</v>
      </c>
      <c r="GO123" s="53">
        <f t="shared" si="375"/>
        <v>0</v>
      </c>
      <c r="GP123" s="898">
        <f t="shared" si="321"/>
        <v>0</v>
      </c>
      <c r="GQ123" s="35" t="e">
        <f t="shared" si="342"/>
        <v>#DIV/0!</v>
      </c>
      <c r="GR123" s="35" t="e">
        <f>#REF!/AE123</f>
        <v>#REF!</v>
      </c>
      <c r="GS123" s="53"/>
      <c r="GT123" s="577"/>
      <c r="GU123" s="35"/>
      <c r="GV123" s="53">
        <f t="shared" si="376"/>
        <v>0</v>
      </c>
      <c r="GW123" s="67"/>
      <c r="GX123" s="67"/>
      <c r="GY123" s="568">
        <f t="shared" si="377"/>
        <v>0</v>
      </c>
      <c r="GZ123" s="53"/>
      <c r="HA123" s="53"/>
      <c r="HB123" s="53"/>
      <c r="HC123" s="68" t="e">
        <f t="shared" si="382"/>
        <v>#DIV/0!</v>
      </c>
      <c r="HD123" s="53"/>
      <c r="HE123" s="53"/>
      <c r="HF123" s="53"/>
      <c r="HG123" s="35">
        <f t="shared" si="378"/>
        <v>0</v>
      </c>
      <c r="HH123" s="35">
        <f t="shared" si="379"/>
        <v>0</v>
      </c>
      <c r="HI123" s="70"/>
      <c r="HJ123" s="70"/>
      <c r="HK123" s="35" t="e">
        <f>(#REF!+#REF!+HJ123)/AE123</f>
        <v>#REF!</v>
      </c>
      <c r="HL123" s="70"/>
      <c r="HM123" s="35">
        <f t="shared" si="380"/>
        <v>0</v>
      </c>
      <c r="HN123" s="36" t="e">
        <f t="shared" si="383"/>
        <v>#DIV/0!</v>
      </c>
      <c r="HO123" s="70"/>
      <c r="HP123" s="70"/>
      <c r="HQ123" s="53"/>
      <c r="HR123" s="898"/>
      <c r="HS123" s="907" t="e">
        <f t="shared" si="325"/>
        <v>#DIV/0!</v>
      </c>
      <c r="HT123" s="898">
        <f t="shared" si="326"/>
        <v>0</v>
      </c>
      <c r="HU123" s="898">
        <f t="shared" ca="1" si="343"/>
        <v>0</v>
      </c>
      <c r="HV123" s="898"/>
      <c r="HW123" s="898"/>
      <c r="HX123" s="898"/>
      <c r="HY123" s="898"/>
      <c r="HZ123" s="898"/>
      <c r="IA123" s="73" t="e">
        <f>#REF!+HI123</f>
        <v>#REF!</v>
      </c>
      <c r="IB123" s="752"/>
      <c r="IC123" s="73"/>
      <c r="ID123" s="73"/>
      <c r="IE123" s="73"/>
      <c r="IF123" s="73"/>
    </row>
    <row r="124" spans="1:240 16328:16328" ht="15" customHeight="1">
      <c r="A124" s="831" t="s">
        <v>513</v>
      </c>
      <c r="B124" s="297"/>
      <c r="C124" s="39" t="s">
        <v>21</v>
      </c>
      <c r="D124" s="39" t="s">
        <v>92</v>
      </c>
      <c r="E124" s="39">
        <v>2021</v>
      </c>
      <c r="F124" s="39"/>
      <c r="G124" s="39"/>
      <c r="H124" s="39"/>
      <c r="I124" s="41" t="s">
        <v>318</v>
      </c>
      <c r="J124" s="39"/>
      <c r="K124" s="39" t="s">
        <v>765</v>
      </c>
      <c r="L124" s="199" t="s">
        <v>764</v>
      </c>
      <c r="M124" s="129"/>
      <c r="N124" s="130"/>
      <c r="O124" s="131"/>
      <c r="P124" s="161">
        <v>3115</v>
      </c>
      <c r="Q124" s="161"/>
      <c r="R124" s="161"/>
      <c r="S124" s="161">
        <f t="shared" si="334"/>
        <v>0</v>
      </c>
      <c r="T124" s="161">
        <f t="shared" si="384"/>
        <v>0</v>
      </c>
      <c r="U124" s="167">
        <f t="shared" si="385"/>
        <v>0</v>
      </c>
      <c r="V124" s="167" t="e">
        <f>R124/AL124</f>
        <v>#DIV/0!</v>
      </c>
      <c r="W124" s="167">
        <f t="shared" si="338"/>
        <v>0</v>
      </c>
      <c r="X124" s="161">
        <f t="shared" si="386"/>
        <v>77.875</v>
      </c>
      <c r="Y124" s="162"/>
      <c r="Z124" s="736">
        <f t="shared" si="340"/>
        <v>128.41091492776886</v>
      </c>
      <c r="AA124" s="162" t="s">
        <v>152</v>
      </c>
      <c r="AB124" s="162">
        <v>490</v>
      </c>
      <c r="AC124" s="163">
        <v>0.1</v>
      </c>
      <c r="AD124" s="39" t="s">
        <v>10</v>
      </c>
      <c r="AE124" s="675">
        <f t="shared" si="311"/>
        <v>40</v>
      </c>
      <c r="AF124" s="675">
        <f t="shared" si="312"/>
        <v>40</v>
      </c>
      <c r="AG124" s="50"/>
      <c r="AH124" s="39">
        <v>40</v>
      </c>
      <c r="AI124" s="50"/>
      <c r="AJ124" s="50"/>
      <c r="AK124" s="692"/>
      <c r="AL124" s="422"/>
      <c r="AM124" s="875">
        <f t="shared" si="313"/>
        <v>0</v>
      </c>
      <c r="AN124" s="10">
        <f t="shared" si="314"/>
        <v>0</v>
      </c>
      <c r="AO124" s="43"/>
      <c r="AP124" s="43"/>
      <c r="AQ124" s="43"/>
      <c r="AR124" s="61"/>
      <c r="AS124" s="61"/>
      <c r="AT124" s="61"/>
      <c r="AU124" s="61"/>
      <c r="AV124" s="61"/>
      <c r="AW124" s="43"/>
      <c r="AX124" s="59"/>
      <c r="AY124" s="61"/>
      <c r="AZ124" s="43"/>
      <c r="BA124" s="42"/>
      <c r="BB124" s="39"/>
      <c r="BC124" s="39"/>
      <c r="BD124" s="39"/>
      <c r="BE124" s="39"/>
      <c r="BF124" s="39"/>
      <c r="BG124" s="184"/>
      <c r="BH124" s="143"/>
      <c r="BI124" s="159"/>
      <c r="BJ124" s="75"/>
      <c r="BK124" s="867" t="s">
        <v>250</v>
      </c>
      <c r="BL124" s="125"/>
      <c r="BM124" s="158"/>
      <c r="BN124" s="1007">
        <f t="shared" si="308"/>
        <v>0</v>
      </c>
      <c r="BO124" s="954"/>
      <c r="BP124" s="125"/>
      <c r="BQ124" s="125"/>
      <c r="BR124" s="225"/>
      <c r="BS124" s="224">
        <f t="shared" si="345"/>
        <v>731</v>
      </c>
      <c r="BT124" s="605"/>
      <c r="BU124" s="224" t="str">
        <f t="shared" si="346"/>
        <v>oui</v>
      </c>
      <c r="BV124" s="784">
        <f t="shared" si="347"/>
        <v>-1514.8333333333333</v>
      </c>
      <c r="BW124" s="605">
        <f t="shared" si="348"/>
        <v>0</v>
      </c>
      <c r="BX124" s="605">
        <f t="shared" si="349"/>
        <v>0</v>
      </c>
      <c r="BY124" s="702"/>
      <c r="BZ124" s="708"/>
      <c r="CA124" s="703"/>
      <c r="CB124" s="703"/>
      <c r="CC124" s="703"/>
      <c r="CD124" s="699"/>
      <c r="CE124" s="699"/>
      <c r="CF124" s="699"/>
      <c r="CG124" s="699"/>
      <c r="CH124" s="699"/>
      <c r="CI124" s="699"/>
      <c r="CJ124" s="699"/>
      <c r="CK124" s="699"/>
      <c r="CL124" s="699"/>
      <c r="CM124" s="699"/>
      <c r="CN124" s="699"/>
      <c r="CO124" s="699"/>
      <c r="CP124" s="699"/>
      <c r="CQ124" s="488"/>
      <c r="CR124" s="490"/>
      <c r="CS124" s="490"/>
      <c r="CT124" s="492" t="str">
        <f t="shared" si="315"/>
        <v>0</v>
      </c>
      <c r="CU124" s="490"/>
      <c r="CV124" s="490"/>
      <c r="CW124" s="492" t="str">
        <f t="shared" si="316"/>
        <v>0</v>
      </c>
      <c r="CX124" s="490"/>
      <c r="CY124" s="490"/>
      <c r="CZ124" s="492" t="str">
        <f t="shared" si="317"/>
        <v>0</v>
      </c>
      <c r="DA124" s="490"/>
      <c r="DB124" s="490"/>
      <c r="DC124" s="492" t="str">
        <f t="shared" si="318"/>
        <v>0</v>
      </c>
      <c r="DD124" s="493"/>
      <c r="DE124" s="490"/>
      <c r="DF124" s="492" t="str">
        <f t="shared" si="319"/>
        <v>0</v>
      </c>
      <c r="DG124" s="438"/>
      <c r="DH124" s="494"/>
      <c r="DI124" s="479"/>
      <c r="DJ124" s="480"/>
      <c r="DK124" s="481"/>
      <c r="DL124" s="479"/>
      <c r="DM124" s="617">
        <v>44743</v>
      </c>
      <c r="DN124" s="326"/>
      <c r="DO124" s="432">
        <f t="shared" si="302"/>
        <v>1491.4333333333334</v>
      </c>
      <c r="DP124" s="481" t="str">
        <f t="shared" si="350"/>
        <v>0</v>
      </c>
      <c r="DQ124" s="618">
        <v>39</v>
      </c>
      <c r="DR124" s="188">
        <f t="shared" si="351"/>
        <v>42</v>
      </c>
      <c r="DS124" s="479"/>
      <c r="DT124" s="484">
        <f t="shared" ca="1" si="352"/>
        <v>43647</v>
      </c>
      <c r="DU124" s="481" t="str">
        <f t="shared" ca="1" si="353"/>
        <v>0</v>
      </c>
      <c r="DV124" s="479"/>
      <c r="DW124" s="497">
        <f t="shared" ca="1" si="354"/>
        <v>43647</v>
      </c>
      <c r="DX124" s="482" t="str">
        <f t="shared" ca="1" si="355"/>
        <v>0</v>
      </c>
      <c r="DY124" s="483"/>
      <c r="DZ124" s="497">
        <f t="shared" ca="1" si="356"/>
        <v>43647</v>
      </c>
      <c r="EA124" s="481" t="str">
        <f t="shared" ca="1" si="357"/>
        <v>0</v>
      </c>
      <c r="EB124" s="484">
        <v>43539</v>
      </c>
      <c r="EC124" s="484">
        <f t="shared" ca="1" si="358"/>
        <v>43647</v>
      </c>
      <c r="ED124" s="481">
        <f t="shared" ca="1" si="359"/>
        <v>108</v>
      </c>
      <c r="EE124" s="485"/>
      <c r="EF124" s="485"/>
      <c r="EG124" s="481" t="str">
        <f t="shared" si="360"/>
        <v>0</v>
      </c>
      <c r="EH124" s="484"/>
      <c r="EI124" s="484">
        <f t="shared" ca="1" si="361"/>
        <v>43647</v>
      </c>
      <c r="EJ124" s="481" t="str">
        <f t="shared" ca="1" si="362"/>
        <v>0</v>
      </c>
      <c r="EK124" s="484">
        <v>43616</v>
      </c>
      <c r="EL124" s="484">
        <f t="shared" ca="1" si="363"/>
        <v>43647</v>
      </c>
      <c r="EM124" s="481">
        <f t="shared" ca="1" si="364"/>
        <v>31</v>
      </c>
      <c r="EN124" s="484"/>
      <c r="EO124" s="484"/>
      <c r="EP124" s="484"/>
      <c r="EQ124" s="654">
        <f t="shared" si="365"/>
        <v>45931</v>
      </c>
      <c r="ER124" s="653">
        <f t="shared" si="366"/>
        <v>46023</v>
      </c>
      <c r="ES124" s="650">
        <f t="shared" si="367"/>
        <v>3.0666666666666669</v>
      </c>
      <c r="ET124" s="904">
        <f t="shared" ca="1" si="306"/>
        <v>79.2</v>
      </c>
      <c r="EU124" s="653">
        <f t="shared" ca="1" si="320"/>
        <v>44378</v>
      </c>
      <c r="EV124" s="748"/>
      <c r="EW124" s="737"/>
      <c r="EX124" s="749">
        <f t="shared" si="368"/>
        <v>46145</v>
      </c>
      <c r="EY124" s="443"/>
      <c r="EZ124" s="747">
        <f t="shared" si="369"/>
        <v>45962</v>
      </c>
      <c r="FA124" s="653">
        <f t="shared" si="370"/>
        <v>46176</v>
      </c>
      <c r="FB124" s="518"/>
      <c r="FC124" s="647">
        <f t="shared" si="371"/>
        <v>7.1333333333333337</v>
      </c>
      <c r="FD124" s="635"/>
      <c r="FE124" s="192">
        <f t="shared" si="372"/>
        <v>0</v>
      </c>
      <c r="FF124" s="91"/>
      <c r="FG124" s="502"/>
      <c r="FH124" s="502">
        <v>0</v>
      </c>
      <c r="FI124" s="502"/>
      <c r="FJ124" s="502"/>
      <c r="FK124" s="663"/>
      <c r="FL124" s="664" t="e">
        <f t="shared" si="373"/>
        <v>#DIV/0!</v>
      </c>
      <c r="FM124" s="499"/>
      <c r="FN124" s="511"/>
      <c r="FO124" s="504"/>
      <c r="FP124" s="504"/>
      <c r="FQ124" s="94"/>
      <c r="FR124" s="94"/>
      <c r="FS124" s="94"/>
      <c r="FT124" s="94"/>
      <c r="FU124" s="94"/>
      <c r="FV124" s="39"/>
      <c r="FW124" s="212">
        <f t="shared" si="374"/>
        <v>46388</v>
      </c>
      <c r="FX124" s="212"/>
      <c r="FY124" s="39"/>
      <c r="FZ124" s="39"/>
      <c r="GA124" s="39"/>
      <c r="GB124" s="39"/>
      <c r="GC124" s="39"/>
      <c r="GD124" s="39"/>
      <c r="GE124" s="39"/>
      <c r="GF124" s="39"/>
      <c r="GG124" s="39"/>
      <c r="GH124" s="39"/>
      <c r="GI124" s="39"/>
      <c r="GJ124" s="39"/>
      <c r="GK124" s="39"/>
      <c r="GL124" s="742"/>
      <c r="GM124" s="979">
        <f t="shared" si="341"/>
        <v>0</v>
      </c>
      <c r="GN124" s="772">
        <f t="shared" si="344"/>
        <v>0</v>
      </c>
      <c r="GO124" s="53">
        <f t="shared" si="375"/>
        <v>0</v>
      </c>
      <c r="GP124" s="898">
        <f t="shared" si="321"/>
        <v>0</v>
      </c>
      <c r="GQ124" s="35" t="e">
        <f t="shared" si="342"/>
        <v>#DIV/0!</v>
      </c>
      <c r="GR124" s="35" t="e">
        <f>#REF!/AE124</f>
        <v>#REF!</v>
      </c>
      <c r="GS124" s="53"/>
      <c r="GT124" s="577"/>
      <c r="GU124" s="35"/>
      <c r="GV124" s="53">
        <f t="shared" si="376"/>
        <v>0</v>
      </c>
      <c r="GW124" s="67"/>
      <c r="GX124" s="67"/>
      <c r="GY124" s="568">
        <f t="shared" si="377"/>
        <v>0</v>
      </c>
      <c r="GZ124" s="53"/>
      <c r="HA124" s="53"/>
      <c r="HB124" s="53"/>
      <c r="HC124" s="68" t="e">
        <f t="shared" si="382"/>
        <v>#DIV/0!</v>
      </c>
      <c r="HD124" s="53"/>
      <c r="HE124" s="53"/>
      <c r="HF124" s="53"/>
      <c r="HG124" s="35">
        <f t="shared" si="378"/>
        <v>0</v>
      </c>
      <c r="HH124" s="35">
        <f t="shared" si="379"/>
        <v>0</v>
      </c>
      <c r="HI124" s="70"/>
      <c r="HJ124" s="70"/>
      <c r="HK124" s="35" t="e">
        <f>(#REF!+#REF!+HJ124)/AE124</f>
        <v>#REF!</v>
      </c>
      <c r="HL124" s="70"/>
      <c r="HM124" s="35">
        <f t="shared" si="380"/>
        <v>0</v>
      </c>
      <c r="HN124" s="36" t="e">
        <f t="shared" si="383"/>
        <v>#DIV/0!</v>
      </c>
      <c r="HO124" s="70"/>
      <c r="HP124" s="70"/>
      <c r="HQ124" s="53">
        <f>FH124</f>
        <v>0</v>
      </c>
      <c r="HR124" s="898"/>
      <c r="HS124" s="907" t="e">
        <f t="shared" si="325"/>
        <v>#DIV/0!</v>
      </c>
      <c r="HT124" s="898">
        <f t="shared" si="326"/>
        <v>0</v>
      </c>
      <c r="HU124" s="898">
        <f t="shared" ca="1" si="343"/>
        <v>0</v>
      </c>
      <c r="HV124" s="898"/>
      <c r="HW124" s="898"/>
      <c r="HX124" s="898"/>
      <c r="HY124" s="898"/>
      <c r="HZ124" s="898"/>
      <c r="IA124" s="73" t="e">
        <f>#REF!+HI124</f>
        <v>#REF!</v>
      </c>
      <c r="IB124" s="752"/>
      <c r="IC124" s="73"/>
      <c r="ID124" s="73"/>
      <c r="IE124" s="73"/>
      <c r="IF124" s="73"/>
    </row>
    <row r="125" spans="1:240 16328:16328" ht="15" customHeight="1">
      <c r="A125" s="676" t="s">
        <v>796</v>
      </c>
      <c r="B125" s="66"/>
      <c r="C125" s="39" t="s">
        <v>21</v>
      </c>
      <c r="D125" s="39" t="s">
        <v>92</v>
      </c>
      <c r="E125" s="39">
        <v>2021</v>
      </c>
      <c r="F125" s="39"/>
      <c r="G125" s="39" t="s">
        <v>299</v>
      </c>
      <c r="H125" s="39" t="s">
        <v>147</v>
      </c>
      <c r="I125" s="41" t="s">
        <v>318</v>
      </c>
      <c r="J125" s="39"/>
      <c r="K125" s="39" t="s">
        <v>795</v>
      </c>
      <c r="L125" s="199"/>
      <c r="M125" s="129"/>
      <c r="N125" s="130"/>
      <c r="O125" s="131"/>
      <c r="P125" s="161">
        <v>33407</v>
      </c>
      <c r="Q125" s="161"/>
      <c r="R125" s="161"/>
      <c r="S125" s="161">
        <f t="shared" si="334"/>
        <v>0</v>
      </c>
      <c r="T125" s="161">
        <f t="shared" si="384"/>
        <v>0</v>
      </c>
      <c r="U125" s="167">
        <f t="shared" si="385"/>
        <v>0</v>
      </c>
      <c r="V125" s="167"/>
      <c r="W125" s="167">
        <f t="shared" si="338"/>
        <v>0</v>
      </c>
      <c r="X125" s="161">
        <f t="shared" si="386"/>
        <v>162.9609756097561</v>
      </c>
      <c r="Y125" s="162"/>
      <c r="Z125" s="736">
        <f t="shared" si="340"/>
        <v>61.364384709791359</v>
      </c>
      <c r="AA125" s="162"/>
      <c r="AB125" s="162"/>
      <c r="AC125" s="163"/>
      <c r="AD125" s="39" t="s">
        <v>10</v>
      </c>
      <c r="AE125" s="675">
        <f t="shared" si="311"/>
        <v>205</v>
      </c>
      <c r="AF125" s="675">
        <f t="shared" si="312"/>
        <v>205</v>
      </c>
      <c r="AG125" s="39">
        <f>18+39</f>
        <v>57</v>
      </c>
      <c r="AH125" s="39">
        <v>40</v>
      </c>
      <c r="AI125" s="39">
        <f>69+39</f>
        <v>108</v>
      </c>
      <c r="AJ125" s="50"/>
      <c r="AK125" s="692"/>
      <c r="AL125" s="422"/>
      <c r="AM125" s="875">
        <f t="shared" si="313"/>
        <v>0</v>
      </c>
      <c r="AN125" s="10">
        <f t="shared" si="314"/>
        <v>0</v>
      </c>
      <c r="AO125" s="43"/>
      <c r="AP125" s="43"/>
      <c r="AQ125" s="43"/>
      <c r="AR125" s="61"/>
      <c r="AS125" s="61"/>
      <c r="AT125" s="61"/>
      <c r="AU125" s="61"/>
      <c r="AV125" s="61"/>
      <c r="AW125" s="43"/>
      <c r="AX125" s="59"/>
      <c r="AY125" s="61"/>
      <c r="AZ125" s="43"/>
      <c r="BA125" s="42"/>
      <c r="BB125" s="39"/>
      <c r="BC125" s="39"/>
      <c r="BD125" s="39"/>
      <c r="BE125" s="39"/>
      <c r="BF125" s="39"/>
      <c r="BG125" s="184"/>
      <c r="BH125" s="143"/>
      <c r="BI125" s="159"/>
      <c r="BJ125" s="75"/>
      <c r="BK125" s="867" t="s">
        <v>250</v>
      </c>
      <c r="BL125" s="125"/>
      <c r="BM125" s="158"/>
      <c r="BN125" s="1007">
        <f t="shared" si="308"/>
        <v>0</v>
      </c>
      <c r="BO125" s="954"/>
      <c r="BP125" s="125"/>
      <c r="BQ125" s="125"/>
      <c r="BR125" s="225"/>
      <c r="BS125" s="224">
        <f t="shared" si="345"/>
        <v>731</v>
      </c>
      <c r="BT125" s="605"/>
      <c r="BU125" s="224" t="str">
        <f t="shared" si="346"/>
        <v>oui</v>
      </c>
      <c r="BV125" s="784">
        <f t="shared" si="347"/>
        <v>-1515.8333333333333</v>
      </c>
      <c r="BW125" s="605">
        <f t="shared" si="348"/>
        <v>0</v>
      </c>
      <c r="BX125" s="605">
        <f t="shared" si="349"/>
        <v>0</v>
      </c>
      <c r="BY125" s="702"/>
      <c r="BZ125" s="708"/>
      <c r="CA125" s="703"/>
      <c r="CB125" s="703"/>
      <c r="CC125" s="703"/>
      <c r="CD125" s="699"/>
      <c r="CE125" s="699"/>
      <c r="CF125" s="699"/>
      <c r="CG125" s="699"/>
      <c r="CH125" s="699"/>
      <c r="CI125" s="699"/>
      <c r="CJ125" s="699"/>
      <c r="CK125" s="699"/>
      <c r="CL125" s="699"/>
      <c r="CM125" s="699"/>
      <c r="CN125" s="699"/>
      <c r="CO125" s="699"/>
      <c r="CP125" s="699"/>
      <c r="CQ125" s="488"/>
      <c r="CR125" s="490"/>
      <c r="CS125" s="490"/>
      <c r="CT125" s="492" t="str">
        <f t="shared" si="315"/>
        <v>0</v>
      </c>
      <c r="CU125" s="490"/>
      <c r="CV125" s="490"/>
      <c r="CW125" s="492" t="str">
        <f t="shared" si="316"/>
        <v>0</v>
      </c>
      <c r="CX125" s="490"/>
      <c r="CY125" s="490"/>
      <c r="CZ125" s="492" t="str">
        <f t="shared" si="317"/>
        <v>0</v>
      </c>
      <c r="DA125" s="490"/>
      <c r="DB125" s="490"/>
      <c r="DC125" s="492" t="str">
        <f t="shared" si="318"/>
        <v>0</v>
      </c>
      <c r="DD125" s="493"/>
      <c r="DE125" s="490"/>
      <c r="DF125" s="492" t="str">
        <f t="shared" si="319"/>
        <v>0</v>
      </c>
      <c r="DG125" s="438"/>
      <c r="DH125" s="494"/>
      <c r="DI125" s="479"/>
      <c r="DJ125" s="480"/>
      <c r="DK125" s="481"/>
      <c r="DL125" s="479"/>
      <c r="DM125" s="617">
        <v>44743</v>
      </c>
      <c r="DN125" s="326"/>
      <c r="DO125" s="432">
        <f t="shared" si="302"/>
        <v>1491.4333333333334</v>
      </c>
      <c r="DP125" s="481" t="str">
        <f t="shared" si="350"/>
        <v>0</v>
      </c>
      <c r="DQ125" s="618">
        <v>40</v>
      </c>
      <c r="DR125" s="188">
        <f t="shared" si="351"/>
        <v>43</v>
      </c>
      <c r="DS125" s="479"/>
      <c r="DT125" s="484">
        <f t="shared" ca="1" si="352"/>
        <v>43647</v>
      </c>
      <c r="DU125" s="481" t="str">
        <f t="shared" ca="1" si="353"/>
        <v>0</v>
      </c>
      <c r="DV125" s="479"/>
      <c r="DW125" s="497">
        <f t="shared" ca="1" si="354"/>
        <v>43647</v>
      </c>
      <c r="DX125" s="482" t="str">
        <f t="shared" ca="1" si="355"/>
        <v>0</v>
      </c>
      <c r="DY125" s="483"/>
      <c r="DZ125" s="497">
        <f t="shared" ca="1" si="356"/>
        <v>43647</v>
      </c>
      <c r="EA125" s="481" t="str">
        <f t="shared" ca="1" si="357"/>
        <v>0</v>
      </c>
      <c r="EB125" s="484">
        <v>43540</v>
      </c>
      <c r="EC125" s="484">
        <f t="shared" ca="1" si="358"/>
        <v>43647</v>
      </c>
      <c r="ED125" s="481">
        <f t="shared" ca="1" si="359"/>
        <v>107</v>
      </c>
      <c r="EE125" s="485"/>
      <c r="EF125" s="485"/>
      <c r="EG125" s="481" t="str">
        <f t="shared" si="360"/>
        <v>0</v>
      </c>
      <c r="EH125" s="484"/>
      <c r="EI125" s="484">
        <f t="shared" ca="1" si="361"/>
        <v>43647</v>
      </c>
      <c r="EJ125" s="481" t="str">
        <f t="shared" ca="1" si="362"/>
        <v>0</v>
      </c>
      <c r="EK125" s="484">
        <v>43617</v>
      </c>
      <c r="EL125" s="484">
        <f t="shared" ca="1" si="363"/>
        <v>43647</v>
      </c>
      <c r="EM125" s="481">
        <f t="shared" ca="1" si="364"/>
        <v>30</v>
      </c>
      <c r="EN125" s="484"/>
      <c r="EO125" s="484"/>
      <c r="EP125" s="484"/>
      <c r="EQ125" s="654">
        <f t="shared" si="365"/>
        <v>45962</v>
      </c>
      <c r="ER125" s="653">
        <f t="shared" si="366"/>
        <v>46054</v>
      </c>
      <c r="ES125" s="650">
        <f t="shared" si="367"/>
        <v>3.0666666666666669</v>
      </c>
      <c r="ET125" s="904">
        <f t="shared" ca="1" si="306"/>
        <v>80.233333333333334</v>
      </c>
      <c r="EU125" s="653">
        <f t="shared" ca="1" si="320"/>
        <v>44378</v>
      </c>
      <c r="EV125" s="748"/>
      <c r="EW125" s="737"/>
      <c r="EX125" s="749">
        <f t="shared" si="368"/>
        <v>46176</v>
      </c>
      <c r="EY125" s="443"/>
      <c r="EZ125" s="747">
        <f t="shared" si="369"/>
        <v>45992</v>
      </c>
      <c r="FA125" s="653">
        <f t="shared" si="370"/>
        <v>46206</v>
      </c>
      <c r="FB125" s="518"/>
      <c r="FC125" s="647">
        <f t="shared" si="371"/>
        <v>7.1333333333333337</v>
      </c>
      <c r="FD125" s="635"/>
      <c r="FE125" s="192">
        <f t="shared" si="372"/>
        <v>0</v>
      </c>
      <c r="FF125" s="91"/>
      <c r="FG125" s="502"/>
      <c r="FH125" s="502"/>
      <c r="FI125" s="502"/>
      <c r="FJ125" s="502"/>
      <c r="FK125" s="663"/>
      <c r="FL125" s="664" t="e">
        <f t="shared" si="373"/>
        <v>#DIV/0!</v>
      </c>
      <c r="FM125" s="499"/>
      <c r="FN125" s="511"/>
      <c r="FO125" s="504"/>
      <c r="FP125" s="504"/>
      <c r="FQ125" s="94"/>
      <c r="FR125" s="94"/>
      <c r="FS125" s="94"/>
      <c r="FT125" s="94"/>
      <c r="FU125" s="94"/>
      <c r="FV125" s="39"/>
      <c r="FW125" s="212">
        <f t="shared" si="374"/>
        <v>46419</v>
      </c>
      <c r="FX125" s="212"/>
      <c r="FY125" s="39"/>
      <c r="FZ125" s="39"/>
      <c r="GA125" s="39"/>
      <c r="GB125" s="39"/>
      <c r="GC125" s="39"/>
      <c r="GD125" s="39"/>
      <c r="GE125" s="39"/>
      <c r="GF125" s="39"/>
      <c r="GG125" s="39"/>
      <c r="GH125" s="39"/>
      <c r="GI125" s="39"/>
      <c r="GJ125" s="39"/>
      <c r="GK125" s="39"/>
      <c r="GL125" s="742"/>
      <c r="GM125" s="979">
        <f t="shared" si="341"/>
        <v>0</v>
      </c>
      <c r="GN125" s="772">
        <f t="shared" si="344"/>
        <v>0</v>
      </c>
      <c r="GO125" s="53">
        <f t="shared" si="375"/>
        <v>0</v>
      </c>
      <c r="GP125" s="898">
        <f t="shared" si="321"/>
        <v>0</v>
      </c>
      <c r="GQ125" s="35" t="e">
        <f t="shared" si="342"/>
        <v>#DIV/0!</v>
      </c>
      <c r="GR125" s="35" t="e">
        <f>#REF!/AE125</f>
        <v>#REF!</v>
      </c>
      <c r="GS125" s="53"/>
      <c r="GT125" s="577"/>
      <c r="GU125" s="35"/>
      <c r="GV125" s="53">
        <f t="shared" si="376"/>
        <v>0</v>
      </c>
      <c r="GW125" s="67"/>
      <c r="GX125" s="67"/>
      <c r="GY125" s="568">
        <f t="shared" si="377"/>
        <v>0</v>
      </c>
      <c r="GZ125" s="53"/>
      <c r="HA125" s="53"/>
      <c r="HB125" s="53"/>
      <c r="HC125" s="68" t="e">
        <f t="shared" si="382"/>
        <v>#DIV/0!</v>
      </c>
      <c r="HD125" s="53"/>
      <c r="HE125" s="53"/>
      <c r="HF125" s="53"/>
      <c r="HG125" s="35">
        <f t="shared" si="378"/>
        <v>0</v>
      </c>
      <c r="HH125" s="35">
        <f t="shared" si="379"/>
        <v>0</v>
      </c>
      <c r="HI125" s="70"/>
      <c r="HJ125" s="70"/>
      <c r="HK125" s="35" t="e">
        <f>(#REF!+#REF!+HJ125)/AE125</f>
        <v>#REF!</v>
      </c>
      <c r="HL125" s="70"/>
      <c r="HM125" s="35">
        <f t="shared" si="380"/>
        <v>0</v>
      </c>
      <c r="HN125" s="36" t="e">
        <f t="shared" si="383"/>
        <v>#DIV/0!</v>
      </c>
      <c r="HO125" s="70"/>
      <c r="HP125" s="70"/>
      <c r="HQ125" s="53"/>
      <c r="HR125" s="898"/>
      <c r="HS125" s="907" t="e">
        <f t="shared" si="325"/>
        <v>#DIV/0!</v>
      </c>
      <c r="HT125" s="898">
        <f t="shared" si="326"/>
        <v>0</v>
      </c>
      <c r="HU125" s="898">
        <f t="shared" ca="1" si="343"/>
        <v>0</v>
      </c>
      <c r="HV125" s="898"/>
      <c r="HW125" s="898"/>
      <c r="HX125" s="898"/>
      <c r="HY125" s="898"/>
      <c r="HZ125" s="898"/>
      <c r="IA125" s="73" t="e">
        <f>#REF!+HI125</f>
        <v>#REF!</v>
      </c>
      <c r="IB125" s="752"/>
      <c r="IC125" s="73"/>
      <c r="ID125" s="73"/>
      <c r="IE125" s="73"/>
      <c r="IF125" s="73"/>
    </row>
    <row r="126" spans="1:240 16328:16328" ht="15" customHeight="1">
      <c r="A126" s="591" t="s">
        <v>909</v>
      </c>
      <c r="B126" s="297"/>
      <c r="C126" s="39" t="s">
        <v>131</v>
      </c>
      <c r="D126" s="39" t="s">
        <v>94</v>
      </c>
      <c r="E126" s="39">
        <v>2021</v>
      </c>
      <c r="F126" s="39"/>
      <c r="G126" s="39"/>
      <c r="H126" s="39"/>
      <c r="I126" s="41" t="s">
        <v>318</v>
      </c>
      <c r="J126" s="39"/>
      <c r="K126" s="39" t="s">
        <v>910</v>
      </c>
      <c r="L126" s="199"/>
      <c r="M126" s="129"/>
      <c r="N126" s="130"/>
      <c r="O126" s="131"/>
      <c r="P126" s="161">
        <v>6000</v>
      </c>
      <c r="Q126" s="161">
        <v>1300000</v>
      </c>
      <c r="R126" s="161">
        <v>484000</v>
      </c>
      <c r="S126" s="161">
        <f t="shared" si="334"/>
        <v>36111.111111111109</v>
      </c>
      <c r="T126" s="161">
        <f t="shared" si="384"/>
        <v>216.66666666666666</v>
      </c>
      <c r="U126" s="167">
        <f t="shared" si="385"/>
        <v>80.666666666666671</v>
      </c>
      <c r="V126" s="167" t="e">
        <f>R126/AL126</f>
        <v>#DIV/0!</v>
      </c>
      <c r="W126" s="167">
        <f t="shared" si="338"/>
        <v>13444.444444444445</v>
      </c>
      <c r="X126" s="161">
        <f t="shared" si="386"/>
        <v>166.66666666666666</v>
      </c>
      <c r="Y126" s="162"/>
      <c r="Z126" s="736">
        <f t="shared" si="340"/>
        <v>60</v>
      </c>
      <c r="AA126" s="162" t="s">
        <v>911</v>
      </c>
      <c r="AB126" s="162">
        <v>102</v>
      </c>
      <c r="AC126" s="163">
        <v>0.05</v>
      </c>
      <c r="AD126" s="39" t="s">
        <v>9</v>
      </c>
      <c r="AE126" s="675">
        <f t="shared" si="311"/>
        <v>36</v>
      </c>
      <c r="AF126" s="675">
        <f t="shared" si="312"/>
        <v>36</v>
      </c>
      <c r="AG126" s="39">
        <v>36</v>
      </c>
      <c r="AH126" s="50"/>
      <c r="AI126" s="50"/>
      <c r="AJ126" s="50"/>
      <c r="AK126" s="692"/>
      <c r="AL126" s="422"/>
      <c r="AM126" s="875">
        <f t="shared" si="313"/>
        <v>0</v>
      </c>
      <c r="AN126" s="10">
        <f t="shared" si="314"/>
        <v>0</v>
      </c>
      <c r="AO126" s="43"/>
      <c r="AP126" s="43"/>
      <c r="AQ126" s="43"/>
      <c r="AR126" s="61"/>
      <c r="AS126" s="61"/>
      <c r="AT126" s="61"/>
      <c r="AU126" s="61"/>
      <c r="AV126" s="61"/>
      <c r="AW126" s="43"/>
      <c r="AX126" s="59"/>
      <c r="AY126" s="61"/>
      <c r="AZ126" s="43"/>
      <c r="BA126" s="42"/>
      <c r="BB126" s="39"/>
      <c r="BC126" s="39"/>
      <c r="BD126" s="39"/>
      <c r="BE126" s="39"/>
      <c r="BF126" s="39"/>
      <c r="BG126" s="184"/>
      <c r="BH126" s="143"/>
      <c r="BI126" s="159"/>
      <c r="BJ126" s="75"/>
      <c r="BK126" s="867" t="s">
        <v>250</v>
      </c>
      <c r="BL126" s="125"/>
      <c r="BM126" s="158"/>
      <c r="BN126" s="1007">
        <f t="shared" si="308"/>
        <v>0</v>
      </c>
      <c r="BO126" s="954"/>
      <c r="BP126" s="125"/>
      <c r="BQ126" s="125"/>
      <c r="BR126" s="225"/>
      <c r="BS126" s="224"/>
      <c r="BT126" s="605"/>
      <c r="BU126" s="224"/>
      <c r="BV126" s="784"/>
      <c r="BW126" s="605"/>
      <c r="BX126" s="605"/>
      <c r="BY126" s="702"/>
      <c r="BZ126" s="708"/>
      <c r="CA126" s="703"/>
      <c r="CB126" s="703"/>
      <c r="CC126" s="703"/>
      <c r="CD126" s="699"/>
      <c r="CE126" s="699"/>
      <c r="CF126" s="699"/>
      <c r="CG126" s="699"/>
      <c r="CH126" s="699"/>
      <c r="CI126" s="699"/>
      <c r="CJ126" s="699"/>
      <c r="CK126" s="699"/>
      <c r="CL126" s="699"/>
      <c r="CM126" s="699"/>
      <c r="CN126" s="699"/>
      <c r="CO126" s="699"/>
      <c r="CP126" s="699"/>
      <c r="CQ126" s="488"/>
      <c r="CR126" s="490"/>
      <c r="CS126" s="490"/>
      <c r="CT126" s="492" t="str">
        <f t="shared" si="315"/>
        <v>0</v>
      </c>
      <c r="CU126" s="490"/>
      <c r="CV126" s="490"/>
      <c r="CW126" s="492" t="str">
        <f t="shared" si="316"/>
        <v>0</v>
      </c>
      <c r="CX126" s="490"/>
      <c r="CY126" s="490"/>
      <c r="CZ126" s="492" t="str">
        <f t="shared" si="317"/>
        <v>0</v>
      </c>
      <c r="DA126" s="490"/>
      <c r="DB126" s="490"/>
      <c r="DC126" s="492" t="str">
        <f t="shared" si="318"/>
        <v>0</v>
      </c>
      <c r="DD126" s="493"/>
      <c r="DE126" s="490"/>
      <c r="DF126" s="492" t="str">
        <f t="shared" si="319"/>
        <v>0</v>
      </c>
      <c r="DG126" s="438"/>
      <c r="DH126" s="494"/>
      <c r="DI126" s="479"/>
      <c r="DJ126" s="480"/>
      <c r="DK126" s="481"/>
      <c r="DL126" s="479"/>
      <c r="DM126" s="617">
        <v>44744</v>
      </c>
      <c r="DN126" s="326"/>
      <c r="DO126" s="432">
        <f t="shared" si="302"/>
        <v>1491.4666666666667</v>
      </c>
      <c r="DP126" s="481"/>
      <c r="DQ126" s="618"/>
      <c r="DR126" s="188"/>
      <c r="DS126" s="479"/>
      <c r="DT126" s="484"/>
      <c r="DU126" s="481"/>
      <c r="DV126" s="479"/>
      <c r="DW126" s="497"/>
      <c r="DX126" s="482"/>
      <c r="DY126" s="483"/>
      <c r="DZ126" s="497"/>
      <c r="EA126" s="481"/>
      <c r="EB126" s="484"/>
      <c r="EC126" s="484"/>
      <c r="ED126" s="481"/>
      <c r="EE126" s="485"/>
      <c r="EF126" s="485"/>
      <c r="EG126" s="481"/>
      <c r="EH126" s="484"/>
      <c r="EI126" s="484"/>
      <c r="EJ126" s="481"/>
      <c r="EK126" s="484"/>
      <c r="EL126" s="484"/>
      <c r="EM126" s="481"/>
      <c r="EN126" s="484"/>
      <c r="EO126" s="484"/>
      <c r="EP126" s="484"/>
      <c r="EQ126" s="654"/>
      <c r="ER126" s="653"/>
      <c r="ES126" s="650"/>
      <c r="ET126" s="904">
        <f t="shared" ca="1" si="306"/>
        <v>0</v>
      </c>
      <c r="EU126" s="653"/>
      <c r="EV126" s="748"/>
      <c r="EW126" s="737"/>
      <c r="EX126" s="749"/>
      <c r="EY126" s="443"/>
      <c r="EZ126" s="747"/>
      <c r="FA126" s="653"/>
      <c r="FB126" s="518"/>
      <c r="FC126" s="647"/>
      <c r="FD126" s="635"/>
      <c r="FE126" s="192"/>
      <c r="FF126" s="91"/>
      <c r="FG126" s="502"/>
      <c r="FH126" s="502"/>
      <c r="FI126" s="502"/>
      <c r="FJ126" s="502"/>
      <c r="FK126" s="663"/>
      <c r="FL126" s="664"/>
      <c r="FM126" s="499"/>
      <c r="FN126" s="511"/>
      <c r="FO126" s="504"/>
      <c r="FP126" s="504"/>
      <c r="FQ126" s="94"/>
      <c r="FR126" s="94"/>
      <c r="FS126" s="94"/>
      <c r="FT126" s="94"/>
      <c r="FU126" s="94"/>
      <c r="FV126" s="39"/>
      <c r="FW126" s="212"/>
      <c r="FX126" s="212"/>
      <c r="FY126" s="39"/>
      <c r="FZ126" s="39"/>
      <c r="GA126" s="39"/>
      <c r="GB126" s="39"/>
      <c r="GC126" s="39"/>
      <c r="GD126" s="39"/>
      <c r="GE126" s="39"/>
      <c r="GF126" s="39"/>
      <c r="GG126" s="39"/>
      <c r="GH126" s="39"/>
      <c r="GI126" s="39"/>
      <c r="GJ126" s="39"/>
      <c r="GK126" s="39"/>
      <c r="GL126" s="742"/>
      <c r="GM126" s="979">
        <f t="shared" si="341"/>
        <v>0</v>
      </c>
      <c r="GN126" s="772">
        <f t="shared" si="344"/>
        <v>0</v>
      </c>
      <c r="GO126" s="53"/>
      <c r="GP126" s="898">
        <f t="shared" si="321"/>
        <v>0</v>
      </c>
      <c r="GQ126" s="35" t="e">
        <f t="shared" si="342"/>
        <v>#DIV/0!</v>
      </c>
      <c r="GR126" s="35"/>
      <c r="GS126" s="53"/>
      <c r="GT126" s="577"/>
      <c r="GU126" s="35"/>
      <c r="GV126" s="53"/>
      <c r="GW126" s="67"/>
      <c r="GX126" s="67"/>
      <c r="GY126" s="568"/>
      <c r="GZ126" s="53"/>
      <c r="HA126" s="53"/>
      <c r="HB126" s="53"/>
      <c r="HC126" s="68" t="e">
        <f t="shared" ref="HC126:HC134" si="387">HA126/GN126</f>
        <v>#DIV/0!</v>
      </c>
      <c r="HD126" s="53"/>
      <c r="HE126" s="53"/>
      <c r="HF126" s="53"/>
      <c r="HG126" s="35"/>
      <c r="HH126" s="35"/>
      <c r="HI126" s="70"/>
      <c r="HJ126" s="70"/>
      <c r="HK126" s="35"/>
      <c r="HL126" s="70"/>
      <c r="HM126" s="35"/>
      <c r="HN126" s="36"/>
      <c r="HO126" s="70"/>
      <c r="HP126" s="70"/>
      <c r="HQ126" s="53"/>
      <c r="HR126" s="898"/>
      <c r="HS126" s="907" t="e">
        <f t="shared" si="325"/>
        <v>#DIV/0!</v>
      </c>
      <c r="HT126" s="898">
        <f t="shared" si="326"/>
        <v>0</v>
      </c>
      <c r="HU126" s="898">
        <f t="shared" ca="1" si="343"/>
        <v>0</v>
      </c>
      <c r="HV126" s="898"/>
      <c r="HW126" s="898"/>
      <c r="HX126" s="898"/>
      <c r="HY126" s="898"/>
      <c r="HZ126" s="898"/>
      <c r="IA126" s="73"/>
      <c r="IB126" s="752"/>
      <c r="IC126" s="73"/>
      <c r="ID126" s="73"/>
      <c r="IE126" s="73"/>
      <c r="IF126" s="73"/>
    </row>
    <row r="127" spans="1:240 16328:16328" s="594" customFormat="1" ht="15" customHeight="1">
      <c r="A127" s="66" t="s">
        <v>914</v>
      </c>
      <c r="B127" s="768"/>
      <c r="C127" s="39" t="s">
        <v>21</v>
      </c>
      <c r="D127" s="39" t="s">
        <v>92</v>
      </c>
      <c r="E127" s="39">
        <v>2021</v>
      </c>
      <c r="F127" s="39" t="s">
        <v>951</v>
      </c>
      <c r="G127" s="39"/>
      <c r="H127" s="39"/>
      <c r="I127" s="39" t="s">
        <v>318</v>
      </c>
      <c r="J127" s="39"/>
      <c r="K127" s="39" t="s">
        <v>867</v>
      </c>
      <c r="L127" s="199" t="s">
        <v>768</v>
      </c>
      <c r="M127" s="129"/>
      <c r="N127" s="130"/>
      <c r="O127" s="131"/>
      <c r="P127" s="161">
        <v>4088</v>
      </c>
      <c r="Q127" s="161">
        <v>550000</v>
      </c>
      <c r="R127" s="161">
        <v>450000</v>
      </c>
      <c r="S127" s="161">
        <f t="shared" si="334"/>
        <v>11000</v>
      </c>
      <c r="T127" s="161">
        <f t="shared" si="384"/>
        <v>134.54011741682976</v>
      </c>
      <c r="U127" s="167">
        <f t="shared" si="385"/>
        <v>110.07827788649706</v>
      </c>
      <c r="V127" s="167" t="e">
        <f>R127/AL127</f>
        <v>#DIV/0!</v>
      </c>
      <c r="W127" s="167">
        <f t="shared" si="338"/>
        <v>9000</v>
      </c>
      <c r="X127" s="161">
        <f t="shared" si="386"/>
        <v>81.760000000000005</v>
      </c>
      <c r="Y127" s="162"/>
      <c r="Z127" s="736">
        <f t="shared" si="340"/>
        <v>122.30919765166341</v>
      </c>
      <c r="AA127" s="162" t="s">
        <v>868</v>
      </c>
      <c r="AB127" s="162">
        <v>600</v>
      </c>
      <c r="AC127" s="163">
        <v>0.15</v>
      </c>
      <c r="AD127" s="39" t="s">
        <v>10</v>
      </c>
      <c r="AE127" s="674">
        <f t="shared" si="311"/>
        <v>50</v>
      </c>
      <c r="AF127" s="675">
        <f t="shared" ref="AF127:AF133" si="388">AE127-AJ127</f>
        <v>50</v>
      </c>
      <c r="AG127" s="50"/>
      <c r="AH127" s="39">
        <v>50</v>
      </c>
      <c r="AI127" s="50"/>
      <c r="AJ127" s="593"/>
      <c r="AK127" s="209"/>
      <c r="AL127" s="422"/>
      <c r="AM127" s="875">
        <f t="shared" ref="AM127:AM133" si="389">AK127/AE127</f>
        <v>0</v>
      </c>
      <c r="AN127" s="10">
        <f t="shared" ref="AN127:AN133" si="390">AL127/AE127</f>
        <v>0</v>
      </c>
      <c r="AO127" s="43"/>
      <c r="AP127" s="43"/>
      <c r="AQ127" s="43"/>
      <c r="AR127" s="61"/>
      <c r="AS127" s="61"/>
      <c r="AT127" s="61"/>
      <c r="AU127" s="61"/>
      <c r="AV127" s="61"/>
      <c r="AW127" s="43"/>
      <c r="AX127" s="59"/>
      <c r="AY127" s="61"/>
      <c r="AZ127" s="43"/>
      <c r="BA127" s="39"/>
      <c r="BB127" s="39"/>
      <c r="BC127" s="39"/>
      <c r="BD127" s="39"/>
      <c r="BE127" s="39"/>
      <c r="BF127" s="39"/>
      <c r="BG127" s="184"/>
      <c r="BH127" s="87"/>
      <c r="BI127" s="159"/>
      <c r="BJ127" s="75"/>
      <c r="BK127" s="867" t="s">
        <v>250</v>
      </c>
      <c r="BL127" s="125"/>
      <c r="BM127" s="158"/>
      <c r="BN127" s="1007">
        <f t="shared" si="308"/>
        <v>0</v>
      </c>
      <c r="BO127" s="954"/>
      <c r="BP127" s="125"/>
      <c r="BQ127" s="125"/>
      <c r="BR127" s="225"/>
      <c r="BS127" s="224"/>
      <c r="BT127" s="605"/>
      <c r="BU127" s="224"/>
      <c r="BV127" s="784"/>
      <c r="BW127" s="605"/>
      <c r="BX127" s="605"/>
      <c r="BY127" s="702"/>
      <c r="BZ127" s="708"/>
      <c r="CA127" s="703"/>
      <c r="CB127" s="703"/>
      <c r="CC127" s="703"/>
      <c r="CD127" s="699"/>
      <c r="CE127" s="699"/>
      <c r="CF127" s="699"/>
      <c r="CG127" s="699"/>
      <c r="CH127" s="699"/>
      <c r="CI127" s="699"/>
      <c r="CJ127" s="699"/>
      <c r="CK127" s="699"/>
      <c r="CL127" s="699"/>
      <c r="CM127" s="699"/>
      <c r="CN127" s="699"/>
      <c r="CO127" s="699"/>
      <c r="CP127" s="699"/>
      <c r="CQ127" s="237"/>
      <c r="CR127" s="966"/>
      <c r="CS127" s="966"/>
      <c r="CT127" s="475" t="str">
        <f t="shared" ref="CT127:CT133" si="391">IF(AND(CR127&gt;0,CS127&gt;0),CS127-CR127,"0")</f>
        <v>0</v>
      </c>
      <c r="CU127" s="95"/>
      <c r="CV127" s="95"/>
      <c r="CW127" s="475" t="str">
        <f t="shared" ref="CW127:CW133" si="392">IF(AND(CU127&gt;0,CV127&gt;0),CV127-CU127,"0")</f>
        <v>0</v>
      </c>
      <c r="CX127" s="490"/>
      <c r="CY127" s="490"/>
      <c r="CZ127" s="492" t="str">
        <f t="shared" ref="CZ127:CZ133" si="393">IF(AND(CX127&gt;0,CY127&gt;0),CY127-CX127,"0")</f>
        <v>0</v>
      </c>
      <c r="DA127" s="490"/>
      <c r="DB127" s="490"/>
      <c r="DC127" s="492" t="str">
        <f t="shared" ref="DC127:DC133" si="394">IF(AND(DA127&gt;0,DB127&gt;0),DB127-DA127,"0")</f>
        <v>0</v>
      </c>
      <c r="DD127" s="490"/>
      <c r="DE127" s="490"/>
      <c r="DF127" s="492" t="str">
        <f t="shared" ref="DF127:DF133" si="395">IF(AND(DD127&gt;0,DE127&gt;0),DE127-DD127,"0")</f>
        <v>0</v>
      </c>
      <c r="DG127" s="967"/>
      <c r="DH127" s="968"/>
      <c r="DI127" s="479"/>
      <c r="DJ127" s="484"/>
      <c r="DK127" s="481"/>
      <c r="DL127" s="479"/>
      <c r="DM127" s="617">
        <v>45123</v>
      </c>
      <c r="DN127" s="303"/>
      <c r="DO127" s="432">
        <f t="shared" si="302"/>
        <v>1504.1</v>
      </c>
      <c r="DP127" s="481"/>
      <c r="DQ127" s="618"/>
      <c r="DR127" s="188"/>
      <c r="DS127" s="479"/>
      <c r="DT127" s="484"/>
      <c r="DU127" s="481"/>
      <c r="DV127" s="479"/>
      <c r="DW127" s="497"/>
      <c r="DX127" s="482"/>
      <c r="DY127" s="483"/>
      <c r="DZ127" s="497"/>
      <c r="EA127" s="481"/>
      <c r="EB127" s="484"/>
      <c r="EC127" s="484"/>
      <c r="ED127" s="481"/>
      <c r="EE127" s="485"/>
      <c r="EF127" s="485"/>
      <c r="EG127" s="481"/>
      <c r="EH127" s="484"/>
      <c r="EI127" s="484"/>
      <c r="EJ127" s="481"/>
      <c r="EK127" s="484"/>
      <c r="EL127" s="484"/>
      <c r="EM127" s="481"/>
      <c r="EN127" s="484"/>
      <c r="EO127" s="484"/>
      <c r="EP127" s="484"/>
      <c r="EQ127" s="654"/>
      <c r="ER127" s="653"/>
      <c r="ES127" s="650"/>
      <c r="ET127" s="904">
        <f t="shared" ca="1" si="306"/>
        <v>0</v>
      </c>
      <c r="EU127" s="653">
        <f t="shared" ref="EU127:EU133" si="396">DATE(YEAR(DW127)+2,MONTH(DW127),DAY(DW127))</f>
        <v>731</v>
      </c>
      <c r="EV127" s="748"/>
      <c r="EW127" s="737"/>
      <c r="EX127" s="749"/>
      <c r="EY127" s="443"/>
      <c r="EZ127" s="747"/>
      <c r="FA127" s="653"/>
      <c r="FB127" s="518"/>
      <c r="FC127" s="647"/>
      <c r="FD127" s="192"/>
      <c r="FE127" s="192"/>
      <c r="FF127" s="91"/>
      <c r="FG127" s="502"/>
      <c r="FH127" s="502"/>
      <c r="FI127" s="502"/>
      <c r="FJ127" s="502"/>
      <c r="FK127" s="502"/>
      <c r="FL127" s="664"/>
      <c r="FM127" s="499"/>
      <c r="FN127" s="511"/>
      <c r="FO127" s="499"/>
      <c r="FP127" s="499"/>
      <c r="FQ127" s="94"/>
      <c r="FR127" s="94"/>
      <c r="FS127" s="94"/>
      <c r="FT127" s="94"/>
      <c r="FU127" s="94"/>
      <c r="FV127" s="39"/>
      <c r="FW127" s="212"/>
      <c r="FX127" s="212"/>
      <c r="FY127" s="39"/>
      <c r="FZ127" s="39"/>
      <c r="GA127" s="39"/>
      <c r="GB127" s="39"/>
      <c r="GC127" s="39"/>
      <c r="GD127" s="39"/>
      <c r="GE127" s="39"/>
      <c r="GF127" s="39"/>
      <c r="GG127" s="39"/>
      <c r="GH127" s="39"/>
      <c r="GI127" s="39"/>
      <c r="GJ127" s="39"/>
      <c r="GK127" s="39"/>
      <c r="GL127" s="742"/>
      <c r="GM127" s="979">
        <f t="shared" si="341"/>
        <v>0</v>
      </c>
      <c r="GN127" s="772">
        <f t="shared" si="344"/>
        <v>0</v>
      </c>
      <c r="GO127" s="53"/>
      <c r="GP127" s="898">
        <f t="shared" si="321"/>
        <v>0</v>
      </c>
      <c r="GQ127" s="35" t="e">
        <f t="shared" si="342"/>
        <v>#DIV/0!</v>
      </c>
      <c r="GR127" s="35"/>
      <c r="GS127" s="53"/>
      <c r="GT127" s="577"/>
      <c r="GU127" s="35"/>
      <c r="GV127" s="53"/>
      <c r="GW127" s="67"/>
      <c r="GX127" s="67"/>
      <c r="GY127" s="568"/>
      <c r="GZ127" s="53"/>
      <c r="HA127" s="53"/>
      <c r="HB127" s="53"/>
      <c r="HC127" s="68" t="e">
        <f t="shared" si="387"/>
        <v>#DIV/0!</v>
      </c>
      <c r="HD127" s="53"/>
      <c r="HE127" s="53"/>
      <c r="HF127" s="53"/>
      <c r="HG127" s="35"/>
      <c r="HH127" s="35"/>
      <c r="HI127" s="70"/>
      <c r="HJ127" s="70"/>
      <c r="HK127" s="35"/>
      <c r="HL127" s="70"/>
      <c r="HM127" s="35"/>
      <c r="HN127" s="36"/>
      <c r="HO127" s="70"/>
      <c r="HP127" s="70"/>
      <c r="HQ127" s="53"/>
      <c r="HR127" s="898"/>
      <c r="HS127" s="907" t="e">
        <f t="shared" si="325"/>
        <v>#DIV/0!</v>
      </c>
      <c r="HT127" s="898">
        <f t="shared" si="326"/>
        <v>0</v>
      </c>
      <c r="HU127" s="898">
        <f t="shared" ca="1" si="343"/>
        <v>0</v>
      </c>
      <c r="HV127" s="898"/>
      <c r="HW127" s="898"/>
      <c r="HX127" s="898"/>
      <c r="HY127" s="898"/>
      <c r="HZ127" s="898"/>
      <c r="IA127" s="73"/>
      <c r="IB127" s="752"/>
      <c r="IC127" s="73"/>
      <c r="ID127" s="73"/>
      <c r="IE127" s="73"/>
      <c r="IF127" s="73"/>
    </row>
    <row r="128" spans="1:240 16328:16328" ht="15" customHeight="1">
      <c r="A128" s="66" t="s">
        <v>881</v>
      </c>
      <c r="B128" s="66"/>
      <c r="C128" s="39" t="s">
        <v>21</v>
      </c>
      <c r="D128" s="39" t="s">
        <v>92</v>
      </c>
      <c r="E128" s="39">
        <v>2021</v>
      </c>
      <c r="F128" s="39"/>
      <c r="G128" s="39"/>
      <c r="H128" s="39"/>
      <c r="I128" s="39"/>
      <c r="J128" s="39"/>
      <c r="K128" s="39" t="s">
        <v>881</v>
      </c>
      <c r="L128" s="199"/>
      <c r="M128" s="129"/>
      <c r="N128" s="130"/>
      <c r="O128" s="131"/>
      <c r="P128" s="161">
        <v>5375</v>
      </c>
      <c r="Q128" s="161"/>
      <c r="R128" s="161"/>
      <c r="S128" s="161">
        <f t="shared" si="334"/>
        <v>0</v>
      </c>
      <c r="T128" s="161">
        <f t="shared" si="384"/>
        <v>0</v>
      </c>
      <c r="U128" s="167">
        <f t="shared" si="385"/>
        <v>0</v>
      </c>
      <c r="V128" s="167" t="e">
        <f>R128/AL128</f>
        <v>#DIV/0!</v>
      </c>
      <c r="W128" s="167">
        <f t="shared" si="338"/>
        <v>0</v>
      </c>
      <c r="X128" s="161">
        <f t="shared" si="386"/>
        <v>111.97916666666667</v>
      </c>
      <c r="Y128" s="162"/>
      <c r="Z128" s="736">
        <f t="shared" si="340"/>
        <v>89.302325581395351</v>
      </c>
      <c r="AA128" s="162"/>
      <c r="AB128" s="162">
        <v>580</v>
      </c>
      <c r="AC128" s="163">
        <v>0.15</v>
      </c>
      <c r="AD128" s="40" t="s">
        <v>10</v>
      </c>
      <c r="AE128" s="675">
        <f t="shared" si="311"/>
        <v>48</v>
      </c>
      <c r="AF128" s="675">
        <f t="shared" si="388"/>
        <v>48</v>
      </c>
      <c r="AG128" s="39">
        <v>48</v>
      </c>
      <c r="AH128" s="50"/>
      <c r="AI128" s="50"/>
      <c r="AJ128" s="50"/>
      <c r="AK128" s="692"/>
      <c r="AL128" s="422"/>
      <c r="AM128" s="875">
        <f t="shared" si="389"/>
        <v>0</v>
      </c>
      <c r="AN128" s="10">
        <f t="shared" si="390"/>
        <v>0</v>
      </c>
      <c r="AO128" s="43"/>
      <c r="AP128" s="43"/>
      <c r="AQ128" s="43"/>
      <c r="AR128" s="61"/>
      <c r="AS128" s="61"/>
      <c r="AT128" s="61"/>
      <c r="AU128" s="61"/>
      <c r="AV128" s="61"/>
      <c r="AW128" s="43"/>
      <c r="AX128" s="59"/>
      <c r="AY128" s="61"/>
      <c r="AZ128" s="43"/>
      <c r="BA128" s="39"/>
      <c r="BB128" s="39"/>
      <c r="BC128" s="39"/>
      <c r="BD128" s="39"/>
      <c r="BE128" s="39"/>
      <c r="BF128" s="39"/>
      <c r="BG128" s="143"/>
      <c r="BH128" s="39"/>
      <c r="BI128" s="159"/>
      <c r="BJ128" s="75"/>
      <c r="BK128" s="867" t="s">
        <v>250</v>
      </c>
      <c r="BL128" s="125"/>
      <c r="BM128" s="158"/>
      <c r="BN128" s="1007">
        <f t="shared" si="308"/>
        <v>0</v>
      </c>
      <c r="BO128" s="954"/>
      <c r="BP128" s="125"/>
      <c r="BQ128" s="125"/>
      <c r="BR128" s="225"/>
      <c r="BS128" s="224"/>
      <c r="BT128" s="605"/>
      <c r="BU128" s="224"/>
      <c r="BV128" s="784"/>
      <c r="BW128" s="605"/>
      <c r="BX128" s="605"/>
      <c r="BY128" s="702"/>
      <c r="BZ128" s="708"/>
      <c r="CA128" s="703"/>
      <c r="CB128" s="703"/>
      <c r="CC128" s="703"/>
      <c r="CD128" s="699"/>
      <c r="CE128" s="699"/>
      <c r="CF128" s="699"/>
      <c r="CG128" s="699"/>
      <c r="CH128" s="699"/>
      <c r="CI128" s="699"/>
      <c r="CJ128" s="699"/>
      <c r="CK128" s="699"/>
      <c r="CL128" s="699"/>
      <c r="CM128" s="699"/>
      <c r="CN128" s="699"/>
      <c r="CO128" s="699"/>
      <c r="CP128" s="699"/>
      <c r="CQ128" s="490"/>
      <c r="CR128" s="490"/>
      <c r="CS128" s="490"/>
      <c r="CT128" s="492" t="str">
        <f t="shared" si="391"/>
        <v>0</v>
      </c>
      <c r="CU128" s="490"/>
      <c r="CV128" s="490"/>
      <c r="CW128" s="492" t="str">
        <f t="shared" si="392"/>
        <v>0</v>
      </c>
      <c r="CX128" s="490"/>
      <c r="CY128" s="490"/>
      <c r="CZ128" s="492" t="str">
        <f t="shared" si="393"/>
        <v>0</v>
      </c>
      <c r="DA128" s="490"/>
      <c r="DB128" s="490"/>
      <c r="DC128" s="492" t="str">
        <f t="shared" si="394"/>
        <v>0</v>
      </c>
      <c r="DD128" s="493"/>
      <c r="DE128" s="490"/>
      <c r="DF128" s="492" t="str">
        <f t="shared" si="395"/>
        <v>0</v>
      </c>
      <c r="DG128" s="438"/>
      <c r="DH128" s="491"/>
      <c r="DI128" s="479"/>
      <c r="DJ128" s="480"/>
      <c r="DK128" s="481"/>
      <c r="DL128" s="479"/>
      <c r="DM128" s="617">
        <v>45125</v>
      </c>
      <c r="DN128" s="326"/>
      <c r="DO128" s="432">
        <f t="shared" si="302"/>
        <v>1504.1666666666667</v>
      </c>
      <c r="DP128" s="481"/>
      <c r="DQ128" s="618"/>
      <c r="DR128" s="188"/>
      <c r="DS128" s="479"/>
      <c r="DT128" s="484"/>
      <c r="DU128" s="481"/>
      <c r="DV128" s="479"/>
      <c r="DW128" s="497"/>
      <c r="DX128" s="482"/>
      <c r="DY128" s="483"/>
      <c r="DZ128" s="497"/>
      <c r="EA128" s="481"/>
      <c r="EB128" s="484"/>
      <c r="EC128" s="484"/>
      <c r="ED128" s="481"/>
      <c r="EE128" s="485"/>
      <c r="EF128" s="485"/>
      <c r="EG128" s="481"/>
      <c r="EH128" s="484"/>
      <c r="EI128" s="484"/>
      <c r="EJ128" s="481"/>
      <c r="EK128" s="484"/>
      <c r="EL128" s="484"/>
      <c r="EM128" s="481"/>
      <c r="EN128" s="484"/>
      <c r="EO128" s="484"/>
      <c r="EP128" s="484"/>
      <c r="EQ128" s="654"/>
      <c r="ER128" s="653"/>
      <c r="ES128" s="650"/>
      <c r="ET128" s="904">
        <f t="shared" ca="1" si="306"/>
        <v>0</v>
      </c>
      <c r="EU128" s="653">
        <f t="shared" si="396"/>
        <v>731</v>
      </c>
      <c r="EV128" s="748"/>
      <c r="EW128" s="737"/>
      <c r="EX128" s="749"/>
      <c r="EY128" s="443"/>
      <c r="EZ128" s="747"/>
      <c r="FA128" s="653"/>
      <c r="FB128" s="518"/>
      <c r="FC128" s="647"/>
      <c r="FD128" s="635"/>
      <c r="FE128" s="192"/>
      <c r="FF128" s="91"/>
      <c r="FG128" s="502"/>
      <c r="FH128" s="502"/>
      <c r="FI128" s="502"/>
      <c r="FJ128" s="502"/>
      <c r="FK128" s="663"/>
      <c r="FL128" s="664"/>
      <c r="FM128" s="499"/>
      <c r="FN128" s="511"/>
      <c r="FO128" s="504"/>
      <c r="FP128" s="504"/>
      <c r="FQ128" s="94"/>
      <c r="FR128" s="94"/>
      <c r="FS128" s="94"/>
      <c r="FT128" s="94"/>
      <c r="FU128" s="94"/>
      <c r="FV128" s="39"/>
      <c r="FW128" s="212"/>
      <c r="FX128" s="212"/>
      <c r="FY128" s="39"/>
      <c r="FZ128" s="39"/>
      <c r="GA128" s="39"/>
      <c r="GB128" s="39"/>
      <c r="GC128" s="39"/>
      <c r="GD128" s="39"/>
      <c r="GE128" s="39"/>
      <c r="GF128" s="39"/>
      <c r="GG128" s="39"/>
      <c r="GH128" s="39"/>
      <c r="GI128" s="39"/>
      <c r="GJ128" s="39"/>
      <c r="GK128" s="39"/>
      <c r="GL128" s="742"/>
      <c r="GM128" s="979">
        <f t="shared" si="341"/>
        <v>0</v>
      </c>
      <c r="GN128" s="772">
        <f t="shared" si="344"/>
        <v>0</v>
      </c>
      <c r="GO128" s="53"/>
      <c r="GP128" s="898">
        <f t="shared" si="321"/>
        <v>0</v>
      </c>
      <c r="GQ128" s="35" t="e">
        <f t="shared" si="342"/>
        <v>#DIV/0!</v>
      </c>
      <c r="GR128" s="35"/>
      <c r="GS128" s="53"/>
      <c r="GT128" s="577"/>
      <c r="GU128" s="35"/>
      <c r="GV128" s="53"/>
      <c r="GW128" s="67"/>
      <c r="GX128" s="67"/>
      <c r="GY128" s="568"/>
      <c r="GZ128" s="53"/>
      <c r="HA128" s="53"/>
      <c r="HB128" s="53"/>
      <c r="HC128" s="68" t="e">
        <f t="shared" si="387"/>
        <v>#DIV/0!</v>
      </c>
      <c r="HD128" s="53"/>
      <c r="HE128" s="53"/>
      <c r="HF128" s="53"/>
      <c r="HG128" s="35"/>
      <c r="HH128" s="35"/>
      <c r="HI128" s="70"/>
      <c r="HJ128" s="70"/>
      <c r="HK128" s="35"/>
      <c r="HL128" s="70"/>
      <c r="HM128" s="35"/>
      <c r="HN128" s="36"/>
      <c r="HO128" s="70"/>
      <c r="HP128" s="70"/>
      <c r="HQ128" s="53"/>
      <c r="HR128" s="898"/>
      <c r="HS128" s="907" t="e">
        <f t="shared" si="325"/>
        <v>#DIV/0!</v>
      </c>
      <c r="HT128" s="898">
        <f t="shared" si="326"/>
        <v>0</v>
      </c>
      <c r="HU128" s="898">
        <f t="shared" ca="1" si="343"/>
        <v>0</v>
      </c>
      <c r="HV128" s="898"/>
      <c r="HW128" s="898"/>
      <c r="HX128" s="898"/>
      <c r="HY128" s="898"/>
      <c r="HZ128" s="898"/>
      <c r="IA128" s="73"/>
      <c r="IB128" s="752"/>
      <c r="IC128" s="73"/>
      <c r="ID128" s="73"/>
      <c r="IE128" s="73"/>
      <c r="IF128" s="73"/>
    </row>
    <row r="129" spans="1:240" ht="15" customHeight="1">
      <c r="A129" s="676" t="s">
        <v>888</v>
      </c>
      <c r="B129" s="676"/>
      <c r="C129" s="39" t="s">
        <v>14</v>
      </c>
      <c r="D129" s="39" t="s">
        <v>92</v>
      </c>
      <c r="E129" s="39">
        <v>2022</v>
      </c>
      <c r="F129" s="39"/>
      <c r="G129" s="39"/>
      <c r="H129" s="39"/>
      <c r="I129" s="41"/>
      <c r="J129" s="39"/>
      <c r="K129" s="39" t="s">
        <v>888</v>
      </c>
      <c r="L129" s="199"/>
      <c r="M129" s="129"/>
      <c r="N129" s="130"/>
      <c r="O129" s="131"/>
      <c r="P129" s="161"/>
      <c r="Q129" s="161"/>
      <c r="R129" s="161"/>
      <c r="S129" s="161"/>
      <c r="T129" s="161"/>
      <c r="U129" s="167"/>
      <c r="V129" s="167"/>
      <c r="W129" s="167"/>
      <c r="X129" s="161"/>
      <c r="Y129" s="162"/>
      <c r="Z129" s="736"/>
      <c r="AA129" s="162"/>
      <c r="AB129" s="162"/>
      <c r="AC129" s="163"/>
      <c r="AD129" s="39" t="s">
        <v>10</v>
      </c>
      <c r="AE129" s="675">
        <f t="shared" si="311"/>
        <v>50</v>
      </c>
      <c r="AF129" s="675">
        <f t="shared" si="388"/>
        <v>50</v>
      </c>
      <c r="AG129" s="50"/>
      <c r="AH129" s="39">
        <v>50</v>
      </c>
      <c r="AI129" s="50"/>
      <c r="AJ129" s="50"/>
      <c r="AK129" s="692"/>
      <c r="AL129" s="422"/>
      <c r="AM129" s="875">
        <f t="shared" si="389"/>
        <v>0</v>
      </c>
      <c r="AN129" s="10">
        <f t="shared" si="390"/>
        <v>0</v>
      </c>
      <c r="AO129" s="43"/>
      <c r="AP129" s="43"/>
      <c r="AQ129" s="43"/>
      <c r="AR129" s="61"/>
      <c r="AS129" s="61"/>
      <c r="AT129" s="61"/>
      <c r="AU129" s="61"/>
      <c r="AV129" s="61"/>
      <c r="AW129" s="43"/>
      <c r="AX129" s="59"/>
      <c r="AY129" s="61"/>
      <c r="AZ129" s="43"/>
      <c r="BA129" s="42"/>
      <c r="BB129" s="39"/>
      <c r="BC129" s="39"/>
      <c r="BD129" s="39"/>
      <c r="BE129" s="39"/>
      <c r="BF129" s="39"/>
      <c r="BG129" s="184"/>
      <c r="BH129" s="143"/>
      <c r="BI129" s="159"/>
      <c r="BJ129" s="75"/>
      <c r="BK129" s="867" t="s">
        <v>250</v>
      </c>
      <c r="BL129" s="125"/>
      <c r="BM129" s="158"/>
      <c r="BN129" s="1007">
        <f t="shared" si="308"/>
        <v>0</v>
      </c>
      <c r="BO129" s="954"/>
      <c r="BP129" s="125"/>
      <c r="BQ129" s="125"/>
      <c r="BR129" s="225"/>
      <c r="BS129" s="224"/>
      <c r="BT129" s="605"/>
      <c r="BU129" s="224"/>
      <c r="BV129" s="784"/>
      <c r="BW129" s="605"/>
      <c r="BX129" s="605"/>
      <c r="BY129" s="702"/>
      <c r="BZ129" s="708"/>
      <c r="CA129" s="703"/>
      <c r="CB129" s="703"/>
      <c r="CC129" s="703"/>
      <c r="CD129" s="699"/>
      <c r="CE129" s="699"/>
      <c r="CF129" s="699"/>
      <c r="CG129" s="699"/>
      <c r="CH129" s="699"/>
      <c r="CI129" s="699"/>
      <c r="CJ129" s="699"/>
      <c r="CK129" s="699"/>
      <c r="CL129" s="699"/>
      <c r="CM129" s="699"/>
      <c r="CN129" s="699"/>
      <c r="CO129" s="699"/>
      <c r="CP129" s="699"/>
      <c r="CQ129" s="488"/>
      <c r="CR129" s="490"/>
      <c r="CS129" s="490"/>
      <c r="CT129" s="492" t="str">
        <f t="shared" si="391"/>
        <v>0</v>
      </c>
      <c r="CU129" s="490"/>
      <c r="CV129" s="490"/>
      <c r="CW129" s="492" t="str">
        <f t="shared" si="392"/>
        <v>0</v>
      </c>
      <c r="CX129" s="490"/>
      <c r="CY129" s="490"/>
      <c r="CZ129" s="492" t="str">
        <f t="shared" si="393"/>
        <v>0</v>
      </c>
      <c r="DA129" s="490"/>
      <c r="DB129" s="490"/>
      <c r="DC129" s="492" t="str">
        <f t="shared" si="394"/>
        <v>0</v>
      </c>
      <c r="DD129" s="493"/>
      <c r="DE129" s="490"/>
      <c r="DF129" s="492" t="str">
        <f t="shared" si="395"/>
        <v>0</v>
      </c>
      <c r="DG129" s="438"/>
      <c r="DH129" s="494"/>
      <c r="DI129" s="479"/>
      <c r="DJ129" s="480"/>
      <c r="DK129" s="481"/>
      <c r="DL129" s="479"/>
      <c r="DM129" s="617">
        <v>45128</v>
      </c>
      <c r="DN129" s="326"/>
      <c r="DO129" s="432">
        <f t="shared" si="302"/>
        <v>1504.2666666666667</v>
      </c>
      <c r="DP129" s="481"/>
      <c r="DQ129" s="618"/>
      <c r="DR129" s="188"/>
      <c r="DS129" s="479"/>
      <c r="DT129" s="484"/>
      <c r="DU129" s="481"/>
      <c r="DV129" s="479"/>
      <c r="DW129" s="497"/>
      <c r="DX129" s="482"/>
      <c r="DY129" s="483"/>
      <c r="DZ129" s="497"/>
      <c r="EA129" s="481"/>
      <c r="EB129" s="484"/>
      <c r="EC129" s="484"/>
      <c r="ED129" s="481"/>
      <c r="EE129" s="485"/>
      <c r="EF129" s="485"/>
      <c r="EG129" s="481"/>
      <c r="EH129" s="484"/>
      <c r="EI129" s="484"/>
      <c r="EJ129" s="481"/>
      <c r="EK129" s="484"/>
      <c r="EL129" s="484"/>
      <c r="EM129" s="481"/>
      <c r="EN129" s="484"/>
      <c r="EO129" s="484"/>
      <c r="EP129" s="484"/>
      <c r="EQ129" s="654"/>
      <c r="ER129" s="653"/>
      <c r="ES129" s="650"/>
      <c r="ET129" s="904">
        <f t="shared" ca="1" si="306"/>
        <v>0</v>
      </c>
      <c r="EU129" s="653">
        <f t="shared" si="396"/>
        <v>731</v>
      </c>
      <c r="EV129" s="748"/>
      <c r="EW129" s="737"/>
      <c r="EX129" s="749"/>
      <c r="EY129" s="443"/>
      <c r="EZ129" s="747"/>
      <c r="FA129" s="653"/>
      <c r="FB129" s="518"/>
      <c r="FC129" s="647"/>
      <c r="FD129" s="631"/>
      <c r="FE129" s="192"/>
      <c r="FF129" s="91"/>
      <c r="FG129" s="502"/>
      <c r="FH129" s="502"/>
      <c r="FI129" s="502"/>
      <c r="FJ129" s="502"/>
      <c r="FK129" s="663"/>
      <c r="FL129" s="664"/>
      <c r="FM129" s="499"/>
      <c r="FN129" s="511"/>
      <c r="FO129" s="504"/>
      <c r="FP129" s="504"/>
      <c r="FQ129" s="94"/>
      <c r="FR129" s="94"/>
      <c r="FS129" s="94"/>
      <c r="FT129" s="94"/>
      <c r="FU129" s="94"/>
      <c r="FV129" s="39"/>
      <c r="FW129" s="212"/>
      <c r="FX129" s="212"/>
      <c r="FY129" s="39"/>
      <c r="FZ129" s="39"/>
      <c r="GA129" s="39"/>
      <c r="GB129" s="39"/>
      <c r="GC129" s="39"/>
      <c r="GD129" s="39"/>
      <c r="GE129" s="39"/>
      <c r="GF129" s="39"/>
      <c r="GG129" s="39"/>
      <c r="GH129" s="39"/>
      <c r="GI129" s="39"/>
      <c r="GJ129" s="39"/>
      <c r="GK129" s="39"/>
      <c r="GL129" s="742"/>
      <c r="GM129" s="979">
        <f t="shared" si="341"/>
        <v>0</v>
      </c>
      <c r="GN129" s="772">
        <f t="shared" si="344"/>
        <v>0</v>
      </c>
      <c r="GO129" s="53"/>
      <c r="GP129" s="898">
        <f t="shared" si="321"/>
        <v>0</v>
      </c>
      <c r="GQ129" s="35" t="e">
        <f t="shared" si="342"/>
        <v>#DIV/0!</v>
      </c>
      <c r="GR129" s="35"/>
      <c r="GS129" s="53"/>
      <c r="GT129" s="577"/>
      <c r="GU129" s="35"/>
      <c r="GV129" s="53"/>
      <c r="GW129" s="67"/>
      <c r="GX129" s="67"/>
      <c r="GY129" s="568"/>
      <c r="GZ129" s="53"/>
      <c r="HA129" s="53"/>
      <c r="HB129" s="53"/>
      <c r="HC129" s="68" t="e">
        <f t="shared" si="387"/>
        <v>#DIV/0!</v>
      </c>
      <c r="HD129" s="53"/>
      <c r="HE129" s="53"/>
      <c r="HF129" s="53"/>
      <c r="HG129" s="35"/>
      <c r="HH129" s="35"/>
      <c r="HI129" s="70"/>
      <c r="HJ129" s="70"/>
      <c r="HK129" s="35"/>
      <c r="HL129" s="70"/>
      <c r="HM129" s="35"/>
      <c r="HN129" s="36"/>
      <c r="HO129" s="70"/>
      <c r="HP129" s="70"/>
      <c r="HQ129" s="53"/>
      <c r="HR129" s="898"/>
      <c r="HS129" s="907" t="e">
        <f t="shared" si="325"/>
        <v>#DIV/0!</v>
      </c>
      <c r="HT129" s="898">
        <f t="shared" si="326"/>
        <v>0</v>
      </c>
      <c r="HU129" s="898">
        <f t="shared" ca="1" si="343"/>
        <v>0</v>
      </c>
      <c r="HV129" s="898"/>
      <c r="HW129" s="898"/>
      <c r="HX129" s="898"/>
      <c r="HY129" s="898"/>
      <c r="HZ129" s="898"/>
      <c r="IA129" s="73"/>
      <c r="IB129" s="752"/>
      <c r="IC129" s="73"/>
      <c r="ID129" s="73"/>
      <c r="IE129" s="73"/>
      <c r="IF129" s="73"/>
    </row>
    <row r="130" spans="1:240" ht="15" customHeight="1">
      <c r="A130" s="74" t="s">
        <v>884</v>
      </c>
      <c r="B130" s="74"/>
      <c r="C130" s="39" t="s">
        <v>14</v>
      </c>
      <c r="D130" s="39" t="s">
        <v>92</v>
      </c>
      <c r="E130" s="39" t="s">
        <v>754</v>
      </c>
      <c r="F130" s="39"/>
      <c r="G130" s="39"/>
      <c r="H130" s="39"/>
      <c r="I130" s="41"/>
      <c r="J130" s="39"/>
      <c r="K130" s="39" t="s">
        <v>885</v>
      </c>
      <c r="L130" s="199"/>
      <c r="M130" s="129"/>
      <c r="N130" s="130"/>
      <c r="O130" s="131"/>
      <c r="P130" s="161"/>
      <c r="Q130" s="161"/>
      <c r="R130" s="161"/>
      <c r="S130" s="161"/>
      <c r="T130" s="161"/>
      <c r="U130" s="167"/>
      <c r="V130" s="167"/>
      <c r="W130" s="167"/>
      <c r="X130" s="161"/>
      <c r="Y130" s="162"/>
      <c r="Z130" s="736"/>
      <c r="AA130" s="162"/>
      <c r="AB130" s="162"/>
      <c r="AC130" s="163"/>
      <c r="AD130" s="39" t="s">
        <v>10</v>
      </c>
      <c r="AE130" s="675">
        <f t="shared" si="311"/>
        <v>150</v>
      </c>
      <c r="AF130" s="675">
        <f t="shared" si="388"/>
        <v>150</v>
      </c>
      <c r="AG130" s="50"/>
      <c r="AH130" s="39">
        <v>150</v>
      </c>
      <c r="AI130" s="50"/>
      <c r="AJ130" s="50"/>
      <c r="AK130" s="692"/>
      <c r="AL130" s="422"/>
      <c r="AM130" s="875">
        <f t="shared" si="389"/>
        <v>0</v>
      </c>
      <c r="AN130" s="10">
        <f t="shared" si="390"/>
        <v>0</v>
      </c>
      <c r="AO130" s="43"/>
      <c r="AP130" s="43"/>
      <c r="AQ130" s="43"/>
      <c r="AR130" s="61"/>
      <c r="AS130" s="61"/>
      <c r="AT130" s="61"/>
      <c r="AU130" s="61"/>
      <c r="AV130" s="61"/>
      <c r="AW130" s="43"/>
      <c r="AX130" s="59"/>
      <c r="AY130" s="61"/>
      <c r="AZ130" s="43"/>
      <c r="BA130" s="42"/>
      <c r="BB130" s="39"/>
      <c r="BC130" s="39"/>
      <c r="BD130" s="39"/>
      <c r="BE130" s="39"/>
      <c r="BF130" s="39"/>
      <c r="BG130" s="184"/>
      <c r="BH130" s="143"/>
      <c r="BI130" s="159"/>
      <c r="BJ130" s="75"/>
      <c r="BK130" s="867" t="s">
        <v>250</v>
      </c>
      <c r="BL130" s="125"/>
      <c r="BM130" s="158"/>
      <c r="BN130" s="1007">
        <f t="shared" si="308"/>
        <v>0</v>
      </c>
      <c r="BO130" s="954"/>
      <c r="BP130" s="125"/>
      <c r="BQ130" s="125"/>
      <c r="BR130" s="225"/>
      <c r="BS130" s="224"/>
      <c r="BT130" s="605"/>
      <c r="BU130" s="224"/>
      <c r="BV130" s="784"/>
      <c r="BW130" s="605"/>
      <c r="BX130" s="605"/>
      <c r="BY130" s="702"/>
      <c r="BZ130" s="708"/>
      <c r="CA130" s="703"/>
      <c r="CB130" s="703"/>
      <c r="CC130" s="703"/>
      <c r="CD130" s="699"/>
      <c r="CE130" s="699"/>
      <c r="CF130" s="699"/>
      <c r="CG130" s="699"/>
      <c r="CH130" s="699"/>
      <c r="CI130" s="699"/>
      <c r="CJ130" s="699"/>
      <c r="CK130" s="699"/>
      <c r="CL130" s="699"/>
      <c r="CM130" s="699"/>
      <c r="CN130" s="699"/>
      <c r="CO130" s="699"/>
      <c r="CP130" s="699"/>
      <c r="CQ130" s="488"/>
      <c r="CR130" s="490"/>
      <c r="CS130" s="490"/>
      <c r="CT130" s="492" t="str">
        <f t="shared" si="391"/>
        <v>0</v>
      </c>
      <c r="CU130" s="490"/>
      <c r="CV130" s="490"/>
      <c r="CW130" s="492" t="str">
        <f t="shared" si="392"/>
        <v>0</v>
      </c>
      <c r="CX130" s="490"/>
      <c r="CY130" s="490"/>
      <c r="CZ130" s="492" t="str">
        <f t="shared" si="393"/>
        <v>0</v>
      </c>
      <c r="DA130" s="490"/>
      <c r="DB130" s="490"/>
      <c r="DC130" s="492" t="str">
        <f t="shared" si="394"/>
        <v>0</v>
      </c>
      <c r="DD130" s="493"/>
      <c r="DE130" s="490"/>
      <c r="DF130" s="492" t="str">
        <f t="shared" si="395"/>
        <v>0</v>
      </c>
      <c r="DG130" s="438"/>
      <c r="DH130" s="494"/>
      <c r="DI130" s="479"/>
      <c r="DJ130" s="480"/>
      <c r="DK130" s="481"/>
      <c r="DL130" s="479"/>
      <c r="DM130" s="617">
        <v>45129</v>
      </c>
      <c r="DN130" s="326"/>
      <c r="DO130" s="432">
        <f t="shared" si="302"/>
        <v>1504.3</v>
      </c>
      <c r="DP130" s="481"/>
      <c r="DQ130" s="618"/>
      <c r="DR130" s="188"/>
      <c r="DS130" s="479"/>
      <c r="DT130" s="484"/>
      <c r="DU130" s="481"/>
      <c r="DV130" s="479"/>
      <c r="DW130" s="497"/>
      <c r="DX130" s="482"/>
      <c r="DY130" s="483"/>
      <c r="DZ130" s="497"/>
      <c r="EA130" s="481"/>
      <c r="EB130" s="484"/>
      <c r="EC130" s="484"/>
      <c r="ED130" s="481"/>
      <c r="EE130" s="485"/>
      <c r="EF130" s="485"/>
      <c r="EG130" s="481"/>
      <c r="EH130" s="484"/>
      <c r="EI130" s="484"/>
      <c r="EJ130" s="481"/>
      <c r="EK130" s="484"/>
      <c r="EL130" s="484"/>
      <c r="EM130" s="481"/>
      <c r="EN130" s="484"/>
      <c r="EO130" s="484"/>
      <c r="EP130" s="484"/>
      <c r="EQ130" s="654"/>
      <c r="ER130" s="653"/>
      <c r="ES130" s="650"/>
      <c r="ET130" s="904">
        <f t="shared" ca="1" si="306"/>
        <v>0</v>
      </c>
      <c r="EU130" s="653">
        <f t="shared" si="396"/>
        <v>731</v>
      </c>
      <c r="EV130" s="748"/>
      <c r="EW130" s="737"/>
      <c r="EX130" s="749"/>
      <c r="EY130" s="443"/>
      <c r="EZ130" s="747"/>
      <c r="FA130" s="653"/>
      <c r="FB130" s="518"/>
      <c r="FC130" s="647"/>
      <c r="FD130" s="635"/>
      <c r="FE130" s="192"/>
      <c r="FF130" s="91"/>
      <c r="FG130" s="502"/>
      <c r="FH130" s="502"/>
      <c r="FI130" s="502"/>
      <c r="FJ130" s="502"/>
      <c r="FK130" s="663"/>
      <c r="FL130" s="664"/>
      <c r="FM130" s="499"/>
      <c r="FN130" s="511"/>
      <c r="FO130" s="504"/>
      <c r="FP130" s="504"/>
      <c r="FQ130" s="94"/>
      <c r="FR130" s="94"/>
      <c r="FS130" s="94"/>
      <c r="FT130" s="94"/>
      <c r="FU130" s="94"/>
      <c r="FV130" s="39"/>
      <c r="FW130" s="212"/>
      <c r="FX130" s="212"/>
      <c r="FY130" s="39"/>
      <c r="FZ130" s="39"/>
      <c r="GA130" s="39"/>
      <c r="GB130" s="39"/>
      <c r="GC130" s="39"/>
      <c r="GD130" s="39"/>
      <c r="GE130" s="39"/>
      <c r="GF130" s="39"/>
      <c r="GG130" s="39"/>
      <c r="GH130" s="39"/>
      <c r="GI130" s="39"/>
      <c r="GJ130" s="39"/>
      <c r="GK130" s="39"/>
      <c r="GL130" s="742"/>
      <c r="GM130" s="979">
        <f t="shared" si="341"/>
        <v>0</v>
      </c>
      <c r="GN130" s="772">
        <f t="shared" si="344"/>
        <v>0</v>
      </c>
      <c r="GO130" s="53"/>
      <c r="GP130" s="898">
        <f t="shared" si="321"/>
        <v>0</v>
      </c>
      <c r="GQ130" s="35" t="e">
        <f t="shared" si="342"/>
        <v>#DIV/0!</v>
      </c>
      <c r="GR130" s="35"/>
      <c r="GS130" s="53"/>
      <c r="GT130" s="577"/>
      <c r="GU130" s="35"/>
      <c r="GV130" s="53"/>
      <c r="GW130" s="67"/>
      <c r="GX130" s="67"/>
      <c r="GY130" s="568"/>
      <c r="GZ130" s="53"/>
      <c r="HA130" s="53"/>
      <c r="HB130" s="53"/>
      <c r="HC130" s="68" t="e">
        <f t="shared" si="387"/>
        <v>#DIV/0!</v>
      </c>
      <c r="HD130" s="53"/>
      <c r="HE130" s="53"/>
      <c r="HF130" s="53"/>
      <c r="HG130" s="35"/>
      <c r="HH130" s="35"/>
      <c r="HI130" s="70"/>
      <c r="HJ130" s="70"/>
      <c r="HK130" s="35"/>
      <c r="HL130" s="70"/>
      <c r="HM130" s="35"/>
      <c r="HN130" s="36"/>
      <c r="HO130" s="70"/>
      <c r="HP130" s="70"/>
      <c r="HQ130" s="53"/>
      <c r="HR130" s="898"/>
      <c r="HS130" s="907" t="e">
        <f t="shared" si="325"/>
        <v>#DIV/0!</v>
      </c>
      <c r="HT130" s="898">
        <f t="shared" si="326"/>
        <v>0</v>
      </c>
      <c r="HU130" s="898">
        <f t="shared" ca="1" si="343"/>
        <v>0</v>
      </c>
      <c r="HV130" s="898"/>
      <c r="HW130" s="898"/>
      <c r="HX130" s="898"/>
      <c r="HY130" s="898"/>
      <c r="HZ130" s="898"/>
      <c r="IA130" s="73"/>
      <c r="IB130" s="752"/>
      <c r="IC130" s="73"/>
      <c r="ID130" s="73"/>
      <c r="IE130" s="73"/>
      <c r="IF130" s="73"/>
    </row>
    <row r="131" spans="1:240" ht="15" customHeight="1">
      <c r="A131" s="66" t="s">
        <v>536</v>
      </c>
      <c r="B131" s="768" t="s">
        <v>801</v>
      </c>
      <c r="C131" s="39" t="s">
        <v>25</v>
      </c>
      <c r="D131" s="39" t="s">
        <v>94</v>
      </c>
      <c r="E131" s="39">
        <v>2018</v>
      </c>
      <c r="F131" s="39" t="s">
        <v>463</v>
      </c>
      <c r="G131" s="39" t="s">
        <v>119</v>
      </c>
      <c r="H131" s="39"/>
      <c r="I131" s="39" t="s">
        <v>892</v>
      </c>
      <c r="J131" s="39" t="s">
        <v>862</v>
      </c>
      <c r="K131" s="39"/>
      <c r="L131" s="199" t="s">
        <v>538</v>
      </c>
      <c r="M131" s="129"/>
      <c r="N131" s="130"/>
      <c r="O131" s="131"/>
      <c r="P131" s="161">
        <v>2641</v>
      </c>
      <c r="Q131" s="161">
        <v>313500</v>
      </c>
      <c r="R131" s="161">
        <v>313500</v>
      </c>
      <c r="S131" s="161" t="e">
        <f>Q131/AJ131</f>
        <v>#DIV/0!</v>
      </c>
      <c r="T131" s="161">
        <f>Q131/P131</f>
        <v>118.70503597122303</v>
      </c>
      <c r="U131" s="167">
        <f>R131/P131</f>
        <v>118.70503597122303</v>
      </c>
      <c r="V131" s="167">
        <f>R131/AL131</f>
        <v>120.78178757045603</v>
      </c>
      <c r="W131" s="167">
        <f>R131/AE131</f>
        <v>9500</v>
      </c>
      <c r="X131" s="161">
        <f>P131/AE131</f>
        <v>80.030303030303031</v>
      </c>
      <c r="Y131" s="162"/>
      <c r="Z131" s="733">
        <f>10000*AE131/P131</f>
        <v>124.95266944339265</v>
      </c>
      <c r="AA131" s="162" t="s">
        <v>158</v>
      </c>
      <c r="AB131" s="162"/>
      <c r="AC131" s="163"/>
      <c r="AD131" s="39" t="s">
        <v>9</v>
      </c>
      <c r="AE131" s="675">
        <f t="shared" si="311"/>
        <v>33</v>
      </c>
      <c r="AF131" s="675">
        <f t="shared" si="388"/>
        <v>33</v>
      </c>
      <c r="AG131" s="39">
        <v>33</v>
      </c>
      <c r="AH131" s="50"/>
      <c r="AI131" s="50"/>
      <c r="AJ131" s="50"/>
      <c r="AK131" s="209">
        <v>2317.79</v>
      </c>
      <c r="AL131" s="422">
        <v>2595.59</v>
      </c>
      <c r="AM131" s="875">
        <f t="shared" si="389"/>
        <v>70.236060606060605</v>
      </c>
      <c r="AN131" s="10">
        <f t="shared" si="390"/>
        <v>78.654242424242426</v>
      </c>
      <c r="AO131" s="43">
        <v>7.45</v>
      </c>
      <c r="AP131" s="43">
        <v>6.66</v>
      </c>
      <c r="AQ131" s="43">
        <v>523.54</v>
      </c>
      <c r="AR131" s="61">
        <f>7/AE131</f>
        <v>0.21212121212121213</v>
      </c>
      <c r="AS131" s="61">
        <f>3/AE131</f>
        <v>9.0909090909090912E-2</v>
      </c>
      <c r="AT131" s="61">
        <f>12/AE131</f>
        <v>0.36363636363636365</v>
      </c>
      <c r="AU131" s="61">
        <f>10/AE131</f>
        <v>0.30303030303030304</v>
      </c>
      <c r="AV131" s="61">
        <f>1/AE131</f>
        <v>3.0303030303030304E-2</v>
      </c>
      <c r="AW131" s="43"/>
      <c r="AX131" s="59"/>
      <c r="AY131" s="61"/>
      <c r="AZ131" s="43"/>
      <c r="BA131" s="39" t="s">
        <v>439</v>
      </c>
      <c r="BB131" s="39" t="s">
        <v>100</v>
      </c>
      <c r="BC131" s="39"/>
      <c r="BD131" s="39"/>
      <c r="BE131" s="39"/>
      <c r="BF131" s="39"/>
      <c r="BG131" s="184"/>
      <c r="BH131" s="87">
        <v>43308</v>
      </c>
      <c r="BI131" s="159">
        <v>43334</v>
      </c>
      <c r="BJ131" s="75"/>
      <c r="BK131" s="867" t="s">
        <v>250</v>
      </c>
      <c r="BL131" s="125">
        <v>43634</v>
      </c>
      <c r="BM131" s="158"/>
      <c r="BN131" s="1007"/>
      <c r="BO131" s="954"/>
      <c r="BP131" s="125">
        <f>DATE(YEAR(BM131),MONTH(BM131)+3,DAY(BM131))</f>
        <v>91</v>
      </c>
      <c r="BQ131" s="125"/>
      <c r="BR131" s="225"/>
      <c r="BS131" s="224">
        <f>DATE(YEAR(BR131),MONTH(BR131)+24,DAY(BR131))</f>
        <v>731</v>
      </c>
      <c r="BT131" s="605"/>
      <c r="BU131" s="224" t="str">
        <f>IF(FA131&gt;BS131,"oui","non")</f>
        <v>oui</v>
      </c>
      <c r="BV131" s="784">
        <f>(BS131-FA131)/30</f>
        <v>-6.6666666666666666E-2</v>
      </c>
      <c r="BW131" s="605" t="str">
        <f>IF((BV131*FD131)&lt;0,"0",BV131*FD131)</f>
        <v>0</v>
      </c>
      <c r="BX131" s="605">
        <f>BT131-BW131</f>
        <v>0</v>
      </c>
      <c r="BY131" s="702"/>
      <c r="BZ131" s="708"/>
      <c r="CA131" s="703"/>
      <c r="CB131" s="703"/>
      <c r="CC131" s="703"/>
      <c r="CD131" s="699"/>
      <c r="CE131" s="699"/>
      <c r="CF131" s="699"/>
      <c r="CG131" s="699"/>
      <c r="CH131" s="699"/>
      <c r="CI131" s="699"/>
      <c r="CJ131" s="699"/>
      <c r="CK131" s="699"/>
      <c r="CL131" s="699"/>
      <c r="CM131" s="699"/>
      <c r="CN131" s="699"/>
      <c r="CO131" s="699"/>
      <c r="CP131" s="699"/>
      <c r="CQ131" s="237"/>
      <c r="CR131" s="95"/>
      <c r="CS131" s="95"/>
      <c r="CT131" s="475" t="str">
        <f t="shared" si="391"/>
        <v>0</v>
      </c>
      <c r="CU131" s="95"/>
      <c r="CV131" s="95"/>
      <c r="CW131" s="475" t="str">
        <f t="shared" si="392"/>
        <v>0</v>
      </c>
      <c r="CX131" s="490"/>
      <c r="CY131" s="490"/>
      <c r="CZ131" s="492" t="str">
        <f t="shared" si="393"/>
        <v>0</v>
      </c>
      <c r="DA131" s="490"/>
      <c r="DB131" s="490"/>
      <c r="DC131" s="492" t="str">
        <f t="shared" si="394"/>
        <v>0</v>
      </c>
      <c r="DD131" s="490"/>
      <c r="DE131" s="490"/>
      <c r="DF131" s="492" t="str">
        <f t="shared" si="395"/>
        <v>0</v>
      </c>
      <c r="DG131" s="438"/>
      <c r="DH131" s="494"/>
      <c r="DI131" s="479"/>
      <c r="DJ131" s="484"/>
      <c r="DK131" s="481" t="str">
        <f>IF(AND(DI131&gt;0,DJ131&gt;0),DJ131-DI131,"0")</f>
        <v>0</v>
      </c>
      <c r="DL131" s="479"/>
      <c r="DM131" s="617"/>
      <c r="DN131" s="326"/>
      <c r="DO131" s="432"/>
      <c r="DP131" s="481" t="str">
        <f>IF(AND(DL131&gt;0,DM131&gt;0),DM131-DL131,"0")</f>
        <v>0</v>
      </c>
      <c r="DQ131" s="618">
        <v>16</v>
      </c>
      <c r="DR131" s="188">
        <f>DATEDIF(DM131,ER131,"M")</f>
        <v>18</v>
      </c>
      <c r="DS131" s="479"/>
      <c r="DT131" s="484">
        <f ca="1">IF(DS131&lt;TODAY(),TODAY(),DS131)</f>
        <v>43647</v>
      </c>
      <c r="DU131" s="481" t="str">
        <f ca="1">IF(AND(DS131&gt;0,DT131&gt;0),DT131-DS131,"0")</f>
        <v>0</v>
      </c>
      <c r="DV131" s="479"/>
      <c r="DW131" s="497">
        <f ca="1">IF(DV131&lt;TODAY(),TODAY(),DV131)</f>
        <v>43647</v>
      </c>
      <c r="DX131" s="482" t="str">
        <f ca="1">IF(AND(DV131&gt;0,DW131&gt;0),DW131-DV131,"0")</f>
        <v>0</v>
      </c>
      <c r="DY131" s="483"/>
      <c r="DZ131" s="497">
        <f ca="1">IF(DY131&lt;TODAY(),TODAY(),DY131)</f>
        <v>43647</v>
      </c>
      <c r="EA131" s="481" t="str">
        <f ca="1">IF(AND(DY131&gt;0,DZ131&gt;0),DZ131-DY131,"0")</f>
        <v>0</v>
      </c>
      <c r="EB131" s="484">
        <v>43516</v>
      </c>
      <c r="EC131" s="484">
        <f ca="1">IF(EB131&lt;TODAY(),TODAY(),EB131)</f>
        <v>43647</v>
      </c>
      <c r="ED131" s="481">
        <f ca="1">IF(AND(EB131&gt;0,EC131&gt;0),EC131-EB131,"0")</f>
        <v>131</v>
      </c>
      <c r="EE131" s="485"/>
      <c r="EF131" s="485"/>
      <c r="EG131" s="481" t="str">
        <f>IF(AND(EE131&gt;0,EF131&gt;0),EF131-EE131,"0")</f>
        <v>0</v>
      </c>
      <c r="EH131" s="484"/>
      <c r="EI131" s="484">
        <f ca="1">IF(EH131&lt;TODAY(),TODAY(),EH131)</f>
        <v>43647</v>
      </c>
      <c r="EJ131" s="481" t="str">
        <f ca="1">IF(AND(EH131&gt;0,EI131&gt;0),EI131-EH131,"0")</f>
        <v>0</v>
      </c>
      <c r="EK131" s="484">
        <v>43593</v>
      </c>
      <c r="EL131" s="484">
        <f ca="1">IF(EK131&lt;TODAY(),TODAY(),EK131)</f>
        <v>43647</v>
      </c>
      <c r="EM131" s="481">
        <f ca="1">IF(AND(EK131&gt;0,EL131&gt;0),EL131-EK131,"0")</f>
        <v>54</v>
      </c>
      <c r="EN131" s="484"/>
      <c r="EO131" s="484"/>
      <c r="EP131" s="484"/>
      <c r="EQ131" s="654">
        <f>DATE(YEAR(DM131),MONTH(DM131)+DQ131,DAY(DM131))</f>
        <v>486</v>
      </c>
      <c r="ER131" s="653">
        <f>DATE(YEAR(EQ131),MONTH(EQ131)+3,DAY(EQ131))</f>
        <v>577</v>
      </c>
      <c r="ES131" s="650">
        <f>(DATEDIF(EQ131,ER131,"d"))/30</f>
        <v>3.0333333333333332</v>
      </c>
      <c r="ET131" s="904">
        <f t="shared" ca="1" si="306"/>
        <v>0</v>
      </c>
      <c r="EU131" s="653">
        <f t="shared" ca="1" si="396"/>
        <v>44378</v>
      </c>
      <c r="EV131" s="748"/>
      <c r="EW131" s="737"/>
      <c r="EX131" s="749">
        <f>DATE(YEAR(ER131),MONTH(ER131)+4,DAY(ER131)+2)</f>
        <v>702</v>
      </c>
      <c r="EY131" s="443"/>
      <c r="EZ131" s="747">
        <f>DATE(YEAR(EQ131),MONTH(EQ131)+1,DAY(EQ131))</f>
        <v>516</v>
      </c>
      <c r="FA131" s="653">
        <f>DATE(YEAR(EX131),MONTH(EX131)+1,DAY(EX131))</f>
        <v>733</v>
      </c>
      <c r="FB131" s="518"/>
      <c r="FC131" s="647">
        <f>(DATEDIF(EZ131,FA131,"d"))/30</f>
        <v>7.2333333333333334</v>
      </c>
      <c r="FD131" s="635">
        <v>17287</v>
      </c>
      <c r="FE131" s="192">
        <f>FD131*FC131</f>
        <v>125042.63333333333</v>
      </c>
      <c r="FF131" s="91"/>
      <c r="FG131" s="502">
        <v>0</v>
      </c>
      <c r="FH131" s="502">
        <v>0</v>
      </c>
      <c r="FI131" s="502"/>
      <c r="FJ131" s="502"/>
      <c r="FK131" s="663"/>
      <c r="FL131" s="664">
        <f>FK131/GN131</f>
        <v>0</v>
      </c>
      <c r="FM131" s="499"/>
      <c r="FN131" s="511"/>
      <c r="FO131" s="504" t="s">
        <v>594</v>
      </c>
      <c r="FP131" s="504"/>
      <c r="FQ131" s="94"/>
      <c r="FR131" s="94"/>
      <c r="FS131" s="94"/>
      <c r="FT131" s="94"/>
      <c r="FU131" s="94"/>
      <c r="FV131" s="39"/>
      <c r="FW131" s="212">
        <f>DATE(YEAR(ER131)+1,MONTH(ER131),DAY(ER131))</f>
        <v>942</v>
      </c>
      <c r="FX131" s="212"/>
      <c r="FY131" s="39"/>
      <c r="FZ131" s="39"/>
      <c r="GA131" s="39"/>
      <c r="GB131" s="39"/>
      <c r="GC131" s="39"/>
      <c r="GD131" s="39"/>
      <c r="GE131" s="39"/>
      <c r="GF131" s="39"/>
      <c r="GG131" s="39"/>
      <c r="GH131" s="39"/>
      <c r="GI131" s="39"/>
      <c r="GJ131" s="39"/>
      <c r="GK131" s="39"/>
      <c r="GL131" s="742"/>
      <c r="GM131" s="979">
        <f t="shared" si="341"/>
        <v>5567908</v>
      </c>
      <c r="GN131" s="772">
        <f t="shared" si="344"/>
        <v>5567908</v>
      </c>
      <c r="GO131" s="53">
        <f>GN131</f>
        <v>5567908</v>
      </c>
      <c r="GP131" s="898">
        <f t="shared" si="321"/>
        <v>647210</v>
      </c>
      <c r="GQ131" s="35">
        <f t="shared" si="342"/>
        <v>2145.1415670425604</v>
      </c>
      <c r="GR131" s="35">
        <f>GN131/AE131</f>
        <v>168724.48484848486</v>
      </c>
      <c r="GS131" s="53">
        <v>1771481</v>
      </c>
      <c r="GT131" s="577"/>
      <c r="GU131" s="35">
        <f>GS131/AE131</f>
        <v>53681.242424242424</v>
      </c>
      <c r="GV131" s="53">
        <f>GW131+GX131</f>
        <v>3149217</v>
      </c>
      <c r="GW131" s="67">
        <v>424625</v>
      </c>
      <c r="GX131" s="67">
        <v>2724592</v>
      </c>
      <c r="GY131" s="568">
        <f>GV131/AE131</f>
        <v>95430.818181818177</v>
      </c>
      <c r="GZ131" s="53"/>
      <c r="HA131" s="53">
        <v>643500</v>
      </c>
      <c r="HB131" s="53"/>
      <c r="HC131" s="68">
        <f t="shared" si="387"/>
        <v>0.11557303030150642</v>
      </c>
      <c r="HD131" s="53"/>
      <c r="HE131" s="53"/>
      <c r="HF131" s="53">
        <v>3710</v>
      </c>
      <c r="HG131" s="35">
        <f>HA131/AE131</f>
        <v>19500</v>
      </c>
      <c r="HH131" s="35">
        <f>(GS131+HA131)/AE131</f>
        <v>73181.242424242431</v>
      </c>
      <c r="HI131" s="70"/>
      <c r="HJ131" s="70"/>
      <c r="HK131" s="35" t="e">
        <f>(#REF!+#REF!+HJ131)/AE131</f>
        <v>#REF!</v>
      </c>
      <c r="HL131" s="70"/>
      <c r="HM131" s="35">
        <f>(GS131+HA131+HJ131+HL131)/AE131</f>
        <v>73181.242424242431</v>
      </c>
      <c r="HN131" s="36" t="e">
        <f>(#REF!+#REF!+HJ131+HL131)/(HI131+#REF!-HO131)</f>
        <v>#REF!</v>
      </c>
      <c r="HO131" s="70"/>
      <c r="HP131" s="70"/>
      <c r="HQ131" s="53">
        <f>FH131</f>
        <v>0</v>
      </c>
      <c r="HR131" s="898"/>
      <c r="HS131" s="907">
        <f t="shared" si="325"/>
        <v>0</v>
      </c>
      <c r="HT131" s="898">
        <f t="shared" si="326"/>
        <v>5567908</v>
      </c>
      <c r="HU131" s="898">
        <f t="shared" ca="1" si="343"/>
        <v>5567908</v>
      </c>
      <c r="HV131" s="898"/>
      <c r="HW131" s="898">
        <f>'[3]GLOBAL OPERATION'!$AG$2</f>
        <v>0</v>
      </c>
      <c r="HX131" s="898">
        <f>GP131-HW131</f>
        <v>647210</v>
      </c>
      <c r="HY131" s="898">
        <f>HW131/GP131</f>
        <v>0</v>
      </c>
      <c r="HZ131" s="898"/>
      <c r="IA131" s="73" t="e">
        <f>#REF!+HI131</f>
        <v>#REF!</v>
      </c>
      <c r="IB131" s="752"/>
      <c r="IC131" s="73"/>
      <c r="ID131" s="73"/>
      <c r="IE131" s="73"/>
      <c r="IF131" s="73"/>
    </row>
    <row r="132" spans="1:240" ht="15" customHeight="1">
      <c r="A132" s="66" t="s">
        <v>535</v>
      </c>
      <c r="B132" s="768"/>
      <c r="C132" s="39" t="s">
        <v>25</v>
      </c>
      <c r="D132" s="39" t="s">
        <v>94</v>
      </c>
      <c r="E132" s="39">
        <v>2018</v>
      </c>
      <c r="F132" s="39" t="s">
        <v>464</v>
      </c>
      <c r="G132" s="39"/>
      <c r="H132" s="39" t="s">
        <v>704</v>
      </c>
      <c r="I132" s="39" t="s">
        <v>892</v>
      </c>
      <c r="J132" s="39" t="s">
        <v>862</v>
      </c>
      <c r="K132" s="39" t="s">
        <v>472</v>
      </c>
      <c r="L132" s="199" t="s">
        <v>498</v>
      </c>
      <c r="M132" s="129"/>
      <c r="N132" s="130"/>
      <c r="O132" s="131"/>
      <c r="P132" s="161">
        <v>3040</v>
      </c>
      <c r="Q132" s="161">
        <v>205275</v>
      </c>
      <c r="R132" s="161">
        <v>205275</v>
      </c>
      <c r="S132" s="161">
        <f>Q132/AE132</f>
        <v>6842.5</v>
      </c>
      <c r="T132" s="161">
        <f>Q132/P132</f>
        <v>67.524671052631575</v>
      </c>
      <c r="U132" s="167">
        <f>R132/P132</f>
        <v>67.524671052631575</v>
      </c>
      <c r="V132" s="167">
        <f>R132/AL132</f>
        <v>91.631011925088217</v>
      </c>
      <c r="W132" s="167">
        <f>R132/AE132</f>
        <v>6842.5</v>
      </c>
      <c r="X132" s="161">
        <f>P132/AE132</f>
        <v>101.33333333333333</v>
      </c>
      <c r="Y132" s="162"/>
      <c r="Z132" s="736">
        <f>10000*AE132/P132</f>
        <v>98.684210526315795</v>
      </c>
      <c r="AA132" s="162" t="s">
        <v>152</v>
      </c>
      <c r="AB132" s="162"/>
      <c r="AC132" s="163"/>
      <c r="AD132" s="39" t="s">
        <v>10</v>
      </c>
      <c r="AE132" s="675">
        <v>30</v>
      </c>
      <c r="AF132" s="675">
        <f t="shared" si="388"/>
        <v>30</v>
      </c>
      <c r="AG132" s="50"/>
      <c r="AH132" s="39">
        <v>30</v>
      </c>
      <c r="AI132" s="50"/>
      <c r="AJ132" s="50"/>
      <c r="AK132" s="209">
        <v>1932.4899999999998</v>
      </c>
      <c r="AL132" s="422">
        <v>2240.2350000000001</v>
      </c>
      <c r="AM132" s="875">
        <f t="shared" si="389"/>
        <v>64.416333333333327</v>
      </c>
      <c r="AN132" s="10">
        <f t="shared" si="390"/>
        <v>74.674500000000009</v>
      </c>
      <c r="AO132" s="43">
        <v>6.27</v>
      </c>
      <c r="AP132" s="43">
        <v>5.41</v>
      </c>
      <c r="AQ132" s="43">
        <v>403.92</v>
      </c>
      <c r="AR132" s="61">
        <f>5/AE132</f>
        <v>0.16666666666666666</v>
      </c>
      <c r="AS132" s="61">
        <f>8/AE132</f>
        <v>0.26666666666666666</v>
      </c>
      <c r="AT132" s="61">
        <f>11/AE132</f>
        <v>0.36666666666666664</v>
      </c>
      <c r="AU132" s="61">
        <f>5/AE132</f>
        <v>0.16666666666666666</v>
      </c>
      <c r="AV132" s="61">
        <f>1/AE132</f>
        <v>3.3333333333333333E-2</v>
      </c>
      <c r="AW132" s="43"/>
      <c r="AX132" s="59"/>
      <c r="AY132" s="61"/>
      <c r="AZ132" s="43"/>
      <c r="BA132" s="39" t="s">
        <v>439</v>
      </c>
      <c r="BB132" s="39" t="s">
        <v>100</v>
      </c>
      <c r="BC132" s="39"/>
      <c r="BD132" s="39"/>
      <c r="BE132" s="39"/>
      <c r="BF132" s="39"/>
      <c r="BG132" s="184"/>
      <c r="BH132" s="87">
        <v>43308</v>
      </c>
      <c r="BI132" s="159">
        <v>43287</v>
      </c>
      <c r="BJ132" s="75"/>
      <c r="BK132" s="867" t="s">
        <v>250</v>
      </c>
      <c r="BL132" s="622"/>
      <c r="BM132" s="777"/>
      <c r="BN132" s="1007">
        <f t="shared" si="308"/>
        <v>0</v>
      </c>
      <c r="BO132" s="955"/>
      <c r="BP132" s="125">
        <f>DATE(YEAR(BM132),MONTH(BM132)+3,DAY(BM132))</f>
        <v>91</v>
      </c>
      <c r="BQ132" s="125"/>
      <c r="BR132" s="225"/>
      <c r="BS132" s="224">
        <f>DATE(YEAR(BR132),MONTH(BR132)+24,DAY(BR132))</f>
        <v>731</v>
      </c>
      <c r="BT132" s="605"/>
      <c r="BU132" s="224" t="str">
        <f>IF(FA132&gt;BS132,"oui","non")</f>
        <v>oui</v>
      </c>
      <c r="BV132" s="784">
        <f>(BS132-FA132)/30</f>
        <v>-6.6666666666666666E-2</v>
      </c>
      <c r="BW132" s="605" t="str">
        <f>IF((BV132*FD132)&lt;0,"0",BV132*FD132)</f>
        <v>0</v>
      </c>
      <c r="BX132" s="605">
        <f>BT132-BW132</f>
        <v>0</v>
      </c>
      <c r="BY132" s="702"/>
      <c r="BZ132" s="708"/>
      <c r="CA132" s="703"/>
      <c r="CB132" s="703"/>
      <c r="CC132" s="703"/>
      <c r="CD132" s="699"/>
      <c r="CE132" s="699"/>
      <c r="CF132" s="699"/>
      <c r="CG132" s="699"/>
      <c r="CH132" s="699"/>
      <c r="CI132" s="699"/>
      <c r="CJ132" s="699"/>
      <c r="CK132" s="699"/>
      <c r="CL132" s="699"/>
      <c r="CM132" s="699"/>
      <c r="CN132" s="699"/>
      <c r="CO132" s="699"/>
      <c r="CP132" s="699"/>
      <c r="CQ132" s="237"/>
      <c r="CR132" s="95"/>
      <c r="CS132" s="95"/>
      <c r="CT132" s="475" t="str">
        <f t="shared" si="391"/>
        <v>0</v>
      </c>
      <c r="CU132" s="95"/>
      <c r="CV132" s="95"/>
      <c r="CW132" s="475" t="str">
        <f t="shared" si="392"/>
        <v>0</v>
      </c>
      <c r="CX132" s="95"/>
      <c r="CY132" s="237"/>
      <c r="CZ132" s="475" t="str">
        <f t="shared" si="393"/>
        <v>0</v>
      </c>
      <c r="DA132" s="490"/>
      <c r="DB132" s="488"/>
      <c r="DC132" s="492" t="str">
        <f t="shared" si="394"/>
        <v>0</v>
      </c>
      <c r="DD132" s="490"/>
      <c r="DE132" s="490"/>
      <c r="DF132" s="492" t="str">
        <f t="shared" si="395"/>
        <v>0</v>
      </c>
      <c r="DG132" s="438"/>
      <c r="DH132" s="494"/>
      <c r="DI132" s="479"/>
      <c r="DJ132" s="484"/>
      <c r="DK132" s="481" t="str">
        <f>IF(AND(DI132&gt;0,DJ132&gt;0),DJ132-DI132,"0")</f>
        <v>0</v>
      </c>
      <c r="DL132" s="479"/>
      <c r="DM132" s="617"/>
      <c r="DN132" s="326"/>
      <c r="DO132" s="432"/>
      <c r="DP132" s="481" t="str">
        <f>IF(AND(DL132&gt;0,DM132&gt;0),DM132-DL132,"0")</f>
        <v>0</v>
      </c>
      <c r="DQ132" s="618">
        <v>16</v>
      </c>
      <c r="DR132" s="188">
        <f>DATEDIF(DM132,ER132,"M")</f>
        <v>18</v>
      </c>
      <c r="DS132" s="479"/>
      <c r="DT132" s="484">
        <f ca="1">IF(DS132&lt;TODAY(),TODAY(),DS132)</f>
        <v>43647</v>
      </c>
      <c r="DU132" s="481" t="str">
        <f ca="1">IF(AND(DS132&gt;0,DT132&gt;0),DT132-DS132,"0")</f>
        <v>0</v>
      </c>
      <c r="DV132" s="479"/>
      <c r="DW132" s="497">
        <f ca="1">IF(DV132&lt;TODAY(),TODAY(),DV132)</f>
        <v>43647</v>
      </c>
      <c r="DX132" s="482" t="str">
        <f ca="1">IF(AND(DV132&gt;0,DW132&gt;0),DW132-DV132,"0")</f>
        <v>0</v>
      </c>
      <c r="DY132" s="483"/>
      <c r="DZ132" s="497">
        <f ca="1">IF(DY132&lt;TODAY(),TODAY(),DY132)</f>
        <v>43647</v>
      </c>
      <c r="EA132" s="481" t="str">
        <f ca="1">IF(AND(DY132&gt;0,DZ132&gt;0),DZ132-DY132,"0")</f>
        <v>0</v>
      </c>
      <c r="EB132" s="484">
        <v>43515</v>
      </c>
      <c r="EC132" s="484">
        <f ca="1">IF(EB132&lt;TODAY(),TODAY(),EB132)</f>
        <v>43647</v>
      </c>
      <c r="ED132" s="481">
        <f ca="1">IF(AND(EB132&gt;0,EC132&gt;0),EC132-EB132,"0")</f>
        <v>132</v>
      </c>
      <c r="EE132" s="485"/>
      <c r="EF132" s="485"/>
      <c r="EG132" s="481" t="str">
        <f>IF(AND(EE132&gt;0,EF132&gt;0),EF132-EE132,"0")</f>
        <v>0</v>
      </c>
      <c r="EH132" s="484"/>
      <c r="EI132" s="484">
        <f ca="1">IF(EH132&lt;TODAY(),TODAY(),EH132)</f>
        <v>43647</v>
      </c>
      <c r="EJ132" s="481" t="str">
        <f ca="1">IF(AND(EH132&gt;0,EI132&gt;0),EI132-EH132,"0")</f>
        <v>0</v>
      </c>
      <c r="EK132" s="484">
        <v>43592</v>
      </c>
      <c r="EL132" s="484">
        <f ca="1">IF(EK132&lt;TODAY(),TODAY(),EK132)</f>
        <v>43647</v>
      </c>
      <c r="EM132" s="481">
        <f ca="1">IF(AND(EK132&gt;0,EL132&gt;0),EL132-EK132,"0")</f>
        <v>55</v>
      </c>
      <c r="EN132" s="485"/>
      <c r="EO132" s="485"/>
      <c r="EP132" s="485"/>
      <c r="EQ132" s="654">
        <f>DATE(YEAR(DM132),MONTH(DM132)+DQ132,DAY(DM132))</f>
        <v>486</v>
      </c>
      <c r="ER132" s="653">
        <f>DATE(YEAR(EQ132),MONTH(EQ132)+3,DAY(EQ132))</f>
        <v>577</v>
      </c>
      <c r="ES132" s="650">
        <f>(DATEDIF(EQ132,ER132,"d"))/30</f>
        <v>3.0333333333333332</v>
      </c>
      <c r="ET132" s="904">
        <f t="shared" ca="1" si="306"/>
        <v>0</v>
      </c>
      <c r="EU132" s="653">
        <f t="shared" ca="1" si="396"/>
        <v>44378</v>
      </c>
      <c r="EV132" s="748"/>
      <c r="EW132" s="737"/>
      <c r="EX132" s="749">
        <f>DATE(YEAR(ER132),MONTH(ER132)+4,DAY(ER132)+2)</f>
        <v>702</v>
      </c>
      <c r="EY132" s="443"/>
      <c r="EZ132" s="747">
        <f>DATE(YEAR(EQ132),MONTH(EQ132)+1,DAY(EQ132))</f>
        <v>516</v>
      </c>
      <c r="FA132" s="653">
        <f>DATE(YEAR(EX132),MONTH(EX132)+1,DAY(EX132))</f>
        <v>733</v>
      </c>
      <c r="FB132" s="518"/>
      <c r="FC132" s="647">
        <f>(DATEDIF(EZ132,FA132,"d"))/30</f>
        <v>7.2333333333333334</v>
      </c>
      <c r="FD132" s="635">
        <v>12283</v>
      </c>
      <c r="FE132" s="192">
        <f>FD132*FC132</f>
        <v>88847.03333333334</v>
      </c>
      <c r="FF132" s="91"/>
      <c r="FG132" s="502">
        <v>0</v>
      </c>
      <c r="FH132" s="502">
        <v>0</v>
      </c>
      <c r="FI132" s="502"/>
      <c r="FJ132" s="502"/>
      <c r="FK132" s="663"/>
      <c r="FL132" s="664">
        <f>FK132/GN132</f>
        <v>0</v>
      </c>
      <c r="FM132" s="499"/>
      <c r="FN132" s="511"/>
      <c r="FO132" s="504" t="s">
        <v>592</v>
      </c>
      <c r="FP132" s="504"/>
      <c r="FQ132" s="94"/>
      <c r="FR132" s="94"/>
      <c r="FS132" s="94"/>
      <c r="FT132" s="94"/>
      <c r="FU132" s="94"/>
      <c r="FV132" s="39"/>
      <c r="FW132" s="212">
        <f>DATE(YEAR(ER132)+1,MONTH(ER132),DAY(ER132))</f>
        <v>942</v>
      </c>
      <c r="FX132" s="212"/>
      <c r="FY132" s="39"/>
      <c r="FZ132" s="39"/>
      <c r="GA132" s="39"/>
      <c r="GB132" s="39"/>
      <c r="GC132" s="39"/>
      <c r="GD132" s="39"/>
      <c r="GE132" s="39"/>
      <c r="GF132" s="39"/>
      <c r="GG132" s="39"/>
      <c r="GH132" s="39"/>
      <c r="GI132" s="39"/>
      <c r="GJ132" s="39"/>
      <c r="GK132" s="39"/>
      <c r="GL132" s="742"/>
      <c r="GM132" s="979">
        <f t="shared" si="341"/>
        <v>4970505</v>
      </c>
      <c r="GN132" s="772">
        <f t="shared" si="344"/>
        <v>4970505</v>
      </c>
      <c r="GO132" s="53">
        <f>GN132</f>
        <v>4970505</v>
      </c>
      <c r="GP132" s="898">
        <f t="shared" si="321"/>
        <v>783150</v>
      </c>
      <c r="GQ132" s="35">
        <f t="shared" si="342"/>
        <v>2218.7426765495584</v>
      </c>
      <c r="GR132" s="35">
        <f>GN132/AE132</f>
        <v>165683.5</v>
      </c>
      <c r="GS132" s="53">
        <v>1494928</v>
      </c>
      <c r="GT132" s="577"/>
      <c r="GU132" s="35">
        <f>GS132/AE132</f>
        <v>49830.933333333334</v>
      </c>
      <c r="GV132" s="53">
        <f>GW132+GX132</f>
        <v>2692427</v>
      </c>
      <c r="GW132" s="67">
        <v>427747</v>
      </c>
      <c r="GX132" s="67">
        <v>2264680</v>
      </c>
      <c r="GY132" s="568">
        <f>GV132/AE132</f>
        <v>89747.566666666666</v>
      </c>
      <c r="GZ132" s="53"/>
      <c r="HA132" s="53">
        <v>780000</v>
      </c>
      <c r="HB132" s="53"/>
      <c r="HC132" s="68">
        <f t="shared" si="387"/>
        <v>0.15692570473221534</v>
      </c>
      <c r="HD132" s="53"/>
      <c r="HE132" s="53"/>
      <c r="HF132" s="53">
        <v>3150</v>
      </c>
      <c r="HG132" s="35">
        <f>HA132/AE132</f>
        <v>26000</v>
      </c>
      <c r="HH132" s="35">
        <f>(GS132+HA132)/AE132</f>
        <v>75830.933333333334</v>
      </c>
      <c r="HI132" s="70"/>
      <c r="HJ132" s="70"/>
      <c r="HK132" s="35" t="e">
        <f>(#REF!+#REF!+HJ132)/AE132</f>
        <v>#REF!</v>
      </c>
      <c r="HL132" s="70"/>
      <c r="HM132" s="35">
        <f>(GS132+HA132+HJ132+HL132)/AE132</f>
        <v>75830.933333333334</v>
      </c>
      <c r="HN132" s="36" t="e">
        <f>(#REF!+#REF!+HJ132+HL132)/(HI132+#REF!-HO132)</f>
        <v>#REF!</v>
      </c>
      <c r="HO132" s="70"/>
      <c r="HP132" s="70"/>
      <c r="HQ132" s="53">
        <f>FH132</f>
        <v>0</v>
      </c>
      <c r="HR132" s="898"/>
      <c r="HS132" s="907">
        <f t="shared" si="325"/>
        <v>0</v>
      </c>
      <c r="HT132" s="898">
        <f t="shared" si="326"/>
        <v>4970505</v>
      </c>
      <c r="HU132" s="898">
        <f t="shared" ca="1" si="343"/>
        <v>4970505</v>
      </c>
      <c r="HV132" s="898"/>
      <c r="HW132" s="898">
        <f>'[3]GLOBAL OPERATION'!$AG$55</f>
        <v>0</v>
      </c>
      <c r="HX132" s="898"/>
      <c r="HY132" s="898"/>
      <c r="HZ132" s="898"/>
      <c r="IA132" s="73" t="e">
        <f>#REF!+HI132</f>
        <v>#REF!</v>
      </c>
      <c r="IB132" s="752"/>
      <c r="IC132" s="73"/>
      <c r="ID132" s="73"/>
      <c r="IE132" s="73"/>
      <c r="IF132" s="73"/>
    </row>
    <row r="133" spans="1:240" ht="15" customHeight="1">
      <c r="A133" s="74" t="s">
        <v>913</v>
      </c>
      <c r="B133" s="297"/>
      <c r="C133" s="40" t="s">
        <v>336</v>
      </c>
      <c r="D133" s="40" t="s">
        <v>93</v>
      </c>
      <c r="E133" s="39">
        <v>2021</v>
      </c>
      <c r="F133" s="40"/>
      <c r="G133" s="39"/>
      <c r="H133" s="39"/>
      <c r="I133" s="40" t="s">
        <v>318</v>
      </c>
      <c r="J133" s="39"/>
      <c r="K133" s="40" t="s">
        <v>869</v>
      </c>
      <c r="L133" s="160"/>
      <c r="M133" s="129"/>
      <c r="N133" s="130"/>
      <c r="O133" s="131"/>
      <c r="P133" s="166">
        <f>647+598</f>
        <v>1245</v>
      </c>
      <c r="Q133" s="166">
        <v>747000</v>
      </c>
      <c r="R133" s="166">
        <v>747000</v>
      </c>
      <c r="S133" s="161" t="e">
        <f>Q133/AE133</f>
        <v>#DIV/0!</v>
      </c>
      <c r="T133" s="161">
        <f>Q133/P133</f>
        <v>600</v>
      </c>
      <c r="U133" s="167">
        <f>R133/P133</f>
        <v>600</v>
      </c>
      <c r="V133" s="167" t="e">
        <f>R133/AL133</f>
        <v>#DIV/0!</v>
      </c>
      <c r="W133" s="167" t="e">
        <f>R133/AE133</f>
        <v>#DIV/0!</v>
      </c>
      <c r="X133" s="161" t="e">
        <f>P133/AE133</f>
        <v>#DIV/0!</v>
      </c>
      <c r="Y133" s="168"/>
      <c r="Z133" s="736">
        <f>10000*AE133/P133</f>
        <v>0</v>
      </c>
      <c r="AA133" s="168" t="s">
        <v>868</v>
      </c>
      <c r="AB133" s="162">
        <v>10</v>
      </c>
      <c r="AC133" s="163">
        <v>0</v>
      </c>
      <c r="AD133" s="40" t="s">
        <v>333</v>
      </c>
      <c r="AE133" s="675">
        <f>SUM(AG133:AJ133)</f>
        <v>0</v>
      </c>
      <c r="AF133" s="675">
        <f t="shared" si="388"/>
        <v>0</v>
      </c>
      <c r="AG133" s="50"/>
      <c r="AH133" s="200"/>
      <c r="AI133" s="149">
        <f>40*0</f>
        <v>0</v>
      </c>
      <c r="AJ133" s="50"/>
      <c r="AK133" s="43"/>
      <c r="AL133" s="422"/>
      <c r="AM133" s="875" t="e">
        <f t="shared" si="389"/>
        <v>#DIV/0!</v>
      </c>
      <c r="AN133" s="10" t="e">
        <f t="shared" si="390"/>
        <v>#DIV/0!</v>
      </c>
      <c r="AO133" s="43"/>
      <c r="AP133" s="43"/>
      <c r="AQ133" s="43"/>
      <c r="AR133" s="61"/>
      <c r="AS133" s="61"/>
      <c r="AT133" s="61"/>
      <c r="AU133" s="45"/>
      <c r="AV133" s="43"/>
      <c r="AW133" s="59"/>
      <c r="AX133" s="61"/>
      <c r="AY133" s="61"/>
      <c r="AZ133" s="43"/>
      <c r="BA133" s="42"/>
      <c r="BB133" s="39"/>
      <c r="BC133" s="39"/>
      <c r="BD133" s="39"/>
      <c r="BE133" s="39"/>
      <c r="BF133" s="39"/>
      <c r="BG133" s="183"/>
      <c r="BH133" s="39"/>
      <c r="BI133" s="159"/>
      <c r="BJ133" s="75"/>
      <c r="BK133" s="867" t="s">
        <v>250</v>
      </c>
      <c r="BL133" s="125"/>
      <c r="BM133" s="158"/>
      <c r="BN133" s="1007">
        <f t="shared" si="308"/>
        <v>0</v>
      </c>
      <c r="BO133" s="954"/>
      <c r="BP133" s="125"/>
      <c r="BQ133" s="125"/>
      <c r="BR133" s="225"/>
      <c r="BS133" s="224"/>
      <c r="BT133" s="605"/>
      <c r="BU133" s="224"/>
      <c r="BV133" s="784"/>
      <c r="BW133" s="605"/>
      <c r="BX133" s="605"/>
      <c r="BY133" s="76"/>
      <c r="BZ133" s="77"/>
      <c r="CA133" s="703"/>
      <c r="CB133" s="703"/>
      <c r="CC133" s="703"/>
      <c r="CD133" s="699"/>
      <c r="CE133" s="699"/>
      <c r="CF133" s="699"/>
      <c r="CG133" s="699"/>
      <c r="CH133" s="699"/>
      <c r="CI133" s="699"/>
      <c r="CJ133" s="699"/>
      <c r="CK133" s="699"/>
      <c r="CL133" s="699"/>
      <c r="CM133" s="699"/>
      <c r="CN133" s="699"/>
      <c r="CO133" s="699"/>
      <c r="CP133" s="699"/>
      <c r="CQ133" s="490"/>
      <c r="CR133" s="490"/>
      <c r="CS133" s="490"/>
      <c r="CT133" s="492" t="str">
        <f t="shared" si="391"/>
        <v>0</v>
      </c>
      <c r="CU133" s="490"/>
      <c r="CV133" s="490"/>
      <c r="CW133" s="492" t="str">
        <f t="shared" si="392"/>
        <v>0</v>
      </c>
      <c r="CX133" s="490"/>
      <c r="CY133" s="490"/>
      <c r="CZ133" s="492" t="str">
        <f t="shared" si="393"/>
        <v>0</v>
      </c>
      <c r="DA133" s="493"/>
      <c r="DB133" s="490"/>
      <c r="DC133" s="492" t="str">
        <f t="shared" si="394"/>
        <v>0</v>
      </c>
      <c r="DD133" s="493"/>
      <c r="DE133" s="490"/>
      <c r="DF133" s="492" t="str">
        <f t="shared" si="395"/>
        <v>0</v>
      </c>
      <c r="DG133" s="39"/>
      <c r="DH133" s="491"/>
      <c r="DI133" s="479"/>
      <c r="DJ133" s="480"/>
      <c r="DK133" s="481" t="str">
        <f>IF(AND(DI133&gt;0,DJ133&gt;0),DJ133-DI133,"0")</f>
        <v>0</v>
      </c>
      <c r="DL133" s="479"/>
      <c r="DM133" s="617"/>
      <c r="DN133" s="677"/>
      <c r="DO133" s="432"/>
      <c r="DP133" s="481"/>
      <c r="DQ133" s="618"/>
      <c r="DR133" s="188"/>
      <c r="DS133" s="479"/>
      <c r="DT133" s="484"/>
      <c r="DU133" s="481"/>
      <c r="DV133" s="479"/>
      <c r="DW133" s="497"/>
      <c r="DX133" s="482"/>
      <c r="DY133" s="483"/>
      <c r="DZ133" s="497"/>
      <c r="EA133" s="481"/>
      <c r="EB133" s="484"/>
      <c r="EC133" s="484"/>
      <c r="ED133" s="481"/>
      <c r="EE133" s="485"/>
      <c r="EF133" s="485"/>
      <c r="EG133" s="481"/>
      <c r="EH133" s="484"/>
      <c r="EI133" s="484"/>
      <c r="EJ133" s="481"/>
      <c r="EK133" s="484"/>
      <c r="EL133" s="484"/>
      <c r="EM133" s="481"/>
      <c r="EN133" s="484"/>
      <c r="EO133" s="484"/>
      <c r="EP133" s="484"/>
      <c r="EQ133" s="654"/>
      <c r="ER133" s="653"/>
      <c r="ES133" s="650"/>
      <c r="ET133" s="904">
        <f t="shared" ca="1" si="306"/>
        <v>0</v>
      </c>
      <c r="EU133" s="653">
        <f t="shared" si="396"/>
        <v>731</v>
      </c>
      <c r="EV133" s="775"/>
      <c r="EW133" s="737"/>
      <c r="EX133" s="749"/>
      <c r="EY133" s="443"/>
      <c r="EZ133" s="747"/>
      <c r="FA133" s="653"/>
      <c r="FB133" s="518"/>
      <c r="FC133" s="647"/>
      <c r="FD133" s="635"/>
      <c r="FE133" s="192"/>
      <c r="FF133" s="145"/>
      <c r="FG133" s="502"/>
      <c r="FH133" s="502"/>
      <c r="FI133" s="502"/>
      <c r="FJ133" s="502"/>
      <c r="FK133" s="502"/>
      <c r="FL133" s="664"/>
      <c r="FM133" s="499"/>
      <c r="FN133" s="511"/>
      <c r="FO133" s="499"/>
      <c r="FP133" s="499"/>
      <c r="FQ133" s="94"/>
      <c r="FR133" s="94"/>
      <c r="FS133" s="94"/>
      <c r="FT133" s="94"/>
      <c r="FU133" s="94"/>
      <c r="FV133" s="39"/>
      <c r="FW133" s="212"/>
      <c r="FX133" s="212"/>
      <c r="FY133" s="39"/>
      <c r="FZ133" s="39"/>
      <c r="GA133" s="39"/>
      <c r="GB133" s="39"/>
      <c r="GC133" s="39"/>
      <c r="GD133" s="39"/>
      <c r="GE133" s="39"/>
      <c r="GF133" s="39"/>
      <c r="GG133" s="39"/>
      <c r="GH133" s="39"/>
      <c r="GI133" s="39"/>
      <c r="GJ133" s="39"/>
      <c r="GK133" s="39"/>
      <c r="GL133" s="742"/>
      <c r="GM133" s="979">
        <f t="shared" si="341"/>
        <v>0</v>
      </c>
      <c r="GN133" s="772">
        <f t="shared" si="344"/>
        <v>0</v>
      </c>
      <c r="GO133" s="53"/>
      <c r="GP133" s="898">
        <f t="shared" si="321"/>
        <v>0</v>
      </c>
      <c r="GQ133" s="35" t="e">
        <f t="shared" si="342"/>
        <v>#DIV/0!</v>
      </c>
      <c r="GR133" s="35"/>
      <c r="GS133" s="53"/>
      <c r="GT133" s="577"/>
      <c r="GU133" s="53"/>
      <c r="GV133" s="53"/>
      <c r="GW133" s="67"/>
      <c r="GX133" s="67"/>
      <c r="GY133" s="568"/>
      <c r="GZ133" s="53"/>
      <c r="HA133" s="52"/>
      <c r="HB133" s="53"/>
      <c r="HC133" s="68" t="e">
        <f t="shared" si="387"/>
        <v>#DIV/0!</v>
      </c>
      <c r="HD133" s="53"/>
      <c r="HE133" s="53"/>
      <c r="HF133" s="53"/>
      <c r="HG133" s="35"/>
      <c r="HH133" s="35"/>
      <c r="HI133" s="70"/>
      <c r="HJ133" s="70"/>
      <c r="HK133" s="35"/>
      <c r="HL133" s="70"/>
      <c r="HM133" s="35"/>
      <c r="HN133" s="36"/>
      <c r="HO133" s="70"/>
      <c r="HP133" s="70"/>
      <c r="HQ133" s="53"/>
      <c r="HR133" s="898"/>
      <c r="HS133" s="907" t="e">
        <f t="shared" si="325"/>
        <v>#DIV/0!</v>
      </c>
      <c r="HT133" s="898">
        <f t="shared" si="326"/>
        <v>0</v>
      </c>
      <c r="HU133" s="898">
        <f t="shared" ca="1" si="343"/>
        <v>0</v>
      </c>
      <c r="HV133" s="898"/>
      <c r="HW133" s="898"/>
      <c r="HX133" s="898"/>
      <c r="HY133" s="898"/>
      <c r="HZ133" s="898"/>
      <c r="IA133" s="73"/>
      <c r="IB133" s="752"/>
      <c r="IC133" s="73"/>
      <c r="ID133" s="73"/>
      <c r="IE133" s="73"/>
      <c r="IF133" s="73"/>
    </row>
    <row r="134" spans="1:240" ht="15" customHeight="1">
      <c r="A134" s="66" t="s">
        <v>279</v>
      </c>
      <c r="B134" s="787" t="s">
        <v>635</v>
      </c>
      <c r="C134" s="39" t="s">
        <v>21</v>
      </c>
      <c r="D134" s="39" t="s">
        <v>92</v>
      </c>
      <c r="E134" s="39" t="s">
        <v>528</v>
      </c>
      <c r="F134" s="39" t="s">
        <v>219</v>
      </c>
      <c r="G134" s="39"/>
      <c r="H134" s="39" t="s">
        <v>147</v>
      </c>
      <c r="I134" s="39" t="s">
        <v>924</v>
      </c>
      <c r="J134" s="39"/>
      <c r="K134" s="39" t="s">
        <v>254</v>
      </c>
      <c r="L134" s="199" t="s">
        <v>401</v>
      </c>
      <c r="M134" s="129"/>
      <c r="N134" s="130"/>
      <c r="O134" s="131"/>
      <c r="P134" s="161">
        <v>785</v>
      </c>
      <c r="Q134" s="161">
        <v>550000</v>
      </c>
      <c r="R134" s="161">
        <v>550000</v>
      </c>
      <c r="S134" s="161">
        <f>Q134/AE134</f>
        <v>25000</v>
      </c>
      <c r="T134" s="161">
        <f>Q134/P134</f>
        <v>700.63694267515928</v>
      </c>
      <c r="U134" s="167">
        <f>R134/P134</f>
        <v>700.63694267515928</v>
      </c>
      <c r="V134" s="167">
        <f>R134/AL134</f>
        <v>325.66153700403231</v>
      </c>
      <c r="W134" s="167">
        <f>R134/AE134</f>
        <v>25000</v>
      </c>
      <c r="X134" s="161">
        <f>P134/AE134</f>
        <v>35.68181818181818</v>
      </c>
      <c r="Y134" s="162"/>
      <c r="Z134" s="736">
        <f>10000*AE134/P134</f>
        <v>280.25477707006371</v>
      </c>
      <c r="AA134" s="162" t="s">
        <v>170</v>
      </c>
      <c r="AB134" s="162">
        <v>500</v>
      </c>
      <c r="AC134" s="163"/>
      <c r="AD134" s="39" t="s">
        <v>10</v>
      </c>
      <c r="AE134" s="674">
        <f>SUM(AG134:AJ134)</f>
        <v>22</v>
      </c>
      <c r="AF134" s="674">
        <f t="shared" ref="AF134" si="397">AE134-AJ134</f>
        <v>22</v>
      </c>
      <c r="AG134" s="50"/>
      <c r="AH134" s="39">
        <v>22</v>
      </c>
      <c r="AI134" s="50"/>
      <c r="AJ134" s="50"/>
      <c r="AK134" s="209"/>
      <c r="AL134" s="422">
        <v>1688.87</v>
      </c>
      <c r="AM134" s="875">
        <f t="shared" ref="AM134" si="398">AK134/AE134</f>
        <v>0</v>
      </c>
      <c r="AN134" s="10">
        <f t="shared" ref="AN134" si="399">AL134/AE134</f>
        <v>76.766818181818181</v>
      </c>
      <c r="AO134" s="43"/>
      <c r="AP134" s="43"/>
      <c r="AQ134" s="43"/>
      <c r="AR134" s="61"/>
      <c r="AS134" s="61">
        <f>10/AE134</f>
        <v>0.45454545454545453</v>
      </c>
      <c r="AT134" s="61">
        <f>6/AE134</f>
        <v>0.27272727272727271</v>
      </c>
      <c r="AU134" s="61">
        <f>5/AE134</f>
        <v>0.22727272727272727</v>
      </c>
      <c r="AV134" s="61">
        <f>1/AE134</f>
        <v>4.5454545454545456E-2</v>
      </c>
      <c r="AW134" s="43"/>
      <c r="AX134" s="59">
        <v>0</v>
      </c>
      <c r="AY134" s="61">
        <v>0</v>
      </c>
      <c r="AZ134" s="43">
        <v>7</v>
      </c>
      <c r="BA134" s="42" t="s">
        <v>439</v>
      </c>
      <c r="BB134" s="39" t="s">
        <v>100</v>
      </c>
      <c r="BC134" s="39"/>
      <c r="BD134" s="39"/>
      <c r="BE134" s="39"/>
      <c r="BF134" s="39"/>
      <c r="BG134" s="183">
        <v>42396</v>
      </c>
      <c r="BH134" s="183">
        <v>42475</v>
      </c>
      <c r="BI134" s="159">
        <v>42606</v>
      </c>
      <c r="BJ134" s="75">
        <v>42646</v>
      </c>
      <c r="BK134" s="867" t="s">
        <v>250</v>
      </c>
      <c r="BL134" s="125">
        <v>43284</v>
      </c>
      <c r="BM134" s="158">
        <v>43356</v>
      </c>
      <c r="BN134" s="1007">
        <f t="shared" si="308"/>
        <v>2.4</v>
      </c>
      <c r="BO134" s="954"/>
      <c r="BP134" s="125">
        <v>43440</v>
      </c>
      <c r="BQ134" s="125"/>
      <c r="BR134" s="225">
        <v>43466</v>
      </c>
      <c r="BS134" s="224">
        <f>DATE(YEAR(BR134),MONTH(BR134)+24,DAY(BR134))</f>
        <v>44197</v>
      </c>
      <c r="BT134" s="605">
        <f>48491+8751</f>
        <v>57242</v>
      </c>
      <c r="BU134" s="224" t="str">
        <f>IF(FA134&gt;BS134,"oui","non")</f>
        <v>non</v>
      </c>
      <c r="BV134" s="784">
        <f>(BS134-FA134)/30</f>
        <v>1446.8333333333333</v>
      </c>
      <c r="BW134" s="605">
        <f>IF((BV134*FD134)&lt;0,"0",BV134*FD134)</f>
        <v>13137246.666666666</v>
      </c>
      <c r="BX134" s="605">
        <f>BT134-BW134</f>
        <v>-13080004.666666666</v>
      </c>
      <c r="BY134" s="702"/>
      <c r="BZ134" s="696" t="s">
        <v>850</v>
      </c>
      <c r="CA134" s="703"/>
      <c r="CB134" s="703"/>
      <c r="CC134" s="703"/>
      <c r="CD134" s="699"/>
      <c r="CE134" s="699"/>
      <c r="CF134" s="699"/>
      <c r="CG134" s="699"/>
      <c r="CH134" s="699"/>
      <c r="CI134" s="699"/>
      <c r="CJ134" s="699">
        <v>43571</v>
      </c>
      <c r="CK134" s="699">
        <v>43584</v>
      </c>
      <c r="CL134" s="699"/>
      <c r="CM134" s="699"/>
      <c r="CN134" s="699"/>
      <c r="CO134" s="699"/>
      <c r="CP134" s="699"/>
      <c r="CQ134" s="237"/>
      <c r="CR134" s="95"/>
      <c r="CS134" s="95"/>
      <c r="CT134" s="475" t="str">
        <f t="shared" ref="CT134" si="400">IF(AND(CR134&gt;0,CS134&gt;0),CS134-CR134,"0")</f>
        <v>0</v>
      </c>
      <c r="CU134" s="95"/>
      <c r="CV134" s="95"/>
      <c r="CW134" s="475" t="str">
        <f t="shared" ref="CW134" si="401">IF(AND(CU134&gt;0,CV134&gt;0),CV134-CU134,"0")</f>
        <v>0</v>
      </c>
      <c r="CX134" s="95"/>
      <c r="CY134" s="95"/>
      <c r="CZ134" s="475" t="str">
        <f t="shared" ref="CZ134" si="402">IF(AND(CX134&gt;0,CY134&gt;0),CY134-CX134,"0")</f>
        <v>0</v>
      </c>
      <c r="DA134" s="95"/>
      <c r="DB134" s="95"/>
      <c r="DC134" s="475" t="str">
        <f t="shared" ref="DC134" si="403">IF(AND(DA134&gt;0,DB134&gt;0),DB134-DA134,"0")</f>
        <v>0</v>
      </c>
      <c r="DD134" s="95"/>
      <c r="DE134" s="95"/>
      <c r="DF134" s="475" t="str">
        <f t="shared" ref="DF134" si="404">IF(AND(DD134&gt;0,DE134&gt;0),DE134-DD134,"0")</f>
        <v>0</v>
      </c>
      <c r="DG134" s="438"/>
      <c r="DH134" s="495"/>
      <c r="DI134" s="479"/>
      <c r="DJ134" s="484"/>
      <c r="DK134" s="481" t="str">
        <f>IF(AND(DI134&gt;0,DJ134&gt;0),DJ134-DI134,"0")</f>
        <v>0</v>
      </c>
      <c r="DL134" s="479"/>
      <c r="DM134" s="617"/>
      <c r="DN134" s="326"/>
      <c r="DO134" s="432"/>
      <c r="DP134" s="481" t="str">
        <f>IF(AND(DL134&gt;0,DM134&gt;0),DM134-DL134,"0")</f>
        <v>0</v>
      </c>
      <c r="DQ134" s="618">
        <v>16</v>
      </c>
      <c r="DR134" s="188">
        <f>DATEDIF(DM134,ER134,"M")</f>
        <v>18</v>
      </c>
      <c r="DS134" s="479">
        <v>43715</v>
      </c>
      <c r="DT134" s="484">
        <f ca="1">IF(DS134&lt;TODAY(),TODAY(),DS134)</f>
        <v>43715</v>
      </c>
      <c r="DU134" s="481">
        <f ca="1">IF(AND(DS134&gt;0,DT134&gt;0),DT134-DS134,"0")</f>
        <v>0</v>
      </c>
      <c r="DV134" s="479">
        <f>DATE(YEAR(DS134),MONTH(DS134)+2,DAY(DS134))</f>
        <v>43776</v>
      </c>
      <c r="DW134" s="497">
        <f ca="1">IF(DV134&lt;TODAY(),TODAY(),DV134)</f>
        <v>43776</v>
      </c>
      <c r="DX134" s="482">
        <f ca="1">IF(AND(DV134&gt;0,DW134&gt;0),DW134-DV134,"0")</f>
        <v>0</v>
      </c>
      <c r="DY134" s="484"/>
      <c r="DZ134" s="497">
        <f ca="1">IF(DY134&lt;TODAY(),TODAY(),DY134)</f>
        <v>43647</v>
      </c>
      <c r="EA134" s="481" t="str">
        <f ca="1">IF(AND(DY134&gt;0,DZ134&gt;0),DZ134-DY134,"0")</f>
        <v>0</v>
      </c>
      <c r="EB134" s="484">
        <v>43490</v>
      </c>
      <c r="EC134" s="484">
        <f ca="1">IF(EB134&lt;TODAY(),TODAY(),EB134)</f>
        <v>43647</v>
      </c>
      <c r="ED134" s="481">
        <f ca="1">IF(AND(EB134&gt;0,EC134&gt;0),EC134-EB134,"0")</f>
        <v>157</v>
      </c>
      <c r="EE134" s="485"/>
      <c r="EF134" s="485"/>
      <c r="EG134" s="481" t="str">
        <f>IF(AND(EE134&gt;0,EF134&gt;0),EF134-EE134,"0")</f>
        <v>0</v>
      </c>
      <c r="EH134" s="484"/>
      <c r="EI134" s="484">
        <f ca="1">IF(EH134&lt;TODAY(),TODAY(),EH134)</f>
        <v>43647</v>
      </c>
      <c r="EJ134" s="481" t="str">
        <f ca="1">IF(AND(EH134&gt;0,EI134&gt;0),EI134-EH134,"0")</f>
        <v>0</v>
      </c>
      <c r="EK134" s="484">
        <v>43567</v>
      </c>
      <c r="EL134" s="484">
        <f ca="1">IF(EK134&lt;TODAY(),TODAY(),EK134)</f>
        <v>43647</v>
      </c>
      <c r="EM134" s="481">
        <f ca="1">IF(AND(EK134&gt;0,EL134&gt;0),EL134-EK134,"0")</f>
        <v>80</v>
      </c>
      <c r="EN134" s="484"/>
      <c r="EO134" s="484"/>
      <c r="EP134" s="484"/>
      <c r="EQ134" s="654">
        <f>DATE(YEAR(DM134),MONTH(DM134)+DQ134+2,DAY(DM134))</f>
        <v>547</v>
      </c>
      <c r="ER134" s="653">
        <f>DATE(YEAR(EQ134),MONTH(EQ134)+1,DAY(EQ134))</f>
        <v>577</v>
      </c>
      <c r="ES134" s="650">
        <f>(DATEDIF(EQ134,ER134,"d"))/30</f>
        <v>1</v>
      </c>
      <c r="ET134" s="904">
        <f t="shared" ref="ET134" ca="1" si="405">IF(((ER134-TODAY())/30)&lt;0,0,(ER134-TODAY())/30)</f>
        <v>0</v>
      </c>
      <c r="EU134" s="653">
        <f t="shared" ref="EU134" ca="1" si="406">DATE(YEAR(DW134)+2,MONTH(DW134),DAY(DW134))</f>
        <v>44507</v>
      </c>
      <c r="EV134" s="748"/>
      <c r="EW134" s="737"/>
      <c r="EX134" s="749">
        <f>DATE(YEAR(ER134),MONTH(ER134)+4,DAY(ER134)+2)</f>
        <v>702</v>
      </c>
      <c r="EY134" s="443"/>
      <c r="EZ134" s="747">
        <f>DATE(YEAR(EQ134),MONTH(EQ134)+1,DAY(EQ134))</f>
        <v>577</v>
      </c>
      <c r="FA134" s="653">
        <f>DATE(YEAR(EX134),MONTH(EX134)+3,DAY(EX134))</f>
        <v>792</v>
      </c>
      <c r="FB134" s="518"/>
      <c r="FC134" s="647">
        <f>(DATEDIF(EZ134,FA134,"d"))/30</f>
        <v>7.166666666666667</v>
      </c>
      <c r="FD134" s="635">
        <v>9080</v>
      </c>
      <c r="FE134" s="192">
        <f>FD134*FC134</f>
        <v>65073.333333333336</v>
      </c>
      <c r="FF134" s="211"/>
      <c r="FG134" s="502">
        <v>46700</v>
      </c>
      <c r="FH134" s="502">
        <v>0</v>
      </c>
      <c r="FI134" s="502"/>
      <c r="FJ134" s="502"/>
      <c r="FK134" s="502"/>
      <c r="FL134" s="664" t="e">
        <f>FK134/GN134</f>
        <v>#REF!</v>
      </c>
      <c r="FM134" s="499"/>
      <c r="FN134" s="511"/>
      <c r="FO134" s="511"/>
      <c r="FP134" s="511" t="s">
        <v>904</v>
      </c>
      <c r="FQ134" s="94"/>
      <c r="FR134" s="94"/>
      <c r="FS134" s="94"/>
      <c r="FT134" s="94"/>
      <c r="FU134" s="94"/>
      <c r="FV134" s="39"/>
      <c r="FW134" s="212">
        <f>DATE(YEAR(ER134)+1,MONTH(ER134),DAY(ER134))</f>
        <v>942</v>
      </c>
      <c r="FX134" s="212"/>
      <c r="FY134" s="39"/>
      <c r="FZ134" s="39"/>
      <c r="GA134" s="39"/>
      <c r="GB134" s="39"/>
      <c r="GC134" s="39"/>
      <c r="GD134" s="39"/>
      <c r="GE134" s="39"/>
      <c r="GF134" s="39"/>
      <c r="GG134" s="39"/>
      <c r="GH134" s="39"/>
      <c r="GI134" s="39"/>
      <c r="GJ134" s="39"/>
      <c r="GK134" s="39"/>
      <c r="GL134" s="742"/>
      <c r="GM134" s="979" t="e">
        <f t="shared" si="341"/>
        <v>#REF!</v>
      </c>
      <c r="GN134" s="772" t="e">
        <f t="shared" si="344"/>
        <v>#REF!</v>
      </c>
      <c r="GO134" s="683" t="e">
        <f>GN134</f>
        <v>#REF!</v>
      </c>
      <c r="GP134" s="898" t="e">
        <f t="shared" si="321"/>
        <v>#REF!</v>
      </c>
      <c r="GQ134" s="35" t="e">
        <f t="shared" si="342"/>
        <v>#REF!</v>
      </c>
      <c r="GR134" s="35" t="e">
        <f>GN134/AE134</f>
        <v>#REF!</v>
      </c>
      <c r="GS134" s="53">
        <v>1205731</v>
      </c>
      <c r="GT134" s="577">
        <v>1206069</v>
      </c>
      <c r="GU134" s="19">
        <f>GS134/AE134</f>
        <v>54805.954545454544</v>
      </c>
      <c r="GV134" s="53">
        <f>GW134+GX134</f>
        <v>2091478</v>
      </c>
      <c r="GW134" s="67">
        <v>374177</v>
      </c>
      <c r="GX134" s="67">
        <v>1717301</v>
      </c>
      <c r="GY134" s="568">
        <f>GV134/AE134</f>
        <v>95067.181818181823</v>
      </c>
      <c r="GZ134" s="53"/>
      <c r="HA134" s="53" t="e">
        <f>#REF!</f>
        <v>#REF!</v>
      </c>
      <c r="HB134" s="53"/>
      <c r="HC134" s="68" t="e">
        <f t="shared" si="387"/>
        <v>#REF!</v>
      </c>
      <c r="HD134" s="53"/>
      <c r="HE134" s="53"/>
      <c r="HF134" s="53">
        <v>14823</v>
      </c>
      <c r="HG134" s="19" t="e">
        <f>HA134/AE134</f>
        <v>#REF!</v>
      </c>
      <c r="HH134" s="35" t="e">
        <f>(GS134+HA134)/AE134</f>
        <v>#REF!</v>
      </c>
      <c r="HI134" s="70"/>
      <c r="HJ134" s="70"/>
      <c r="HK134" s="35" t="e">
        <f>(#REF!+#REF!+HJ134)/AE134</f>
        <v>#REF!</v>
      </c>
      <c r="HL134" s="70"/>
      <c r="HM134" s="35" t="e">
        <f>(GS134+HA134+HJ134+HL134)/AE134</f>
        <v>#REF!</v>
      </c>
      <c r="HN134" s="36" t="e">
        <f>(#REF!+#REF!+HJ134+HL134)/(HI134+#REF!-HO134)</f>
        <v>#REF!</v>
      </c>
      <c r="HO134" s="70"/>
      <c r="HP134" s="70"/>
      <c r="HQ134" s="53">
        <f>FH134</f>
        <v>0</v>
      </c>
      <c r="HR134" s="898"/>
      <c r="HS134" s="907" t="e">
        <f t="shared" si="325"/>
        <v>#REF!</v>
      </c>
      <c r="HT134" s="898" t="e">
        <f t="shared" si="326"/>
        <v>#REF!</v>
      </c>
      <c r="HU134" s="898" t="e">
        <f t="shared" ca="1" si="343"/>
        <v>#REF!</v>
      </c>
      <c r="HV134" s="898"/>
      <c r="HW134" s="898"/>
      <c r="HX134" s="898"/>
      <c r="HY134" s="898"/>
      <c r="HZ134" s="898"/>
      <c r="IA134" s="29" t="e">
        <f>#REF!+HI134</f>
        <v>#REF!</v>
      </c>
      <c r="IB134" s="752"/>
      <c r="IC134" s="73"/>
      <c r="ID134" s="73"/>
      <c r="IE134" s="73"/>
      <c r="IF134" s="73"/>
    </row>
    <row r="135" spans="1:240" s="7" customFormat="1" ht="18" customHeight="1">
      <c r="A135" s="711"/>
      <c r="B135" s="100"/>
      <c r="C135" s="100"/>
      <c r="D135" s="100"/>
      <c r="E135" s="100"/>
      <c r="F135" s="100"/>
      <c r="G135" s="100"/>
      <c r="H135" s="100"/>
      <c r="I135" s="100"/>
      <c r="J135" s="100"/>
      <c r="K135" s="100"/>
      <c r="L135" s="231"/>
      <c r="M135" s="151"/>
      <c r="N135" s="151"/>
      <c r="O135" s="151"/>
      <c r="P135" s="100"/>
      <c r="Q135" s="100"/>
      <c r="R135" s="100"/>
      <c r="S135" s="100"/>
      <c r="T135" s="100"/>
      <c r="U135" s="101"/>
      <c r="V135" s="100"/>
      <c r="W135" s="47"/>
      <c r="X135" s="100"/>
      <c r="Y135" s="100"/>
      <c r="Z135" s="100"/>
      <c r="AA135" s="100"/>
      <c r="AB135" s="100"/>
      <c r="AC135" s="100"/>
      <c r="AD135" s="100"/>
      <c r="AG135" s="16">
        <f>SUM(AG2:AG134)</f>
        <v>1059</v>
      </c>
      <c r="AH135" s="16">
        <f>SUM(AH2:AH134)</f>
        <v>3003</v>
      </c>
      <c r="AI135" s="16">
        <f>SUM(AI2:AI134)</f>
        <v>708</v>
      </c>
      <c r="AJ135" s="16">
        <f>SUM(AJ2:AJ134)</f>
        <v>650</v>
      </c>
      <c r="AK135" s="693"/>
      <c r="AL135" s="869"/>
      <c r="AM135" s="869"/>
      <c r="AN135" s="100"/>
      <c r="AO135" s="100"/>
      <c r="AP135" s="100"/>
      <c r="AQ135" s="100"/>
      <c r="AR135" s="100"/>
      <c r="AS135" s="100"/>
      <c r="AT135" s="100"/>
      <c r="AU135" s="100"/>
      <c r="AV135" s="100"/>
      <c r="AW135" s="100"/>
      <c r="AX135" s="102"/>
      <c r="AY135" s="63"/>
      <c r="AZ135" s="100"/>
      <c r="BA135" s="100"/>
      <c r="BB135" s="100"/>
      <c r="BC135" s="100"/>
      <c r="BD135" s="100"/>
      <c r="BE135" s="100"/>
      <c r="BF135" s="100"/>
      <c r="BG135" s="100"/>
      <c r="BH135" s="100"/>
      <c r="BI135" s="2"/>
      <c r="BJ135" s="2"/>
      <c r="BK135" s="2"/>
      <c r="BL135" s="132"/>
      <c r="BM135" s="132"/>
      <c r="BN135" s="132"/>
      <c r="BO135" s="957"/>
      <c r="BP135" s="132"/>
      <c r="BQ135" s="132"/>
      <c r="BR135" s="132"/>
      <c r="BS135" s="132"/>
      <c r="BT135" s="132"/>
      <c r="BU135" s="132"/>
      <c r="BV135" s="132"/>
      <c r="BW135" s="132"/>
      <c r="BX135" s="132"/>
      <c r="BY135" s="132"/>
      <c r="BZ135" s="132"/>
      <c r="CA135" s="133"/>
      <c r="CB135" s="133"/>
      <c r="CC135" s="133"/>
      <c r="CD135" s="134"/>
      <c r="CE135" s="134"/>
      <c r="CF135" s="134"/>
      <c r="CG135" s="134"/>
      <c r="CH135" s="134"/>
      <c r="CI135" s="134"/>
      <c r="CJ135" s="134"/>
      <c r="CK135" s="134"/>
      <c r="CL135" s="134"/>
      <c r="CM135" s="134"/>
      <c r="CN135" s="134"/>
      <c r="CO135" s="134"/>
      <c r="CP135" s="134"/>
      <c r="CV135" s="505"/>
      <c r="DG135" s="100"/>
      <c r="DM135" s="100"/>
      <c r="DN135" s="100"/>
      <c r="DO135" s="100"/>
      <c r="DQ135" s="173"/>
      <c r="DR135" s="100"/>
      <c r="DV135" s="13"/>
      <c r="DW135" s="13"/>
      <c r="DX135" s="13"/>
      <c r="DY135" s="13"/>
      <c r="DZ135" s="13"/>
      <c r="EI135" s="13"/>
      <c r="EJ135" s="13"/>
      <c r="EK135" s="13"/>
      <c r="EL135" s="13"/>
      <c r="EM135" s="13"/>
      <c r="EN135" s="13"/>
      <c r="EO135" s="13"/>
      <c r="EP135" s="13"/>
      <c r="EQ135" s="100"/>
      <c r="ER135" s="100"/>
      <c r="ES135" s="100"/>
      <c r="ET135" s="100"/>
      <c r="EU135" s="100"/>
      <c r="EV135" s="100"/>
      <c r="EW135" s="100"/>
      <c r="EX135" s="100"/>
      <c r="EY135" s="100"/>
      <c r="EZ135" s="100"/>
      <c r="FA135" s="100"/>
      <c r="FB135" s="304"/>
      <c r="FC135" s="100"/>
      <c r="FD135" s="100"/>
      <c r="FE135" s="100"/>
      <c r="FF135" s="100"/>
      <c r="FG135" s="524"/>
      <c r="FH135" s="524"/>
      <c r="FI135" s="524"/>
      <c r="FJ135" s="524"/>
      <c r="FK135" s="524"/>
      <c r="FL135" s="524"/>
      <c r="FN135" s="521"/>
      <c r="FQ135" s="100"/>
      <c r="FR135" s="100"/>
      <c r="FS135" s="100"/>
      <c r="FT135" s="100"/>
      <c r="FU135" s="100"/>
      <c r="FV135" s="100"/>
      <c r="FW135" s="100"/>
      <c r="FX135" s="100"/>
      <c r="FY135" s="100"/>
      <c r="FZ135" s="100"/>
      <c r="GA135" s="100"/>
      <c r="GB135" s="100"/>
      <c r="GC135" s="100"/>
      <c r="GD135" s="100"/>
      <c r="GE135" s="100"/>
      <c r="GF135" s="100"/>
      <c r="GG135" s="100"/>
      <c r="GH135" s="100"/>
      <c r="GI135" s="100"/>
      <c r="GJ135" s="100"/>
      <c r="GK135" s="100"/>
      <c r="GL135" s="135"/>
      <c r="GM135" s="135"/>
      <c r="GN135" s="103" t="e">
        <f>SUM(GN2:GN134)</f>
        <v>#REF!</v>
      </c>
      <c r="GO135" s="103"/>
      <c r="GP135" s="103"/>
      <c r="GQ135" s="103"/>
      <c r="GR135" s="103"/>
      <c r="GS135" s="103">
        <f>SUM(GS2:GS134)</f>
        <v>146857176.67540324</v>
      </c>
      <c r="GT135" s="103"/>
      <c r="GU135" s="103"/>
      <c r="GV135" s="103">
        <f>SUM(GV12:GV134)</f>
        <v>251829603.40975448</v>
      </c>
      <c r="GW135" s="103">
        <f>SUM(GW12:GW134)</f>
        <v>42205304.262762845</v>
      </c>
      <c r="GX135" s="103">
        <f>SUM(GX12:GX134)</f>
        <v>172910722.54463369</v>
      </c>
      <c r="GY135" s="569"/>
      <c r="GZ135" s="103"/>
      <c r="HA135" s="103" t="e">
        <f>SUM(HA2:HA134)</f>
        <v>#REF!</v>
      </c>
      <c r="HB135" s="103"/>
      <c r="HC135" s="103" t="e">
        <f>SUM(HC12:HH134)</f>
        <v>#DIV/0!</v>
      </c>
      <c r="HD135" s="103"/>
      <c r="HE135" s="103"/>
      <c r="HF135" s="103">
        <f t="shared" ref="HF135:HQ135" si="407">SUM(HF2:HF134)</f>
        <v>4233818.1668750104</v>
      </c>
      <c r="HG135" s="103" t="e">
        <f t="shared" si="407"/>
        <v>#REF!</v>
      </c>
      <c r="HH135" s="103" t="e">
        <f t="shared" si="407"/>
        <v>#REF!</v>
      </c>
      <c r="HI135" s="103">
        <f t="shared" si="407"/>
        <v>24698530.958417773</v>
      </c>
      <c r="HJ135" s="103">
        <f t="shared" si="407"/>
        <v>12416145.386517435</v>
      </c>
      <c r="HK135" s="103" t="e">
        <f t="shared" si="407"/>
        <v>#REF!</v>
      </c>
      <c r="HL135" s="103">
        <f t="shared" si="407"/>
        <v>3716497.6583725004</v>
      </c>
      <c r="HM135" s="103" t="e">
        <f t="shared" si="407"/>
        <v>#REF!</v>
      </c>
      <c r="HN135" s="103" t="e">
        <f t="shared" si="407"/>
        <v>#REF!</v>
      </c>
      <c r="HO135" s="103">
        <f t="shared" si="407"/>
        <v>5728763.6877000006</v>
      </c>
      <c r="HP135" s="103">
        <f t="shared" si="407"/>
        <v>0</v>
      </c>
      <c r="HQ135" s="103">
        <f t="shared" si="407"/>
        <v>2449326.7379665528</v>
      </c>
      <c r="HR135" s="103"/>
      <c r="HS135" s="103"/>
      <c r="HT135" s="103"/>
      <c r="HU135" s="103"/>
      <c r="HV135" s="103"/>
      <c r="HW135" s="103"/>
      <c r="HX135" s="103"/>
      <c r="HY135" s="103"/>
      <c r="HZ135" s="103"/>
      <c r="IA135" s="103" t="e">
        <f>SUM(IA2:IA134)</f>
        <v>#REF!</v>
      </c>
      <c r="IB135" s="103"/>
      <c r="IC135" s="103"/>
      <c r="ID135" s="103"/>
      <c r="IE135" s="103"/>
      <c r="IF135" s="103"/>
    </row>
    <row r="136" spans="1:240" s="7" customFormat="1" ht="14.25" customHeight="1">
      <c r="A136" s="711"/>
      <c r="B136" s="711"/>
      <c r="C136" s="105"/>
      <c r="D136" s="105"/>
      <c r="E136" s="105"/>
      <c r="F136" s="105"/>
      <c r="G136" s="105"/>
      <c r="H136" s="105"/>
      <c r="I136" s="105"/>
      <c r="J136" s="105"/>
      <c r="K136" s="105"/>
      <c r="L136" s="232"/>
      <c r="M136" s="152"/>
      <c r="N136" s="152"/>
      <c r="O136" s="152"/>
      <c r="P136" s="105"/>
      <c r="Q136" s="105"/>
      <c r="R136" s="105"/>
      <c r="S136" s="105"/>
      <c r="T136" s="105"/>
      <c r="U136" s="104"/>
      <c r="V136" s="105"/>
      <c r="W136" s="105"/>
      <c r="X136" s="105"/>
      <c r="Y136" s="105"/>
      <c r="Z136" s="105"/>
      <c r="AA136" s="105"/>
      <c r="AB136" s="105"/>
      <c r="AC136" s="105"/>
      <c r="AG136" s="105"/>
      <c r="AH136" s="119"/>
      <c r="AI136" s="119"/>
      <c r="AJ136" s="119"/>
      <c r="AK136" s="693"/>
      <c r="AL136" s="136"/>
      <c r="AM136" s="876"/>
      <c r="AN136" s="105"/>
      <c r="AO136" s="105"/>
      <c r="AP136" s="105"/>
      <c r="AQ136" s="105"/>
      <c r="AR136" s="105"/>
      <c r="AS136" s="105"/>
      <c r="AT136" s="105"/>
      <c r="AU136" s="105"/>
      <c r="AV136" s="105"/>
      <c r="AW136" s="105"/>
      <c r="AX136" s="106"/>
      <c r="AY136" s="79"/>
      <c r="AZ136" s="105"/>
      <c r="BA136" s="105"/>
      <c r="BB136" s="105"/>
      <c r="BC136" s="105"/>
      <c r="BD136" s="105"/>
      <c r="BE136" s="105"/>
      <c r="BF136" s="105"/>
      <c r="BG136" s="105"/>
      <c r="BH136" s="105"/>
      <c r="BI136" s="136"/>
      <c r="BJ136" s="136"/>
      <c r="BK136" s="136"/>
      <c r="BL136" s="136"/>
      <c r="BM136" s="136"/>
      <c r="BN136" s="136"/>
      <c r="BO136" s="958"/>
      <c r="BP136" s="136"/>
      <c r="BQ136" s="136"/>
      <c r="BR136" s="136"/>
      <c r="BS136" s="136"/>
      <c r="BT136" s="136"/>
      <c r="BU136" s="136"/>
      <c r="BV136" s="136"/>
      <c r="BW136" s="136"/>
      <c r="BX136" s="136"/>
      <c r="BY136" s="136"/>
      <c r="BZ136" s="136"/>
      <c r="CA136" s="136"/>
      <c r="CB136" s="136"/>
      <c r="CC136" s="136"/>
      <c r="CD136" s="136"/>
      <c r="CE136" s="136"/>
      <c r="CF136" s="136"/>
      <c r="CG136" s="136"/>
      <c r="CH136" s="136"/>
      <c r="CI136" s="136"/>
      <c r="CJ136" s="136"/>
      <c r="CK136" s="136"/>
      <c r="CL136" s="136"/>
      <c r="CM136" s="136"/>
      <c r="CN136" s="136"/>
      <c r="CO136" s="136"/>
      <c r="CP136" s="136"/>
      <c r="CR136" s="505"/>
      <c r="CS136" s="505"/>
      <c r="CV136" s="505"/>
      <c r="CX136" s="505"/>
      <c r="DD136" s="505"/>
      <c r="DE136" s="505"/>
      <c r="DG136" s="105"/>
      <c r="DH136" s="505"/>
      <c r="DI136" s="505"/>
      <c r="DJ136" s="505"/>
      <c r="DL136" s="505"/>
      <c r="DM136" s="105"/>
      <c r="DN136" s="105"/>
      <c r="DO136" s="105"/>
      <c r="DQ136" s="174"/>
      <c r="DR136" s="105"/>
      <c r="DS136" s="505"/>
      <c r="DT136" s="505"/>
      <c r="DV136" s="506"/>
      <c r="DW136" s="506"/>
      <c r="DX136" s="13"/>
      <c r="DY136" s="506"/>
      <c r="DZ136" s="506"/>
      <c r="EB136" s="505"/>
      <c r="EC136" s="505"/>
      <c r="EE136" s="505"/>
      <c r="EF136" s="505"/>
      <c r="EH136" s="505"/>
      <c r="EI136" s="506"/>
      <c r="EJ136" s="13"/>
      <c r="EK136" s="506"/>
      <c r="EL136" s="506"/>
      <c r="EM136" s="13"/>
      <c r="EN136" s="506"/>
      <c r="EO136" s="506"/>
      <c r="EP136" s="506"/>
      <c r="EQ136" s="105"/>
      <c r="ER136" s="105"/>
      <c r="ES136" s="105"/>
      <c r="ET136" s="136"/>
      <c r="EU136" s="105"/>
      <c r="EV136" s="105"/>
      <c r="EW136" s="105"/>
      <c r="EX136" s="105"/>
      <c r="EY136" s="105"/>
      <c r="EZ136" s="105"/>
      <c r="FA136" s="105"/>
      <c r="FB136" s="305"/>
      <c r="FC136" s="105"/>
      <c r="FD136" s="105"/>
      <c r="FE136" s="105"/>
      <c r="FF136" s="105"/>
      <c r="FG136" s="524"/>
      <c r="FH136" s="524"/>
      <c r="FI136" s="524"/>
      <c r="FJ136" s="524"/>
      <c r="FK136" s="524"/>
      <c r="FL136" s="524"/>
      <c r="FN136" s="521"/>
      <c r="FO136" s="759"/>
      <c r="FQ136" s="105"/>
      <c r="FR136" s="105"/>
      <c r="FS136" s="105"/>
      <c r="FT136" s="105"/>
      <c r="FU136" s="105"/>
      <c r="FV136" s="105"/>
      <c r="FW136" s="105"/>
      <c r="FX136" s="105"/>
      <c r="FY136" s="105"/>
      <c r="FZ136" s="105"/>
      <c r="GA136" s="105"/>
      <c r="GB136" s="105"/>
      <c r="GC136" s="105"/>
      <c r="GD136" s="105"/>
      <c r="GE136" s="105"/>
      <c r="GF136" s="105"/>
      <c r="GG136" s="105"/>
      <c r="GH136" s="105"/>
      <c r="GI136" s="105"/>
      <c r="GJ136" s="105"/>
      <c r="GK136" s="105"/>
      <c r="GL136" s="549"/>
      <c r="GM136" s="549"/>
      <c r="GN136" s="896"/>
      <c r="GO136" s="105"/>
      <c r="GP136" s="911"/>
      <c r="GQ136" s="105"/>
      <c r="GR136" s="105"/>
      <c r="GS136" s="105"/>
      <c r="GT136" s="105"/>
      <c r="GU136" s="105"/>
      <c r="GV136" s="105"/>
      <c r="GW136" s="105"/>
      <c r="GX136" s="105"/>
      <c r="GY136" s="569"/>
      <c r="GZ136" s="105"/>
      <c r="HA136" s="105"/>
      <c r="HB136" s="105"/>
      <c r="HC136" s="105"/>
      <c r="HD136" s="105"/>
      <c r="HE136" s="105"/>
      <c r="HF136" s="105"/>
      <c r="HG136" s="105"/>
      <c r="HH136" s="105"/>
      <c r="HI136" s="107"/>
      <c r="HJ136" s="107"/>
      <c r="HK136" s="107"/>
      <c r="HL136" s="107"/>
      <c r="HM136" s="107"/>
      <c r="HN136" s="107"/>
      <c r="HO136" s="104"/>
      <c r="HP136" s="107"/>
      <c r="HQ136" s="107"/>
      <c r="HR136" s="911"/>
      <c r="HS136" s="103"/>
      <c r="HT136" s="103"/>
      <c r="HU136" s="103"/>
      <c r="HV136" s="103"/>
      <c r="HW136" s="103"/>
      <c r="HX136" s="103"/>
      <c r="HY136" s="103"/>
      <c r="HZ136" s="103"/>
      <c r="IA136" s="107"/>
      <c r="IB136" s="107"/>
      <c r="IC136" s="107"/>
      <c r="ID136" s="107"/>
      <c r="IE136" s="107"/>
      <c r="IF136" s="107"/>
    </row>
    <row r="137" spans="1:240" s="7" customFormat="1" ht="19.5" customHeight="1" thickBot="1">
      <c r="A137" s="712"/>
      <c r="B137" s="712"/>
      <c r="F137" s="13"/>
      <c r="G137" s="13"/>
      <c r="H137" s="13"/>
      <c r="I137" s="13"/>
      <c r="J137" s="13"/>
      <c r="K137" s="13"/>
      <c r="L137" s="233"/>
      <c r="M137" s="153"/>
      <c r="N137" s="153"/>
      <c r="O137" s="153"/>
      <c r="P137" s="7">
        <v>4233</v>
      </c>
      <c r="Q137" s="196">
        <f>P137/187</f>
        <v>22.636363636363637</v>
      </c>
      <c r="R137" s="196"/>
      <c r="S137" s="196" t="e">
        <f>Q137/AE137</f>
        <v>#DIV/0!</v>
      </c>
      <c r="T137" s="7">
        <f>Q137/P137</f>
        <v>5.3475935828877002E-3</v>
      </c>
      <c r="U137" s="13">
        <f>R137/P137</f>
        <v>0</v>
      </c>
      <c r="V137" s="7" t="e">
        <f>R137/AL137</f>
        <v>#DIV/0!</v>
      </c>
      <c r="W137" s="7" t="e">
        <f>R137/AE137</f>
        <v>#DIV/0!</v>
      </c>
      <c r="X137" s="7" t="e">
        <f>P137/AE137</f>
        <v>#DIV/0!</v>
      </c>
      <c r="Z137" s="7">
        <f>10000*AE137/P137</f>
        <v>0</v>
      </c>
      <c r="AA137" s="7" t="s">
        <v>158</v>
      </c>
      <c r="AD137" s="175"/>
      <c r="AH137" s="119"/>
      <c r="AI137" s="119"/>
      <c r="AJ137" s="119"/>
      <c r="AK137" s="693"/>
      <c r="AL137" s="870"/>
      <c r="AM137" s="877"/>
      <c r="AO137" s="868"/>
      <c r="AR137" s="108"/>
      <c r="AS137" s="108"/>
      <c r="AT137" s="108"/>
      <c r="AU137" s="108"/>
      <c r="AV137" s="108"/>
      <c r="AX137" s="109"/>
      <c r="AY137" s="33"/>
      <c r="BI137" s="138"/>
      <c r="BJ137" s="138"/>
      <c r="BK137" s="138"/>
      <c r="BL137" s="137"/>
      <c r="BM137" s="137"/>
      <c r="BN137" s="137"/>
      <c r="BO137" s="959"/>
      <c r="BP137" s="137"/>
      <c r="BQ137" s="137"/>
      <c r="BR137" s="137"/>
      <c r="BS137" s="137"/>
      <c r="BT137" s="137"/>
      <c r="BU137" s="137"/>
      <c r="BV137" s="137"/>
      <c r="BW137" s="137"/>
      <c r="BX137" s="137"/>
      <c r="BY137" s="137"/>
      <c r="BZ137" s="137"/>
      <c r="CA137" s="137"/>
      <c r="CB137" s="137"/>
      <c r="CC137" s="137"/>
      <c r="CD137" s="137"/>
      <c r="CE137" s="137"/>
      <c r="CF137" s="137"/>
      <c r="CG137" s="137"/>
      <c r="CH137" s="137"/>
      <c r="CI137" s="137"/>
      <c r="CJ137" s="137"/>
      <c r="CK137" s="137"/>
      <c r="CL137" s="137"/>
      <c r="CM137" s="137"/>
      <c r="CN137" s="137"/>
      <c r="CO137" s="137"/>
      <c r="CP137" s="137"/>
      <c r="CR137" s="505"/>
      <c r="CS137" s="505"/>
      <c r="CT137" s="214"/>
      <c r="CV137" s="505"/>
      <c r="CX137" s="505"/>
      <c r="DD137" s="505"/>
      <c r="DE137" s="505"/>
      <c r="DH137" s="505"/>
      <c r="DI137" s="505"/>
      <c r="DJ137" s="505"/>
      <c r="DL137" s="505"/>
      <c r="DQ137" s="175"/>
      <c r="DS137" s="505"/>
      <c r="DT137" s="505"/>
      <c r="DU137" s="214"/>
      <c r="DV137" s="506"/>
      <c r="DW137" s="506"/>
      <c r="DX137" s="13"/>
      <c r="DY137" s="506"/>
      <c r="DZ137" s="506"/>
      <c r="EB137" s="505"/>
      <c r="EC137" s="505"/>
      <c r="EE137" s="505"/>
      <c r="EF137" s="505"/>
      <c r="EH137" s="505"/>
      <c r="EI137" s="506"/>
      <c r="EJ137" s="13"/>
      <c r="EK137" s="506"/>
      <c r="EL137" s="506"/>
      <c r="EM137" s="13"/>
      <c r="EN137" s="506"/>
      <c r="EO137" s="506"/>
      <c r="EP137" s="506"/>
      <c r="ET137" s="137"/>
      <c r="FB137" s="306"/>
      <c r="FG137" s="524"/>
      <c r="FH137" s="524"/>
      <c r="FI137" s="524"/>
      <c r="FJ137" s="524"/>
      <c r="FK137" s="524"/>
      <c r="FL137" s="524"/>
      <c r="FN137" s="521"/>
      <c r="FO137" s="759"/>
      <c r="GL137" s="550"/>
      <c r="GM137" s="550"/>
      <c r="GN137" s="214"/>
      <c r="GP137" s="214"/>
      <c r="GV137" s="7" t="s">
        <v>294</v>
      </c>
      <c r="GX137" s="7" t="s">
        <v>139</v>
      </c>
      <c r="GY137" s="570"/>
      <c r="HO137" s="13"/>
      <c r="HR137" s="214"/>
      <c r="IA137" s="197"/>
      <c r="IB137" s="197"/>
      <c r="IC137" s="197"/>
      <c r="ID137" s="197"/>
      <c r="IE137" s="197"/>
      <c r="IF137" s="197"/>
    </row>
    <row r="138" spans="1:240" s="726" customFormat="1" ht="15.75" thickBot="1">
      <c r="A138" s="718"/>
      <c r="B138" s="718"/>
      <c r="C138" s="657"/>
      <c r="D138" s="719"/>
      <c r="E138" s="657"/>
      <c r="F138" s="657"/>
      <c r="G138" s="657"/>
      <c r="H138" s="657"/>
      <c r="I138" s="657"/>
      <c r="J138" s="657"/>
      <c r="K138" s="657"/>
      <c r="L138" s="720"/>
      <c r="M138" s="721"/>
      <c r="N138" s="721"/>
      <c r="O138" s="721"/>
      <c r="P138" s="719"/>
      <c r="Q138" s="719"/>
      <c r="R138" s="719"/>
      <c r="S138" s="719"/>
      <c r="T138" s="719"/>
      <c r="U138" s="719" t="e">
        <f>R138/P138</f>
        <v>#DIV/0!</v>
      </c>
      <c r="V138" s="719"/>
      <c r="W138" s="719"/>
      <c r="X138" s="719"/>
      <c r="Y138" s="719"/>
      <c r="Z138" s="719"/>
      <c r="AA138" s="719"/>
      <c r="AB138" s="719"/>
      <c r="AC138" s="719"/>
      <c r="AD138" s="729">
        <f>SUBTOTAL(103,Type)</f>
        <v>133</v>
      </c>
      <c r="AE138" s="729">
        <f t="shared" ref="AE138:AL138" si="408">SUBTOTAL(109,AE2:AE134)</f>
        <v>5420</v>
      </c>
      <c r="AF138" s="729">
        <f t="shared" si="408"/>
        <v>4770</v>
      </c>
      <c r="AG138" s="729">
        <f t="shared" si="408"/>
        <v>1059</v>
      </c>
      <c r="AH138" s="608">
        <f t="shared" si="408"/>
        <v>3003</v>
      </c>
      <c r="AI138" s="608">
        <f t="shared" si="408"/>
        <v>708</v>
      </c>
      <c r="AJ138" s="608">
        <f t="shared" si="408"/>
        <v>650</v>
      </c>
      <c r="AK138" s="608">
        <f t="shared" si="408"/>
        <v>164098.35999999993</v>
      </c>
      <c r="AL138" s="871">
        <f t="shared" si="408"/>
        <v>195600.00327272728</v>
      </c>
      <c r="AM138" s="878"/>
      <c r="AN138" s="608" t="e">
        <f>SUBTOTAL(9,AN2:AN134)</f>
        <v>#DIV/0!</v>
      </c>
      <c r="AO138" s="868"/>
      <c r="AP138" s="868"/>
      <c r="AQ138" s="868"/>
      <c r="AR138" s="868"/>
      <c r="AS138" s="868"/>
      <c r="AT138" s="868"/>
      <c r="AU138" s="868"/>
      <c r="AV138" s="868"/>
      <c r="AW138" s="868"/>
      <c r="AX138" s="608">
        <f t="shared" ref="AX138:BC138" si="409">SUBTOTAL(9,AX2:AX134)</f>
        <v>5880.16</v>
      </c>
      <c r="AY138" s="608" t="e">
        <f t="shared" si="409"/>
        <v>#DIV/0!</v>
      </c>
      <c r="AZ138" s="608">
        <f t="shared" si="409"/>
        <v>168.5</v>
      </c>
      <c r="BA138" s="608">
        <f t="shared" si="409"/>
        <v>0</v>
      </c>
      <c r="BB138" s="608">
        <f t="shared" si="409"/>
        <v>0</v>
      </c>
      <c r="BC138" s="608">
        <f t="shared" si="409"/>
        <v>95442664.596789002</v>
      </c>
      <c r="BD138" s="686"/>
      <c r="BE138" s="686"/>
      <c r="BF138" s="686"/>
      <c r="BG138" s="722"/>
      <c r="BH138" s="722"/>
      <c r="BI138" s="723"/>
      <c r="BJ138" s="723"/>
      <c r="BK138" s="723"/>
      <c r="BL138" s="722"/>
      <c r="BM138" s="722"/>
      <c r="BN138" s="722"/>
      <c r="BO138" s="960"/>
      <c r="BP138" s="608">
        <f>SUBTOTAL(9,BP2:BP134)</f>
        <v>2505260</v>
      </c>
      <c r="BQ138" s="608"/>
      <c r="BR138" s="722"/>
      <c r="BS138" s="722"/>
      <c r="BT138" s="608">
        <f>SUBTOTAL(9,BT2:BT134)</f>
        <v>4664437.58</v>
      </c>
      <c r="BU138" s="608">
        <f>SUBTOTAL(9,BU2:BU134)</f>
        <v>0</v>
      </c>
      <c r="BV138" s="608">
        <f>SUBTOTAL(9,BV2:BV134)</f>
        <v>-60155.066666666658</v>
      </c>
      <c r="BW138" s="608">
        <f>SUBTOTAL(9,BW2:BW134)</f>
        <v>14963340.690352129</v>
      </c>
      <c r="BX138" s="686"/>
      <c r="BY138" s="722"/>
      <c r="BZ138" s="722"/>
      <c r="CA138" s="722"/>
      <c r="CB138" s="722"/>
      <c r="CC138" s="722"/>
      <c r="CD138" s="722"/>
      <c r="CE138" s="722"/>
      <c r="CF138" s="722"/>
      <c r="CG138" s="722"/>
      <c r="CH138" s="722"/>
      <c r="CI138" s="722"/>
      <c r="CJ138" s="722"/>
      <c r="CK138" s="722"/>
      <c r="CL138" s="722"/>
      <c r="CM138" s="722"/>
      <c r="CN138" s="722"/>
      <c r="CO138" s="722"/>
      <c r="CP138" s="722"/>
      <c r="CQ138" s="608"/>
      <c r="CR138" s="608"/>
      <c r="CS138" s="608"/>
      <c r="CT138" s="608"/>
      <c r="CU138" s="608"/>
      <c r="CV138" s="608"/>
      <c r="CW138" s="608"/>
      <c r="CX138" s="608"/>
      <c r="CY138" s="608"/>
      <c r="CZ138" s="608"/>
      <c r="DA138" s="608"/>
      <c r="DB138" s="608"/>
      <c r="DC138" s="608"/>
      <c r="DD138" s="608"/>
      <c r="DE138" s="608"/>
      <c r="DF138" s="608"/>
      <c r="DG138" s="608"/>
      <c r="DH138" s="608"/>
      <c r="DI138" s="608"/>
      <c r="DJ138" s="608"/>
      <c r="DK138" s="608"/>
      <c r="DL138" s="608"/>
      <c r="DM138" s="724"/>
      <c r="DN138" s="724"/>
      <c r="DO138" s="724"/>
      <c r="DP138" s="724"/>
      <c r="DQ138" s="724"/>
      <c r="DR138" s="724"/>
      <c r="DS138" s="724"/>
      <c r="DT138" s="724"/>
      <c r="DU138" s="725"/>
      <c r="DV138" s="657"/>
      <c r="DW138" s="657"/>
      <c r="DX138" s="657"/>
      <c r="DY138" s="657"/>
      <c r="DZ138" s="657"/>
      <c r="EA138" s="724"/>
      <c r="EB138" s="724"/>
      <c r="EC138" s="724"/>
      <c r="ED138" s="724"/>
      <c r="EE138" s="724"/>
      <c r="EF138" s="724"/>
      <c r="EG138" s="724"/>
      <c r="EH138" s="724"/>
      <c r="EI138" s="657"/>
      <c r="EJ138" s="657"/>
      <c r="EK138" s="657"/>
      <c r="EL138" s="657"/>
      <c r="EM138" s="657"/>
      <c r="EN138" s="657"/>
      <c r="EO138" s="657"/>
      <c r="EP138" s="657"/>
      <c r="EQ138" s="724"/>
      <c r="ER138" s="724"/>
      <c r="ES138" s="608" t="e">
        <f>SUBTOTAL(101,ES4:ES117)</f>
        <v>#NUM!</v>
      </c>
      <c r="ET138" s="905"/>
      <c r="EU138" s="724"/>
      <c r="EV138" s="724"/>
      <c r="EW138" s="724"/>
      <c r="EX138" s="724"/>
      <c r="EY138" s="724"/>
      <c r="EZ138" s="686"/>
      <c r="FA138" s="724"/>
      <c r="FB138" s="724"/>
      <c r="FC138" s="608" t="e">
        <f>SUBTOTAL(101,FC4:FC117)</f>
        <v>#NUM!</v>
      </c>
      <c r="FD138" s="724"/>
      <c r="FE138" s="608" t="e">
        <f>SUBTOTAL(9,FE2:FE134)</f>
        <v>#NUM!</v>
      </c>
      <c r="FF138" s="724"/>
      <c r="FG138" s="608">
        <f t="shared" ref="FG138:FZ138" si="410">SUBTOTAL(9,FG2:FG134)</f>
        <v>1219021</v>
      </c>
      <c r="FH138" s="608">
        <f t="shared" si="410"/>
        <v>2343425.9900000002</v>
      </c>
      <c r="FI138" s="608">
        <f t="shared" si="410"/>
        <v>3081041.8124799994</v>
      </c>
      <c r="FJ138" s="608">
        <f t="shared" si="410"/>
        <v>715449.21081035153</v>
      </c>
      <c r="FK138" s="608">
        <f t="shared" si="410"/>
        <v>1905434.1482500001</v>
      </c>
      <c r="FL138" s="608" t="e">
        <f t="shared" si="410"/>
        <v>#DIV/0!</v>
      </c>
      <c r="FM138" s="608">
        <f t="shared" si="410"/>
        <v>0</v>
      </c>
      <c r="FN138" s="608">
        <f t="shared" si="410"/>
        <v>0</v>
      </c>
      <c r="FO138" s="760">
        <f t="shared" si="410"/>
        <v>0</v>
      </c>
      <c r="FP138" s="608">
        <f t="shared" si="410"/>
        <v>0</v>
      </c>
      <c r="FQ138" s="608">
        <f t="shared" si="410"/>
        <v>213938</v>
      </c>
      <c r="FR138" s="608">
        <f t="shared" si="410"/>
        <v>690439</v>
      </c>
      <c r="FS138" s="608">
        <f t="shared" si="410"/>
        <v>0</v>
      </c>
      <c r="FT138" s="608">
        <f t="shared" si="410"/>
        <v>42348</v>
      </c>
      <c r="FU138" s="608">
        <f t="shared" si="410"/>
        <v>1072003</v>
      </c>
      <c r="FV138" s="608">
        <f t="shared" si="410"/>
        <v>731410</v>
      </c>
      <c r="FW138" s="608">
        <f t="shared" si="410"/>
        <v>5116120</v>
      </c>
      <c r="FX138" s="608">
        <f t="shared" si="410"/>
        <v>1936734.28</v>
      </c>
      <c r="FY138" s="608">
        <f t="shared" si="410"/>
        <v>853360</v>
      </c>
      <c r="FZ138" s="608">
        <f t="shared" si="410"/>
        <v>1114023</v>
      </c>
      <c r="GA138" s="608"/>
      <c r="GB138" s="608">
        <f>SUBTOTAL(9,GB2:GB134)</f>
        <v>294579</v>
      </c>
      <c r="GC138" s="608">
        <f>SUBTOTAL(9,GC2:GC134)</f>
        <v>508967</v>
      </c>
      <c r="GD138" s="608">
        <f>SUBTOTAL(9,GD2:GD134)</f>
        <v>472584</v>
      </c>
      <c r="GE138" s="608">
        <f>SUBTOTAL(9,GE2:GE134)</f>
        <v>0</v>
      </c>
      <c r="GF138" s="7"/>
      <c r="GG138" s="608">
        <f t="shared" ref="GG138:HR138" si="411">SUBTOTAL(9,GG2:GG134)</f>
        <v>42851</v>
      </c>
      <c r="GH138" s="608">
        <f t="shared" si="411"/>
        <v>774753</v>
      </c>
      <c r="GI138" s="608">
        <f t="shared" si="411"/>
        <v>43139</v>
      </c>
      <c r="GJ138" s="608">
        <f t="shared" si="411"/>
        <v>299112</v>
      </c>
      <c r="GK138" s="608">
        <f t="shared" si="411"/>
        <v>42424</v>
      </c>
      <c r="GL138" s="608">
        <f t="shared" si="411"/>
        <v>115516607.8</v>
      </c>
      <c r="GM138" s="608" t="e">
        <f t="shared" si="411"/>
        <v>#REF!</v>
      </c>
      <c r="GN138" s="608" t="e">
        <f t="shared" si="411"/>
        <v>#REF!</v>
      </c>
      <c r="GO138" s="608" t="e">
        <f t="shared" si="411"/>
        <v>#REF!</v>
      </c>
      <c r="GP138" s="608" t="e">
        <f t="shared" si="411"/>
        <v>#REF!</v>
      </c>
      <c r="GQ138" s="608" t="e">
        <f t="shared" si="411"/>
        <v>#DIV/0!</v>
      </c>
      <c r="GR138" s="608" t="e">
        <f t="shared" si="411"/>
        <v>#REF!</v>
      </c>
      <c r="GS138" s="608">
        <f t="shared" si="411"/>
        <v>146857176.67540324</v>
      </c>
      <c r="GT138" s="608">
        <f t="shared" si="411"/>
        <v>21568341.859999999</v>
      </c>
      <c r="GU138" s="608" t="e">
        <f t="shared" si="411"/>
        <v>#REF!</v>
      </c>
      <c r="GV138" s="608">
        <f t="shared" si="411"/>
        <v>274470590.77975452</v>
      </c>
      <c r="GW138" s="608">
        <f t="shared" si="411"/>
        <v>48780627.282762833</v>
      </c>
      <c r="GX138" s="608">
        <f t="shared" si="411"/>
        <v>192360449.89463368</v>
      </c>
      <c r="GY138" s="608">
        <f t="shared" si="411"/>
        <v>8151693.603240151</v>
      </c>
      <c r="GZ138" s="608">
        <f t="shared" si="411"/>
        <v>3792845</v>
      </c>
      <c r="HA138" s="608" t="e">
        <f t="shared" si="411"/>
        <v>#REF!</v>
      </c>
      <c r="HB138" s="608">
        <f t="shared" si="411"/>
        <v>991658.56</v>
      </c>
      <c r="HC138" s="608" t="e">
        <f t="shared" si="411"/>
        <v>#DIV/0!</v>
      </c>
      <c r="HD138" s="608">
        <f t="shared" si="411"/>
        <v>1455544</v>
      </c>
      <c r="HE138" s="608">
        <f t="shared" si="411"/>
        <v>1882969</v>
      </c>
      <c r="HF138" s="608">
        <f t="shared" si="411"/>
        <v>4233818.1668750104</v>
      </c>
      <c r="HG138" s="608" t="e">
        <f t="shared" si="411"/>
        <v>#REF!</v>
      </c>
      <c r="HH138" s="608" t="e">
        <f t="shared" si="411"/>
        <v>#REF!</v>
      </c>
      <c r="HI138" s="608">
        <f t="shared" si="411"/>
        <v>24698530.958417773</v>
      </c>
      <c r="HJ138" s="608">
        <f t="shared" si="411"/>
        <v>12416145.386517435</v>
      </c>
      <c r="HK138" s="608" t="e">
        <f t="shared" si="411"/>
        <v>#REF!</v>
      </c>
      <c r="HL138" s="608">
        <f t="shared" si="411"/>
        <v>3716497.6583725004</v>
      </c>
      <c r="HM138" s="608" t="e">
        <f t="shared" si="411"/>
        <v>#REF!</v>
      </c>
      <c r="HN138" s="608" t="e">
        <f t="shared" si="411"/>
        <v>#REF!</v>
      </c>
      <c r="HO138" s="608">
        <f t="shared" si="411"/>
        <v>5728763.6877000006</v>
      </c>
      <c r="HP138" s="608">
        <f t="shared" si="411"/>
        <v>0</v>
      </c>
      <c r="HQ138" s="608">
        <f t="shared" si="411"/>
        <v>2449326.7379665528</v>
      </c>
      <c r="HR138" s="912">
        <f t="shared" si="411"/>
        <v>88445824.526452914</v>
      </c>
      <c r="HS138" s="914" t="e">
        <f>HR138/GN138</f>
        <v>#REF!</v>
      </c>
      <c r="HT138" s="912" t="e">
        <f>SUBTOTAL(9,HT2:HT134)</f>
        <v>#REF!</v>
      </c>
      <c r="HU138" s="912" t="e">
        <f ca="1">SUBTOTAL(9,HU2:HU134)</f>
        <v>#REF!</v>
      </c>
      <c r="HV138" s="965" t="e">
        <f ca="1">(HU138+HR138)/GN138</f>
        <v>#REF!</v>
      </c>
      <c r="HW138" s="912">
        <f>SUBTOTAL(9,HW2:HW134)</f>
        <v>9855548.3900000006</v>
      </c>
      <c r="HX138" s="912">
        <f>SUBTOTAL(9,HX2:HX134)</f>
        <v>40906044.176875018</v>
      </c>
      <c r="HY138" s="914" t="e">
        <f>HW138/GP138</f>
        <v>#REF!</v>
      </c>
      <c r="HZ138" s="914"/>
      <c r="IA138" s="657"/>
      <c r="IB138" s="657"/>
      <c r="IC138" s="657"/>
      <c r="ID138" s="657"/>
      <c r="IE138" s="657"/>
      <c r="IF138" s="657"/>
    </row>
    <row r="139" spans="1:240">
      <c r="I139" s="657"/>
      <c r="J139" s="657"/>
      <c r="K139" s="657"/>
      <c r="L139" s="720"/>
      <c r="AC139" s="868"/>
      <c r="AD139" s="868"/>
      <c r="AE139" s="868"/>
      <c r="AF139" s="868"/>
      <c r="AG139" s="868"/>
      <c r="AH139" s="868"/>
      <c r="AI139" s="868"/>
      <c r="AJ139" s="868"/>
      <c r="AK139" s="868"/>
      <c r="AL139" s="872"/>
      <c r="AM139" s="879"/>
      <c r="AN139" s="868"/>
      <c r="AO139" s="868"/>
      <c r="AP139" s="868"/>
      <c r="AQ139" s="868"/>
      <c r="BL139" s="137"/>
      <c r="BM139" s="137"/>
      <c r="BN139" s="137"/>
      <c r="BO139" s="959"/>
      <c r="BR139" s="137"/>
      <c r="BS139" s="137"/>
      <c r="BY139" s="137"/>
      <c r="BZ139" s="137"/>
      <c r="CA139" s="137"/>
      <c r="CB139" s="137"/>
      <c r="CC139" s="137"/>
      <c r="CD139" s="137"/>
      <c r="CE139" s="137"/>
      <c r="CF139" s="137"/>
      <c r="CG139" s="137"/>
      <c r="CH139" s="137"/>
      <c r="CI139" s="137"/>
      <c r="CJ139" s="137"/>
      <c r="CK139" s="137"/>
      <c r="CL139" s="137"/>
      <c r="CM139" s="137"/>
      <c r="CN139" s="137"/>
      <c r="CO139" s="137"/>
      <c r="CP139" s="137"/>
      <c r="DM139" s="7"/>
      <c r="DN139" s="7"/>
      <c r="DO139" s="7"/>
      <c r="DP139" s="7"/>
      <c r="DQ139" s="175"/>
      <c r="DR139" s="7"/>
      <c r="DS139" s="505"/>
      <c r="DT139" s="505"/>
      <c r="DU139" s="214"/>
      <c r="EA139" s="7"/>
      <c r="EB139" s="505"/>
      <c r="EC139" s="505"/>
      <c r="ED139" s="7"/>
      <c r="EE139" s="505"/>
      <c r="EF139" s="505"/>
      <c r="EG139" s="7"/>
      <c r="EH139" s="505"/>
      <c r="EK139" s="506"/>
      <c r="EL139" s="506"/>
      <c r="EM139" s="13"/>
      <c r="EN139" s="506"/>
      <c r="EO139" s="506"/>
      <c r="EP139" s="506"/>
      <c r="EQ139" s="7"/>
      <c r="ER139" s="7"/>
      <c r="ES139" s="7"/>
      <c r="ET139" s="137"/>
      <c r="EU139" s="7"/>
      <c r="EV139" s="7"/>
      <c r="EW139" s="7"/>
      <c r="EX139" s="7"/>
      <c r="EY139" s="7"/>
      <c r="EZ139" s="7"/>
      <c r="FA139" s="7"/>
      <c r="FB139" s="7"/>
      <c r="FC139" s="7"/>
      <c r="FD139" s="7"/>
      <c r="FE139" s="7"/>
      <c r="FF139" s="7"/>
      <c r="FG139" s="7"/>
      <c r="FH139" s="7"/>
      <c r="FI139" s="7"/>
      <c r="FJ139" s="7"/>
      <c r="FK139" s="7"/>
      <c r="FL139" s="7"/>
      <c r="FM139" s="7"/>
      <c r="FN139" s="7"/>
      <c r="FO139" s="7"/>
      <c r="FP139" s="7"/>
      <c r="FQ139" s="7"/>
      <c r="FR139" s="7"/>
      <c r="FS139" s="7"/>
      <c r="FT139" s="7"/>
      <c r="FU139" s="7"/>
      <c r="FV139" s="7"/>
      <c r="FW139" s="7"/>
      <c r="FX139" s="7"/>
      <c r="FY139" s="7"/>
      <c r="FZ139" s="7"/>
      <c r="GA139" s="7"/>
      <c r="GB139" s="7"/>
      <c r="GC139" s="7"/>
      <c r="GD139" s="7"/>
      <c r="GE139" s="7"/>
      <c r="GF139" s="7"/>
      <c r="GG139" s="7"/>
      <c r="GH139" s="7"/>
      <c r="GI139" s="7"/>
      <c r="GJ139" s="7"/>
      <c r="GK139" s="7"/>
      <c r="GL139" s="7"/>
      <c r="GM139" s="7"/>
      <c r="GN139" s="214"/>
      <c r="GO139" s="7"/>
      <c r="GP139" s="214"/>
      <c r="GQ139" s="7"/>
      <c r="GR139" s="7"/>
      <c r="GS139" s="7"/>
      <c r="GT139" s="7"/>
      <c r="GU139" s="7"/>
      <c r="GV139" s="7"/>
      <c r="GW139" s="7"/>
      <c r="GX139" s="7"/>
      <c r="GY139" s="7"/>
      <c r="GZ139" s="7"/>
      <c r="HA139" s="7"/>
      <c r="HB139" s="7"/>
      <c r="HC139" s="7"/>
      <c r="HD139" s="7"/>
      <c r="HE139" s="7"/>
      <c r="HF139" s="7"/>
      <c r="HG139" s="7"/>
      <c r="HH139" s="7"/>
      <c r="HI139" s="7"/>
      <c r="HJ139" s="7"/>
      <c r="HK139" s="7"/>
      <c r="HL139" s="7"/>
      <c r="HM139" s="7"/>
      <c r="HN139" s="7"/>
      <c r="HO139" s="7"/>
      <c r="HP139" s="7"/>
      <c r="HQ139" s="7"/>
      <c r="HR139" s="214"/>
      <c r="HS139" s="7"/>
      <c r="HT139" s="7"/>
      <c r="HU139" s="7"/>
      <c r="HV139" s="7"/>
      <c r="HW139" s="7"/>
      <c r="HX139" s="7"/>
      <c r="HY139" s="7"/>
      <c r="HZ139" s="7"/>
      <c r="IA139" s="13" t="e">
        <f>SUBTOTAL(9,IA24:IA36)</f>
        <v>#REF!</v>
      </c>
    </row>
    <row r="140" spans="1:240">
      <c r="I140" s="657"/>
      <c r="J140" s="657"/>
      <c r="K140" s="657"/>
      <c r="L140" s="720"/>
      <c r="AC140" s="176"/>
      <c r="AJ140" s="24"/>
      <c r="BL140" s="137"/>
      <c r="BM140" s="137"/>
      <c r="BN140" s="137"/>
      <c r="BO140" s="959"/>
      <c r="BR140" s="137"/>
      <c r="BS140" s="137"/>
      <c r="BY140" s="137"/>
      <c r="BZ140" s="137"/>
      <c r="CA140" s="137"/>
      <c r="CB140" s="137"/>
      <c r="CC140" s="137"/>
      <c r="CD140" s="137"/>
      <c r="CE140" s="137"/>
      <c r="CF140" s="137"/>
      <c r="CG140" s="137"/>
      <c r="CH140" s="137"/>
      <c r="CI140" s="137"/>
      <c r="CJ140" s="137"/>
      <c r="CK140" s="137"/>
      <c r="CL140" s="137"/>
      <c r="CM140" s="137"/>
      <c r="CN140" s="137"/>
      <c r="CO140" s="137"/>
      <c r="CP140" s="137"/>
      <c r="DQ140" s="175"/>
      <c r="DR140" s="7"/>
      <c r="EK140" s="506"/>
      <c r="EL140" s="506"/>
      <c r="EM140" s="13"/>
      <c r="EN140" s="506"/>
      <c r="EO140" s="506"/>
      <c r="EP140" s="506"/>
      <c r="EU140" s="7"/>
      <c r="EV140" s="7"/>
      <c r="EX140" s="7"/>
      <c r="EY140" s="7"/>
      <c r="HA140" s="112"/>
      <c r="HB140" s="112"/>
      <c r="HC140" s="13"/>
      <c r="HD140" s="13"/>
      <c r="HE140" s="13"/>
      <c r="HF140" s="13"/>
      <c r="HG140" s="13"/>
      <c r="HH140" s="13"/>
      <c r="HP140" s="30"/>
    </row>
    <row r="141" spans="1:240">
      <c r="I141" s="657"/>
      <c r="J141" s="657"/>
      <c r="K141" s="657"/>
      <c r="L141" s="720"/>
      <c r="AX141" s="13"/>
      <c r="AY141" s="13"/>
      <c r="BI141" s="13"/>
      <c r="BJ141" s="13"/>
      <c r="BK141" s="13"/>
      <c r="BL141" s="13"/>
      <c r="BM141" s="13"/>
      <c r="BN141" s="13"/>
      <c r="BO141" s="307"/>
      <c r="BP141" s="13"/>
      <c r="BQ141" s="13"/>
      <c r="BR141" s="13"/>
      <c r="BS141" s="13"/>
      <c r="BT141" s="13"/>
      <c r="BU141" s="13"/>
      <c r="BV141" s="13"/>
      <c r="BW141" s="13"/>
      <c r="BX141" s="13"/>
      <c r="BY141" s="137"/>
      <c r="BZ141" s="137"/>
      <c r="CA141" s="137"/>
      <c r="CB141" s="137"/>
      <c r="CC141" s="137"/>
      <c r="CD141" s="137"/>
      <c r="CE141" s="137"/>
      <c r="CF141" s="137"/>
      <c r="CG141" s="137"/>
      <c r="CH141" s="137"/>
      <c r="CI141" s="137"/>
      <c r="CJ141" s="137"/>
      <c r="CK141" s="137"/>
      <c r="CL141" s="137"/>
      <c r="CM141" s="137"/>
      <c r="CN141" s="137"/>
      <c r="CO141" s="137"/>
      <c r="CP141" s="137"/>
      <c r="DQ141" s="175"/>
      <c r="DR141" s="7"/>
      <c r="EK141" s="506"/>
      <c r="EL141" s="506"/>
      <c r="EM141" s="13"/>
      <c r="EN141" s="506"/>
      <c r="EO141" s="506"/>
      <c r="EP141" s="506"/>
      <c r="GL141" s="553"/>
      <c r="GM141" s="553"/>
      <c r="HA141" s="222"/>
      <c r="HB141" s="54"/>
      <c r="HC141" s="56"/>
      <c r="HD141" s="56"/>
      <c r="HE141" s="56"/>
      <c r="HF141" s="13"/>
      <c r="HG141" s="55"/>
      <c r="HH141" s="55"/>
      <c r="HP141" s="30"/>
    </row>
    <row r="142" spans="1:240" ht="34.15" customHeight="1">
      <c r="A142" s="714"/>
      <c r="B142" s="714"/>
      <c r="C142" s="113"/>
      <c r="I142" s="657"/>
      <c r="J142" s="657"/>
      <c r="K142" s="657"/>
      <c r="L142" s="720"/>
      <c r="AK142" s="13"/>
      <c r="BW142" s="786">
        <f>BT72+BW72</f>
        <v>0</v>
      </c>
      <c r="BX142" s="786"/>
      <c r="EK142" s="506"/>
      <c r="EL142" s="506"/>
      <c r="EM142" s="13"/>
      <c r="EN142" s="506"/>
      <c r="EO142" s="506"/>
      <c r="EP142" s="506"/>
      <c r="ER142" s="176"/>
      <c r="EU142" s="176"/>
      <c r="GN142" s="913">
        <f>GN139*1.2944%</f>
        <v>0</v>
      </c>
      <c r="GO142" s="111"/>
      <c r="GP142" s="223"/>
      <c r="HD142" s="58">
        <f>SUBTOTAL(9,HD143:HD144)</f>
        <v>5521553</v>
      </c>
      <c r="HE142" s="58"/>
      <c r="HF142" s="58">
        <f>SUBTOTAL(9,HF143:HF144)</f>
        <v>358</v>
      </c>
      <c r="HG142" s="194">
        <f t="shared" ref="HG142:HG149" si="412">HD142/HF142</f>
        <v>15423.332402234637</v>
      </c>
      <c r="HH142" s="55"/>
      <c r="HP142" s="30"/>
      <c r="HQ142" s="112"/>
      <c r="HR142" s="223"/>
      <c r="HS142" s="112"/>
      <c r="HT142" s="112"/>
      <c r="HU142" s="112"/>
      <c r="HV142" s="112"/>
      <c r="HW142" s="112"/>
      <c r="HX142" s="112"/>
      <c r="HY142" s="112"/>
      <c r="HZ142" s="112"/>
    </row>
    <row r="143" spans="1:240">
      <c r="AG143" s="24"/>
      <c r="AH143" s="24"/>
      <c r="AI143" s="24"/>
      <c r="AJ143" s="24"/>
      <c r="EK143" s="506"/>
      <c r="EL143" s="506"/>
      <c r="EM143" s="13"/>
      <c r="EN143" s="506"/>
      <c r="EO143" s="506"/>
      <c r="EP143" s="506"/>
      <c r="ER143" s="176"/>
      <c r="EU143" s="176"/>
      <c r="GN143" s="25">
        <f>GN139*1.204232%</f>
        <v>0</v>
      </c>
      <c r="GP143" s="223"/>
      <c r="HD143" s="112">
        <v>4441553</v>
      </c>
      <c r="HE143" s="112"/>
      <c r="HF143" s="112">
        <v>304</v>
      </c>
      <c r="HG143" s="195">
        <f t="shared" si="412"/>
        <v>14610.371710526315</v>
      </c>
      <c r="HH143" s="13"/>
      <c r="HP143" s="30"/>
      <c r="HR143" s="223"/>
      <c r="HS143" s="112"/>
      <c r="HT143" s="112"/>
      <c r="HU143" s="112"/>
      <c r="HV143" s="112"/>
      <c r="HW143" s="112"/>
      <c r="HX143" s="112"/>
      <c r="HY143" s="112"/>
      <c r="HZ143" s="112"/>
    </row>
    <row r="144" spans="1:240">
      <c r="A144" s="715"/>
      <c r="B144" s="715"/>
      <c r="E144" s="114"/>
      <c r="AE144" s="176"/>
      <c r="AF144" s="176"/>
      <c r="AG144" s="176"/>
      <c r="AH144" s="176"/>
      <c r="AI144" s="176"/>
      <c r="EK144" s="506"/>
      <c r="EL144" s="506"/>
      <c r="EM144" s="13"/>
      <c r="EN144" s="506"/>
      <c r="EO144" s="506"/>
      <c r="EP144" s="506"/>
      <c r="GJ144" s="138"/>
      <c r="GK144" s="138"/>
      <c r="GL144" s="553"/>
      <c r="GM144" s="553"/>
      <c r="GN144" s="913">
        <f>GN142-GN143</f>
        <v>0</v>
      </c>
      <c r="GO144" s="111"/>
      <c r="HD144" s="13">
        <v>1080000</v>
      </c>
      <c r="HE144" s="13"/>
      <c r="HF144" s="193">
        <v>54</v>
      </c>
      <c r="HG144" s="195">
        <f t="shared" si="412"/>
        <v>20000</v>
      </c>
      <c r="HH144" s="13"/>
    </row>
    <row r="145" spans="3:225" ht="26.45" customHeight="1">
      <c r="P145" s="115"/>
      <c r="Q145" s="115" t="s">
        <v>43</v>
      </c>
      <c r="S145" s="114"/>
      <c r="AD145" s="110"/>
      <c r="AE145" s="24"/>
      <c r="AF145" s="24"/>
      <c r="AX145" s="13"/>
      <c r="AY145" s="13"/>
      <c r="BL145" s="139"/>
      <c r="BM145" s="139"/>
      <c r="BN145" s="139"/>
      <c r="BO145" s="962"/>
      <c r="BP145" s="139"/>
      <c r="BQ145" s="139"/>
      <c r="BR145" s="139"/>
      <c r="BS145" s="139"/>
      <c r="BT145" s="139"/>
      <c r="BU145" s="139"/>
      <c r="BV145" s="139"/>
      <c r="BW145" s="139"/>
      <c r="BX145" s="139"/>
      <c r="BY145" s="139"/>
      <c r="CL145" s="138"/>
      <c r="CM145" s="138"/>
      <c r="CN145" s="138"/>
      <c r="CO145" s="138"/>
      <c r="CP145" s="138"/>
      <c r="EK145" s="506"/>
      <c r="EL145" s="506"/>
      <c r="EM145" s="13"/>
      <c r="EN145" s="506"/>
      <c r="EO145" s="506"/>
      <c r="EP145" s="506"/>
      <c r="GJ145" s="138"/>
      <c r="GK145" s="138"/>
      <c r="GL145" s="553"/>
      <c r="GM145" s="553"/>
      <c r="HD145" s="58">
        <f>SUBTOTAL(9,HD146:HD147)</f>
        <v>6045000</v>
      </c>
      <c r="HE145" s="58"/>
      <c r="HF145" s="58">
        <f>SUBTOTAL(9,HF146:HF147)</f>
        <v>366</v>
      </c>
      <c r="HG145" s="194">
        <f t="shared" si="412"/>
        <v>16516.39344262295</v>
      </c>
      <c r="HH145" s="194">
        <f>376*HG146</f>
        <v>5925458.1939799329</v>
      </c>
    </row>
    <row r="146" spans="3:225">
      <c r="P146" s="111"/>
      <c r="Q146" s="111" t="e">
        <f>SUMPRODUCT((Ville=A224)*(#REF!))</f>
        <v>#REF!</v>
      </c>
      <c r="S146" s="114"/>
      <c r="AD146" s="110"/>
      <c r="AE146" s="24"/>
      <c r="AF146" s="24"/>
      <c r="AX146" s="13"/>
      <c r="AY146" s="13"/>
      <c r="BL146" s="139"/>
      <c r="BM146" s="139"/>
      <c r="BN146" s="139"/>
      <c r="BO146" s="962"/>
      <c r="BP146" s="139"/>
      <c r="BQ146" s="139"/>
      <c r="BR146" s="139"/>
      <c r="BS146" s="139"/>
      <c r="BT146" s="139"/>
      <c r="BU146" s="139"/>
      <c r="BV146" s="139"/>
      <c r="BW146" s="139"/>
      <c r="BX146" s="139"/>
      <c r="BY146" s="139"/>
      <c r="CL146" s="138"/>
      <c r="CM146" s="138"/>
      <c r="CN146" s="138"/>
      <c r="CO146" s="138"/>
      <c r="CP146" s="138"/>
      <c r="CU146" s="658"/>
      <c r="CV146" s="657"/>
      <c r="CW146" s="658"/>
      <c r="EK146" s="506"/>
      <c r="EL146" s="506"/>
      <c r="EM146" s="13"/>
      <c r="EN146" s="506"/>
      <c r="EO146" s="506"/>
      <c r="EP146" s="506"/>
      <c r="GJ146" s="138"/>
      <c r="GK146" s="138"/>
      <c r="GL146" s="553"/>
      <c r="GM146" s="553"/>
      <c r="HD146" s="112">
        <v>4712000</v>
      </c>
      <c r="HE146" s="112"/>
      <c r="HF146" s="13">
        <v>299</v>
      </c>
      <c r="HG146" s="195">
        <f t="shared" si="412"/>
        <v>15759.197324414716</v>
      </c>
      <c r="HH146" s="13"/>
    </row>
    <row r="147" spans="3:225">
      <c r="P147" s="111"/>
      <c r="Q147" s="111" t="e">
        <f>SUMPRODUCT((Ville=A225)*(#REF!))</f>
        <v>#REF!</v>
      </c>
      <c r="AD147" s="110"/>
      <c r="AE147" s="24"/>
      <c r="AF147" s="24"/>
      <c r="AX147" s="13"/>
      <c r="AY147" s="13"/>
      <c r="BL147" s="139"/>
      <c r="BM147" s="139"/>
      <c r="BN147" s="139"/>
      <c r="BO147" s="962"/>
      <c r="BP147" s="139"/>
      <c r="BQ147" s="139"/>
      <c r="BR147" s="139"/>
      <c r="BS147" s="139"/>
      <c r="BT147" s="139"/>
      <c r="BU147" s="139"/>
      <c r="BV147" s="139"/>
      <c r="BW147" s="139"/>
      <c r="BX147" s="139"/>
      <c r="BY147" s="139"/>
      <c r="CL147" s="138"/>
      <c r="CM147" s="138"/>
      <c r="CN147" s="138"/>
      <c r="CO147" s="138"/>
      <c r="CP147" s="138"/>
      <c r="EK147" s="506"/>
      <c r="EL147" s="506"/>
      <c r="EM147" s="13"/>
      <c r="EN147" s="506"/>
      <c r="EO147" s="506"/>
      <c r="EP147" s="506"/>
      <c r="GJ147" s="138"/>
      <c r="GK147" s="138"/>
      <c r="GL147" s="553"/>
      <c r="GM147" s="553"/>
      <c r="HD147" s="112">
        <v>1333000</v>
      </c>
      <c r="HE147" s="112"/>
      <c r="HF147" s="13">
        <v>67</v>
      </c>
      <c r="HG147" s="195">
        <f t="shared" si="412"/>
        <v>19895.5223880597</v>
      </c>
      <c r="HH147" s="13"/>
    </row>
    <row r="148" spans="3:225" ht="28.5" customHeight="1">
      <c r="P148" s="111"/>
      <c r="Q148" s="111" t="e">
        <f>SUMPRODUCT((Ville=A226)*(#REF!))</f>
        <v>#REF!</v>
      </c>
      <c r="AD148" s="110"/>
      <c r="AE148" s="24"/>
      <c r="AF148" s="24"/>
      <c r="AG148" s="13">
        <f>160000*33</f>
        <v>5280000</v>
      </c>
      <c r="AX148" s="13"/>
      <c r="AY148" s="13"/>
      <c r="BL148" s="139"/>
      <c r="BM148" s="139"/>
      <c r="BN148" s="139"/>
      <c r="BO148" s="962"/>
      <c r="BP148" s="139"/>
      <c r="BQ148" s="139"/>
      <c r="BR148" s="139"/>
      <c r="BS148" s="139"/>
      <c r="BT148" s="139"/>
      <c r="BU148" s="139"/>
      <c r="BV148" s="139"/>
      <c r="BW148" s="139"/>
      <c r="BX148" s="139"/>
      <c r="BY148" s="139"/>
      <c r="CL148" s="138"/>
      <c r="CM148" s="138"/>
      <c r="CN148" s="138"/>
      <c r="CO148" s="138"/>
      <c r="CP148" s="138"/>
      <c r="EK148" s="506"/>
      <c r="EL148" s="506"/>
      <c r="EM148" s="13"/>
      <c r="EN148" s="506"/>
      <c r="EO148" s="506"/>
      <c r="EP148" s="506"/>
      <c r="GJ148" s="138"/>
      <c r="GK148" s="138"/>
      <c r="GL148" s="553"/>
      <c r="GM148" s="553"/>
      <c r="HD148" s="58">
        <f>SUBTOTAL(9,HD149:HD150)</f>
        <v>5000000</v>
      </c>
      <c r="HE148" s="58"/>
      <c r="HF148" s="25">
        <f>SUBTOTAL(9,HF149:HF150)</f>
        <v>298</v>
      </c>
      <c r="HG148" s="194">
        <f t="shared" si="412"/>
        <v>16778.523489932886</v>
      </c>
      <c r="HH148" s="13"/>
    </row>
    <row r="149" spans="3:225">
      <c r="P149" s="111"/>
      <c r="Q149" s="111" t="e">
        <f>SUMPRODUCT((Ville=A227)*(#REF!))</f>
        <v>#REF!</v>
      </c>
      <c r="R149" s="111"/>
      <c r="AD149" s="110"/>
      <c r="AE149" s="24"/>
      <c r="AF149" s="24"/>
      <c r="AX149" s="13"/>
      <c r="AY149" s="13"/>
      <c r="BL149" s="139"/>
      <c r="BM149" s="139"/>
      <c r="BN149" s="139"/>
      <c r="BO149" s="962"/>
      <c r="BP149" s="139"/>
      <c r="BQ149" s="139"/>
      <c r="BR149" s="139"/>
      <c r="BS149" s="139"/>
      <c r="BT149" s="139"/>
      <c r="BU149" s="139"/>
      <c r="BV149" s="139"/>
      <c r="BW149" s="139"/>
      <c r="BX149" s="139"/>
      <c r="BY149" s="139"/>
      <c r="CL149" s="138"/>
      <c r="CM149" s="138"/>
      <c r="CN149" s="138"/>
      <c r="CO149" s="138"/>
      <c r="CP149" s="138"/>
      <c r="EK149" s="506"/>
      <c r="EL149" s="506"/>
      <c r="EM149" s="13"/>
      <c r="EN149" s="506"/>
      <c r="EO149" s="506"/>
      <c r="EP149" s="506"/>
      <c r="ER149" s="176"/>
      <c r="EU149" s="176"/>
      <c r="HD149" s="112">
        <v>5000000</v>
      </c>
      <c r="HE149" s="112"/>
      <c r="HF149" s="13">
        <v>298</v>
      </c>
      <c r="HG149" s="195">
        <f t="shared" si="412"/>
        <v>16778.523489932886</v>
      </c>
      <c r="HH149" s="13">
        <v>298</v>
      </c>
    </row>
    <row r="150" spans="3:225">
      <c r="P150" s="111"/>
      <c r="Q150" s="111"/>
      <c r="R150" s="111"/>
      <c r="AD150" s="110"/>
      <c r="AE150" s="24"/>
      <c r="AF150" s="24"/>
      <c r="AX150" s="13"/>
      <c r="AY150" s="13"/>
      <c r="BL150" s="139"/>
      <c r="BM150" s="139"/>
      <c r="BN150" s="139"/>
      <c r="BO150" s="962"/>
      <c r="BP150" s="139"/>
      <c r="BQ150" s="139"/>
      <c r="BR150" s="139"/>
      <c r="BS150" s="139"/>
      <c r="BT150" s="139"/>
      <c r="BU150" s="139"/>
      <c r="BV150" s="139"/>
      <c r="BW150" s="139"/>
      <c r="BX150" s="139"/>
      <c r="BY150" s="139"/>
      <c r="CL150" s="138"/>
      <c r="CM150" s="138"/>
      <c r="CN150" s="138"/>
      <c r="CO150" s="138"/>
      <c r="CP150" s="138"/>
      <c r="EK150" s="506"/>
      <c r="EL150" s="506"/>
      <c r="EM150" s="13"/>
      <c r="EN150" s="506"/>
      <c r="EO150" s="506"/>
      <c r="EP150" s="506"/>
      <c r="HD150" s="13"/>
      <c r="HE150" s="13"/>
      <c r="HF150" s="13"/>
      <c r="HG150" s="13"/>
      <c r="HH150" s="13"/>
    </row>
    <row r="151" spans="3:225">
      <c r="P151" s="111"/>
      <c r="Q151" s="111"/>
      <c r="R151" s="111"/>
      <c r="AD151" s="110"/>
      <c r="AE151" s="24"/>
      <c r="AF151" s="24"/>
      <c r="AX151" s="13"/>
      <c r="AY151" s="13"/>
      <c r="BL151" s="139"/>
      <c r="BM151" s="139"/>
      <c r="BN151" s="139"/>
      <c r="BO151" s="962"/>
      <c r="BP151" s="139"/>
      <c r="BQ151" s="139"/>
      <c r="BR151" s="139"/>
      <c r="BS151" s="139"/>
      <c r="BT151" s="139"/>
      <c r="BU151" s="139"/>
      <c r="BV151" s="139"/>
      <c r="BW151" s="139"/>
      <c r="BX151" s="139"/>
      <c r="BY151" s="139"/>
      <c r="CL151" s="138"/>
      <c r="CM151" s="138"/>
      <c r="CN151" s="138"/>
      <c r="CO151" s="138"/>
      <c r="CP151" s="138"/>
      <c r="EK151" s="506"/>
      <c r="EL151" s="506"/>
      <c r="EM151" s="13"/>
      <c r="EN151" s="506"/>
      <c r="EO151" s="506"/>
      <c r="EP151" s="506"/>
      <c r="HA151" s="13"/>
      <c r="HB151" s="13"/>
      <c r="HC151" s="13"/>
      <c r="HD151" s="226"/>
      <c r="HE151" s="226"/>
      <c r="HF151" s="13"/>
      <c r="HG151" s="13"/>
      <c r="HH151" s="13"/>
    </row>
    <row r="152" spans="3:225" ht="15.75" thickBot="1">
      <c r="P152" s="111"/>
      <c r="Q152" s="111" t="e">
        <f>SUMPRODUCT((Ville=A228)*(#REF!))</f>
        <v>#REF!</v>
      </c>
      <c r="R152" s="111"/>
      <c r="AD152" s="110"/>
      <c r="AE152" s="24"/>
      <c r="AF152" s="24"/>
      <c r="AG152" s="657"/>
      <c r="AX152" s="13"/>
      <c r="AY152" s="13"/>
      <c r="BL152" s="139"/>
      <c r="BM152" s="139"/>
      <c r="BN152" s="139"/>
      <c r="BO152" s="962"/>
      <c r="BP152" s="139"/>
      <c r="BQ152" s="139"/>
      <c r="BR152" s="139"/>
      <c r="BS152" s="139"/>
      <c r="BT152" s="139"/>
      <c r="BU152" s="139"/>
      <c r="BV152" s="139"/>
      <c r="BW152" s="139"/>
      <c r="BX152" s="139"/>
      <c r="BY152" s="139"/>
      <c r="CL152" s="138"/>
      <c r="CM152" s="138"/>
      <c r="CN152" s="138"/>
      <c r="CO152" s="138"/>
      <c r="CP152" s="138"/>
      <c r="EK152" s="506"/>
      <c r="EL152" s="506"/>
      <c r="EM152" s="13"/>
      <c r="EN152" s="506"/>
      <c r="EO152" s="506"/>
      <c r="EP152" s="506"/>
      <c r="HA152" s="13"/>
      <c r="HB152" s="13"/>
      <c r="HC152" s="13"/>
      <c r="HD152" s="223"/>
      <c r="HE152" s="223"/>
      <c r="HF152" s="13"/>
      <c r="HG152" s="13"/>
      <c r="HH152" s="13" t="s">
        <v>422</v>
      </c>
      <c r="HJ152" s="13" t="s">
        <v>423</v>
      </c>
    </row>
    <row r="153" spans="3:225" ht="15.75" thickBot="1">
      <c r="C153" s="204"/>
      <c r="D153" s="340" t="s">
        <v>147</v>
      </c>
      <c r="E153" s="340" t="s">
        <v>705</v>
      </c>
      <c r="F153" s="340" t="s">
        <v>537</v>
      </c>
      <c r="G153" s="341" t="s">
        <v>704</v>
      </c>
      <c r="H153" s="341" t="s">
        <v>146</v>
      </c>
      <c r="I153" s="341" t="s">
        <v>510</v>
      </c>
      <c r="J153" s="341" t="s">
        <v>145</v>
      </c>
      <c r="K153" s="341" t="s">
        <v>371</v>
      </c>
      <c r="P153" s="111"/>
      <c r="Q153" s="111" t="e">
        <f>SUMPRODUCT((Ville=A229)*(#REF!))</f>
        <v>#REF!</v>
      </c>
      <c r="R153" s="111"/>
      <c r="AD153" s="110"/>
      <c r="AE153" s="24"/>
      <c r="AF153" s="24"/>
      <c r="AX153" s="13"/>
      <c r="AY153" s="13"/>
      <c r="BL153" s="139"/>
      <c r="BM153" s="139"/>
      <c r="BN153" s="139"/>
      <c r="BO153" s="962"/>
      <c r="BP153" s="139"/>
      <c r="BQ153" s="139"/>
      <c r="BR153" s="139"/>
      <c r="BS153" s="139"/>
      <c r="BT153" s="139"/>
      <c r="BU153" s="139"/>
      <c r="BV153" s="139"/>
      <c r="BW153" s="139"/>
      <c r="BX153" s="139"/>
      <c r="BY153" s="139"/>
      <c r="CL153" s="138"/>
      <c r="CM153" s="138"/>
      <c r="CN153" s="138"/>
      <c r="CO153" s="138"/>
      <c r="CP153" s="138"/>
      <c r="EK153" s="506"/>
      <c r="EL153" s="506"/>
      <c r="EM153" s="13"/>
      <c r="EN153" s="506"/>
      <c r="EO153" s="506"/>
      <c r="EP153" s="506"/>
      <c r="GU153" s="99"/>
      <c r="GV153" s="99"/>
      <c r="GW153" s="32"/>
      <c r="GX153" s="32"/>
      <c r="GY153" s="571" t="s">
        <v>410</v>
      </c>
      <c r="GZ153" s="99"/>
      <c r="HA153" s="99"/>
      <c r="HB153" s="99"/>
      <c r="HC153" s="99"/>
      <c r="HD153" s="112" t="e">
        <f>SUMPRODUCT((Prog=2017)*(Type&lt;&gt;"Rehab")*(Type&lt;&gt;"PLS")*(LBU))</f>
        <v>#REF!</v>
      </c>
      <c r="HE153" s="112"/>
      <c r="HF153" s="99"/>
      <c r="HG153" s="195" t="e">
        <f>HD153/#REF!</f>
        <v>#REF!</v>
      </c>
      <c r="HH153" s="112" t="e">
        <f>HD153-#REF!-#REF!-#REF!-#REF!</f>
        <v>#REF!</v>
      </c>
      <c r="HJ153" s="13" t="s">
        <v>421</v>
      </c>
    </row>
    <row r="154" spans="3:225">
      <c r="C154" s="339" t="s">
        <v>300</v>
      </c>
      <c r="D154" s="346">
        <f>SUMPRODUCT((RO="ADE")*(Ass=$D$153)*(Avancement&lt;&gt;"patrimoine"))</f>
        <v>0</v>
      </c>
      <c r="E154" s="346">
        <f>SUMPRODUCT((RO=C154)*(Ass=$E$153)*(Avancement&lt;&gt;"patrimoine"))</f>
        <v>0</v>
      </c>
      <c r="F154" s="346">
        <f t="shared" ref="F154:F161" si="413">SUMPRODUCT((RO=C154)*(Ass=$F$153)*(Avancement&lt;&gt;"patrimoine"))</f>
        <v>0</v>
      </c>
      <c r="G154" s="346">
        <f t="shared" ref="G154:G161" si="414">SUMPRODUCT((RO=C154)*(Ass=$G$153)*(Avancement&lt;&gt;"patrimoine"))</f>
        <v>0</v>
      </c>
      <c r="H154" s="347">
        <f t="shared" ref="H154:H161" si="415">SUMPRODUCT((RO=C154)*(Ass=$H$153)*(Avancement&lt;&gt;"patrimoine"))</f>
        <v>0</v>
      </c>
      <c r="I154" s="346">
        <f t="shared" ref="I154:I161" si="416">SUMPRODUCT((RO=C154)*(Ass=$I$153)*(Avancement&lt;&gt;"patrimoine"))</f>
        <v>0</v>
      </c>
      <c r="J154" s="346">
        <f t="shared" ref="J154:J161" si="417">SUMPRODUCT((RO=C154)*(Ass=$J$153)*(Avancement&lt;&gt;"patrimoine"))</f>
        <v>0</v>
      </c>
      <c r="K154" s="346">
        <f t="shared" ref="K154:K161" si="418">SUMPRODUCT((RO=C154)*(Ass=$K$153)*(Avancement&lt;&gt;"patrimoine"))</f>
        <v>0</v>
      </c>
      <c r="P154" s="111"/>
      <c r="Q154" s="111" t="e">
        <f>SUMPRODUCT((Ville=A230)*(#REF!))</f>
        <v>#REF!</v>
      </c>
      <c r="R154" s="111"/>
      <c r="AD154" s="110"/>
      <c r="AE154" s="24"/>
      <c r="AF154" s="24"/>
      <c r="AX154" s="13"/>
      <c r="AY154" s="13"/>
      <c r="BL154" s="139"/>
      <c r="BM154" s="139"/>
      <c r="BN154" s="139"/>
      <c r="BO154" s="962"/>
      <c r="BP154" s="139"/>
      <c r="BQ154" s="139"/>
      <c r="BR154" s="139"/>
      <c r="BS154" s="139"/>
      <c r="BT154" s="139"/>
      <c r="BU154" s="139"/>
      <c r="BV154" s="139"/>
      <c r="BW154" s="139"/>
      <c r="BX154" s="139"/>
      <c r="BY154" s="139"/>
      <c r="CL154" s="138"/>
      <c r="CM154" s="138"/>
      <c r="CN154" s="138"/>
      <c r="CO154" s="138"/>
      <c r="CP154" s="138"/>
      <c r="EK154" s="506"/>
      <c r="EL154" s="506"/>
      <c r="EM154" s="13"/>
      <c r="EN154" s="506"/>
      <c r="EO154" s="506"/>
      <c r="EP154" s="506"/>
      <c r="GU154" s="116"/>
      <c r="GV154" s="117"/>
      <c r="GY154" s="527" t="s">
        <v>340</v>
      </c>
      <c r="GZ154" s="99"/>
      <c r="HA154" s="99"/>
      <c r="HB154" s="99"/>
      <c r="HC154" s="99"/>
      <c r="HD154" s="112" t="e">
        <f>SUMPRODUCT((Prog=2017)*(Type="Rehab")*(LBU))</f>
        <v>#REF!</v>
      </c>
      <c r="HE154" s="112"/>
      <c r="HF154" s="99"/>
      <c r="HG154" s="195" t="e">
        <f>HD154/#REF!</f>
        <v>#REF!</v>
      </c>
      <c r="HH154" s="13"/>
    </row>
    <row r="155" spans="3:225">
      <c r="C155" s="344" t="s">
        <v>119</v>
      </c>
      <c r="D155" s="799">
        <f t="shared" ref="D155:D161" si="419">SUMPRODUCT((RO=C155)*(Ass=$D$153)*(Avancement&lt;&gt;"patrimoine"))</f>
        <v>1</v>
      </c>
      <c r="E155" s="347">
        <f t="shared" ref="E155:E161" si="420">SUMPRODUCT((RO=C155)*(Ass=$E$153)*(Avancement&lt;&gt;"patrimoine"))</f>
        <v>0</v>
      </c>
      <c r="F155" s="347">
        <f t="shared" si="413"/>
        <v>0</v>
      </c>
      <c r="G155" s="347">
        <f t="shared" si="414"/>
        <v>0</v>
      </c>
      <c r="H155" s="347">
        <f t="shared" si="415"/>
        <v>0</v>
      </c>
      <c r="I155" s="347">
        <f t="shared" si="416"/>
        <v>0</v>
      </c>
      <c r="J155" s="347">
        <f t="shared" si="417"/>
        <v>2</v>
      </c>
      <c r="K155" s="347">
        <f t="shared" si="418"/>
        <v>0</v>
      </c>
      <c r="P155" s="111"/>
      <c r="Q155" s="111" t="e">
        <f>SUMPRODUCT((Ville=A231)*(#REF!))</f>
        <v>#REF!</v>
      </c>
      <c r="R155" s="111"/>
      <c r="AD155" s="110"/>
      <c r="AE155" s="24"/>
      <c r="AF155" s="24"/>
      <c r="AX155" s="13"/>
      <c r="AY155" s="13"/>
      <c r="BL155" s="139"/>
      <c r="BM155" s="139"/>
      <c r="BN155" s="139"/>
      <c r="BO155" s="962"/>
      <c r="BP155" s="139"/>
      <c r="BQ155" s="139"/>
      <c r="BR155" s="139"/>
      <c r="BS155" s="139"/>
      <c r="BT155" s="139"/>
      <c r="BU155" s="139"/>
      <c r="BV155" s="139"/>
      <c r="BW155" s="139"/>
      <c r="BX155" s="139"/>
      <c r="BY155" s="139"/>
      <c r="CL155" s="138"/>
      <c r="CM155" s="138"/>
      <c r="CN155" s="138"/>
      <c r="CO155" s="138"/>
      <c r="CP155" s="138"/>
      <c r="EK155" s="506"/>
      <c r="EL155" s="506"/>
      <c r="EM155" s="13"/>
      <c r="EN155" s="506"/>
      <c r="EO155" s="506"/>
      <c r="EP155" s="506"/>
      <c r="GU155" s="116"/>
      <c r="GV155" s="117"/>
      <c r="GY155" s="527"/>
      <c r="GZ155" s="99"/>
      <c r="HA155" s="99"/>
      <c r="HB155" s="99"/>
      <c r="HC155" s="99"/>
      <c r="HD155" s="112"/>
      <c r="HE155" s="112"/>
      <c r="HF155" s="99"/>
      <c r="HG155" s="195"/>
      <c r="HH155" s="13"/>
    </row>
    <row r="156" spans="3:225">
      <c r="C156" s="344" t="s">
        <v>854</v>
      </c>
      <c r="D156" s="347">
        <f t="shared" si="419"/>
        <v>0</v>
      </c>
      <c r="E156" s="347">
        <f t="shared" si="420"/>
        <v>3</v>
      </c>
      <c r="F156" s="347">
        <f t="shared" si="413"/>
        <v>2</v>
      </c>
      <c r="G156" s="347">
        <f t="shared" si="414"/>
        <v>0</v>
      </c>
      <c r="H156" s="347">
        <f t="shared" si="415"/>
        <v>0</v>
      </c>
      <c r="I156" s="347">
        <f t="shared" si="416"/>
        <v>0</v>
      </c>
      <c r="J156" s="347">
        <f t="shared" si="417"/>
        <v>0</v>
      </c>
      <c r="K156" s="347">
        <f t="shared" si="418"/>
        <v>2</v>
      </c>
      <c r="P156" s="111"/>
      <c r="Q156" s="111" t="e">
        <f>SUMPRODUCT((Ville=A232)*(#REF!))</f>
        <v>#REF!</v>
      </c>
      <c r="R156" s="111"/>
      <c r="AD156" s="110"/>
      <c r="AE156" s="24"/>
      <c r="AF156" s="24"/>
      <c r="AX156" s="13"/>
      <c r="AY156" s="13"/>
      <c r="BL156" s="139"/>
      <c r="BM156" s="139"/>
      <c r="BN156" s="139"/>
      <c r="BO156" s="962"/>
      <c r="BP156" s="139"/>
      <c r="BQ156" s="139"/>
      <c r="BR156" s="139"/>
      <c r="BS156" s="139"/>
      <c r="BT156" s="139"/>
      <c r="BU156" s="139"/>
      <c r="BV156" s="139"/>
      <c r="BW156" s="139"/>
      <c r="BX156" s="139"/>
      <c r="BY156" s="139"/>
      <c r="CL156" s="138"/>
      <c r="CM156" s="138"/>
      <c r="CN156" s="138"/>
      <c r="CO156" s="138"/>
      <c r="CP156" s="138"/>
      <c r="EK156" s="506"/>
      <c r="EL156" s="506"/>
      <c r="EM156" s="13"/>
      <c r="EN156" s="506"/>
      <c r="EO156" s="506"/>
      <c r="EP156" s="506"/>
      <c r="GU156" s="118"/>
      <c r="GV156" s="117"/>
      <c r="GW156" s="99"/>
      <c r="GX156" s="99"/>
      <c r="GY156" s="527" t="s">
        <v>333</v>
      </c>
      <c r="GZ156" s="99"/>
      <c r="HA156" s="99"/>
      <c r="HB156" s="99"/>
      <c r="HC156" s="99"/>
      <c r="HD156" s="112"/>
      <c r="HE156" s="112"/>
      <c r="HF156" s="99"/>
      <c r="HG156" s="195" t="e">
        <f>HD156/#REF!</f>
        <v>#REF!</v>
      </c>
      <c r="HH156" s="13"/>
    </row>
    <row r="157" spans="3:225">
      <c r="C157" s="344" t="s">
        <v>16</v>
      </c>
      <c r="D157" s="799">
        <f t="shared" si="419"/>
        <v>1</v>
      </c>
      <c r="E157" s="347">
        <f t="shared" si="420"/>
        <v>1</v>
      </c>
      <c r="F157" s="347">
        <f t="shared" si="413"/>
        <v>1</v>
      </c>
      <c r="G157" s="347">
        <f t="shared" si="414"/>
        <v>1</v>
      </c>
      <c r="H157" s="347">
        <f t="shared" si="415"/>
        <v>0</v>
      </c>
      <c r="I157" s="347">
        <f t="shared" si="416"/>
        <v>0</v>
      </c>
      <c r="J157" s="347">
        <f t="shared" si="417"/>
        <v>1</v>
      </c>
      <c r="K157" s="347">
        <f t="shared" si="418"/>
        <v>3</v>
      </c>
      <c r="P157" s="111"/>
      <c r="Q157" s="111" t="e">
        <f>SUMPRODUCT((Ville=A233)*(#REF!))</f>
        <v>#REF!</v>
      </c>
      <c r="R157" s="111"/>
      <c r="AD157" s="110"/>
      <c r="AE157" s="24"/>
      <c r="AF157" s="24"/>
      <c r="BH157" s="26"/>
      <c r="DG157" s="26"/>
      <c r="DM157" s="26"/>
      <c r="DN157" s="26"/>
      <c r="DO157" s="26"/>
      <c r="DQ157" s="177"/>
      <c r="DR157" s="26"/>
      <c r="EK157" s="506"/>
      <c r="EL157" s="506"/>
      <c r="EM157" s="13"/>
      <c r="EN157" s="506"/>
      <c r="EO157" s="506"/>
      <c r="EP157" s="506"/>
      <c r="EQ157" s="26"/>
      <c r="ER157" s="26"/>
      <c r="ES157" s="26"/>
      <c r="ET157" s="906"/>
      <c r="EU157" s="26"/>
      <c r="EV157" s="26"/>
      <c r="EW157" s="26"/>
      <c r="EX157" s="26"/>
      <c r="EY157" s="26"/>
      <c r="EZ157" s="26"/>
      <c r="FA157" s="26"/>
      <c r="FB157" s="308"/>
      <c r="FC157" s="26"/>
      <c r="FD157" s="26"/>
      <c r="FE157" s="26"/>
      <c r="FF157" s="26"/>
      <c r="FQ157" s="26"/>
      <c r="FR157" s="26"/>
      <c r="FS157" s="26"/>
      <c r="FT157" s="26"/>
      <c r="FU157" s="26"/>
      <c r="FV157" s="26"/>
      <c r="FW157" s="26"/>
      <c r="FX157" s="26"/>
      <c r="FY157" s="26"/>
      <c r="FZ157" s="26"/>
      <c r="GA157" s="26"/>
      <c r="GB157" s="26"/>
      <c r="GC157" s="26"/>
      <c r="GD157" s="26"/>
      <c r="GE157" s="26"/>
      <c r="GF157" s="26"/>
      <c r="GG157" s="26"/>
      <c r="GH157" s="26"/>
      <c r="GI157" s="26"/>
      <c r="GJ157" s="26"/>
      <c r="GK157" s="26"/>
      <c r="HA157" s="13"/>
      <c r="HB157" s="13"/>
      <c r="HC157" s="13"/>
      <c r="HD157" s="13"/>
      <c r="HE157" s="13"/>
      <c r="HF157" s="118"/>
      <c r="HG157" s="117"/>
      <c r="HH157" s="117"/>
      <c r="HI157" s="99"/>
      <c r="HJ157" s="99"/>
      <c r="HK157" s="99"/>
      <c r="HL157" s="99"/>
      <c r="HM157" s="99"/>
      <c r="HN157" s="99"/>
      <c r="HO157" s="99"/>
      <c r="HP157" s="99"/>
      <c r="HQ157" s="99"/>
    </row>
    <row r="158" spans="3:225">
      <c r="C158" s="344" t="s">
        <v>299</v>
      </c>
      <c r="D158" s="799">
        <f t="shared" si="419"/>
        <v>4</v>
      </c>
      <c r="E158" s="347">
        <f t="shared" si="420"/>
        <v>2</v>
      </c>
      <c r="F158" s="347">
        <f t="shared" si="413"/>
        <v>1</v>
      </c>
      <c r="G158" s="347">
        <f t="shared" si="414"/>
        <v>0</v>
      </c>
      <c r="H158" s="347">
        <f t="shared" si="415"/>
        <v>0</v>
      </c>
      <c r="I158" s="347">
        <f t="shared" si="416"/>
        <v>0</v>
      </c>
      <c r="J158" s="347">
        <f t="shared" si="417"/>
        <v>0</v>
      </c>
      <c r="K158" s="347">
        <f t="shared" si="418"/>
        <v>3</v>
      </c>
      <c r="EK158" s="506"/>
      <c r="EL158" s="506"/>
      <c r="EM158" s="13"/>
      <c r="EN158" s="506"/>
      <c r="EO158" s="506"/>
      <c r="EP158" s="506"/>
      <c r="HA158" s="13"/>
      <c r="HB158" s="13"/>
      <c r="HC158" s="13"/>
      <c r="HD158" s="13"/>
      <c r="HE158" s="13"/>
      <c r="HF158" s="118"/>
      <c r="HG158" s="117"/>
      <c r="HH158" s="117"/>
      <c r="HI158" s="99"/>
      <c r="HJ158" s="99"/>
      <c r="HK158" s="99"/>
      <c r="HL158" s="99"/>
      <c r="HM158" s="99"/>
      <c r="HN158" s="99"/>
      <c r="HO158" s="99"/>
      <c r="HP158" s="99"/>
      <c r="HQ158" s="99"/>
    </row>
    <row r="159" spans="3:225">
      <c r="C159" s="344" t="s">
        <v>296</v>
      </c>
      <c r="D159" s="799">
        <f t="shared" si="419"/>
        <v>0</v>
      </c>
      <c r="E159" s="347">
        <f t="shared" si="420"/>
        <v>0</v>
      </c>
      <c r="F159" s="347">
        <f t="shared" si="413"/>
        <v>0</v>
      </c>
      <c r="G159" s="347">
        <f t="shared" si="414"/>
        <v>0</v>
      </c>
      <c r="H159" s="347">
        <f t="shared" si="415"/>
        <v>0</v>
      </c>
      <c r="I159" s="347">
        <f t="shared" si="416"/>
        <v>0</v>
      </c>
      <c r="J159" s="347">
        <f t="shared" si="417"/>
        <v>0</v>
      </c>
      <c r="K159" s="347">
        <f t="shared" si="418"/>
        <v>0</v>
      </c>
      <c r="EK159" s="506"/>
      <c r="EL159" s="506"/>
      <c r="EM159" s="13"/>
      <c r="EN159" s="506"/>
      <c r="EO159" s="506"/>
      <c r="EP159" s="506"/>
      <c r="HA159" s="13"/>
      <c r="HB159" s="13"/>
      <c r="HC159" s="13"/>
      <c r="HD159" s="13"/>
      <c r="HE159" s="13"/>
      <c r="HF159" s="118"/>
      <c r="HG159" s="117"/>
      <c r="HH159" s="117"/>
      <c r="HI159" s="99"/>
      <c r="HJ159" s="99"/>
      <c r="HK159" s="99"/>
      <c r="HL159" s="99"/>
      <c r="HM159" s="99"/>
      <c r="HN159" s="99"/>
      <c r="HO159" s="99"/>
      <c r="HP159" s="99"/>
      <c r="HQ159" s="99"/>
    </row>
    <row r="160" spans="3:225" ht="15.75" thickBot="1">
      <c r="C160" s="344" t="s">
        <v>40</v>
      </c>
      <c r="D160" s="347">
        <f t="shared" si="419"/>
        <v>1</v>
      </c>
      <c r="E160" s="347">
        <f t="shared" si="420"/>
        <v>0</v>
      </c>
      <c r="F160" s="347">
        <f t="shared" si="413"/>
        <v>1</v>
      </c>
      <c r="G160" s="347">
        <f t="shared" si="414"/>
        <v>3</v>
      </c>
      <c r="H160" s="347">
        <f t="shared" si="415"/>
        <v>0</v>
      </c>
      <c r="I160" s="347">
        <f t="shared" si="416"/>
        <v>0</v>
      </c>
      <c r="J160" s="347">
        <f t="shared" si="417"/>
        <v>1</v>
      </c>
      <c r="K160" s="347">
        <f t="shared" si="418"/>
        <v>2</v>
      </c>
      <c r="P160" s="25">
        <v>2015</v>
      </c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X160" s="13"/>
      <c r="AY160" s="13"/>
      <c r="BL160" s="139"/>
      <c r="CL160" s="138"/>
      <c r="CM160" s="138"/>
      <c r="CN160" s="138"/>
      <c r="CO160" s="138"/>
      <c r="CP160" s="138"/>
      <c r="EK160" s="506"/>
      <c r="EL160" s="506"/>
      <c r="EM160" s="13"/>
      <c r="EN160" s="506"/>
      <c r="EO160" s="506"/>
      <c r="EP160" s="506"/>
      <c r="GS160" s="117"/>
      <c r="GT160" s="117"/>
      <c r="GU160" s="117"/>
      <c r="GV160" s="99"/>
      <c r="GW160" s="99"/>
      <c r="GX160" s="99"/>
      <c r="GY160" s="527"/>
      <c r="GZ160" s="99"/>
      <c r="HA160" s="99"/>
      <c r="HB160" s="99"/>
      <c r="HC160" s="99"/>
      <c r="HD160" s="99"/>
      <c r="HE160" s="99"/>
      <c r="HF160" s="99"/>
      <c r="HG160" s="99"/>
      <c r="HH160" s="99"/>
    </row>
    <row r="161" spans="1:216" ht="15.75" thickBot="1">
      <c r="C161" s="342" t="s">
        <v>341</v>
      </c>
      <c r="D161" s="800">
        <f t="shared" si="419"/>
        <v>1</v>
      </c>
      <c r="E161" s="346">
        <f t="shared" si="420"/>
        <v>1</v>
      </c>
      <c r="F161" s="346">
        <f t="shared" si="413"/>
        <v>0</v>
      </c>
      <c r="G161" s="346">
        <f t="shared" si="414"/>
        <v>1</v>
      </c>
      <c r="H161" s="347">
        <f t="shared" si="415"/>
        <v>4</v>
      </c>
      <c r="I161" s="346">
        <f t="shared" si="416"/>
        <v>0</v>
      </c>
      <c r="J161" s="346">
        <f t="shared" si="417"/>
        <v>0</v>
      </c>
      <c r="K161" s="346">
        <f t="shared" si="418"/>
        <v>0</v>
      </c>
      <c r="L161" s="234"/>
      <c r="M161" s="154"/>
      <c r="N161" s="154"/>
      <c r="O161" s="154"/>
      <c r="P161" s="120" t="e">
        <f>SUMPRODUCT((Notaire=A237)*(Prog=$P$160))</f>
        <v>#REF!</v>
      </c>
      <c r="AA161" s="110"/>
      <c r="AB161" s="110"/>
      <c r="AC161" s="110"/>
      <c r="AX161" s="13"/>
      <c r="AY161" s="13"/>
      <c r="BL161" s="139"/>
      <c r="CL161" s="138"/>
      <c r="CM161" s="138"/>
      <c r="CN161" s="138"/>
      <c r="CO161" s="138"/>
      <c r="CP161" s="138"/>
      <c r="EK161" s="506"/>
      <c r="EL161" s="506"/>
      <c r="EM161" s="13"/>
      <c r="EN161" s="506"/>
      <c r="EO161" s="506"/>
      <c r="EP161" s="506"/>
      <c r="GS161" s="117"/>
      <c r="GT161" s="117"/>
      <c r="GU161" s="117"/>
      <c r="GV161" s="99"/>
      <c r="GW161" s="99"/>
      <c r="GX161" s="99"/>
      <c r="GY161" s="527"/>
      <c r="GZ161" s="99"/>
      <c r="HA161" s="99"/>
      <c r="HB161" s="99"/>
      <c r="HC161" s="99"/>
      <c r="HD161" s="99"/>
      <c r="HE161" s="99"/>
      <c r="HF161" s="99"/>
      <c r="HG161" s="99"/>
      <c r="HH161" s="99"/>
    </row>
    <row r="162" spans="1:216" ht="15.75" thickBot="1">
      <c r="A162" s="205" t="s">
        <v>702</v>
      </c>
      <c r="B162" s="205"/>
      <c r="C162" s="205">
        <f>SUBTOTAL(9,D162:K162)</f>
        <v>43</v>
      </c>
      <c r="D162" s="343">
        <f t="shared" ref="D162:K162" si="421">SUM(D154:D161)</f>
        <v>8</v>
      </c>
      <c r="E162" s="343">
        <f t="shared" si="421"/>
        <v>7</v>
      </c>
      <c r="F162" s="343">
        <f t="shared" si="421"/>
        <v>5</v>
      </c>
      <c r="G162" s="343">
        <f t="shared" si="421"/>
        <v>5</v>
      </c>
      <c r="H162" s="343">
        <f t="shared" si="421"/>
        <v>4</v>
      </c>
      <c r="I162" s="343">
        <f t="shared" si="421"/>
        <v>0</v>
      </c>
      <c r="J162" s="343">
        <f t="shared" si="421"/>
        <v>4</v>
      </c>
      <c r="K162" s="343">
        <f t="shared" si="421"/>
        <v>10</v>
      </c>
      <c r="L162" s="234"/>
      <c r="M162" s="154"/>
      <c r="N162" s="154"/>
      <c r="O162" s="154"/>
      <c r="P162" s="121" t="e">
        <f>SUMPRODUCT((Notaire=A238)*(Prog=$P$160))</f>
        <v>#REF!</v>
      </c>
      <c r="AA162" s="110"/>
      <c r="AB162" s="110"/>
      <c r="AC162" s="110"/>
      <c r="AX162" s="13"/>
      <c r="AY162" s="13"/>
      <c r="BL162" s="139"/>
      <c r="CL162" s="138"/>
      <c r="CM162" s="138"/>
      <c r="CN162" s="138"/>
      <c r="CO162" s="138"/>
      <c r="CP162" s="138"/>
      <c r="EK162" s="506"/>
      <c r="EL162" s="506"/>
      <c r="EM162" s="13"/>
      <c r="EN162" s="506"/>
      <c r="EO162" s="506"/>
      <c r="EP162" s="506"/>
      <c r="GS162" s="117"/>
      <c r="GT162" s="117"/>
      <c r="GU162" s="117"/>
      <c r="GV162" s="99"/>
      <c r="GW162" s="99"/>
      <c r="GX162" s="99"/>
      <c r="GY162" s="527"/>
      <c r="GZ162" s="99"/>
      <c r="HA162" s="99"/>
      <c r="HB162" s="99"/>
      <c r="HC162" s="99"/>
      <c r="HD162" s="99"/>
      <c r="HE162" s="99"/>
      <c r="HF162" s="99"/>
      <c r="HG162" s="99"/>
      <c r="HH162" s="99"/>
    </row>
    <row r="163" spans="1:216" ht="15.75" thickBot="1">
      <c r="A163" s="205" t="s">
        <v>447</v>
      </c>
      <c r="B163" s="205"/>
      <c r="C163" s="205">
        <f>SUBTOTAL(9,D163:K163)</f>
        <v>5</v>
      </c>
      <c r="D163" s="345">
        <v>2</v>
      </c>
      <c r="E163" s="205">
        <v>1</v>
      </c>
      <c r="F163" s="205"/>
      <c r="G163" s="205"/>
      <c r="H163" s="205"/>
      <c r="I163" s="205">
        <v>2</v>
      </c>
      <c r="J163" s="205"/>
      <c r="K163" s="205"/>
      <c r="L163" s="234"/>
      <c r="M163" s="154"/>
      <c r="N163" s="154"/>
      <c r="O163" s="154"/>
      <c r="P163" s="121" t="e">
        <f>SUMPRODUCT((Notaire=A239)*(Prog=$P$160))</f>
        <v>#REF!</v>
      </c>
      <c r="AA163" s="110"/>
      <c r="AB163" s="110"/>
      <c r="AC163" s="110"/>
      <c r="AX163" s="13"/>
      <c r="AY163" s="13"/>
      <c r="BL163" s="139"/>
      <c r="CL163" s="138"/>
      <c r="CM163" s="138"/>
      <c r="CN163" s="138"/>
      <c r="CO163" s="138"/>
      <c r="CP163" s="138"/>
      <c r="EK163" s="506"/>
      <c r="EL163" s="506"/>
      <c r="EM163" s="13"/>
      <c r="EN163" s="506"/>
      <c r="EO163" s="506"/>
      <c r="EP163" s="506"/>
      <c r="GS163" s="117"/>
      <c r="GT163" s="117"/>
      <c r="GU163" s="117"/>
      <c r="GV163" s="99"/>
      <c r="GW163" s="99"/>
      <c r="GX163" s="99"/>
      <c r="GY163" s="527"/>
      <c r="GZ163" s="99"/>
      <c r="HA163" s="99"/>
      <c r="HB163" s="99"/>
      <c r="HC163" s="99"/>
      <c r="HD163" s="99"/>
      <c r="HE163" s="99"/>
      <c r="HF163" s="99"/>
      <c r="HG163" s="99"/>
      <c r="HH163" s="99"/>
    </row>
    <row r="164" spans="1:216" ht="15.75" thickBot="1">
      <c r="A164" s="340" t="s">
        <v>95</v>
      </c>
      <c r="B164" s="340"/>
      <c r="C164" s="340">
        <f>SUBTOTAL(9,D164:K164)</f>
        <v>48</v>
      </c>
      <c r="D164" s="343">
        <f>D162+D163</f>
        <v>10</v>
      </c>
      <c r="E164" s="340">
        <f t="shared" ref="E164:K164" si="422">E162+E163</f>
        <v>8</v>
      </c>
      <c r="F164" s="340">
        <f t="shared" si="422"/>
        <v>5</v>
      </c>
      <c r="G164" s="340">
        <f t="shared" si="422"/>
        <v>5</v>
      </c>
      <c r="H164" s="340">
        <f t="shared" si="422"/>
        <v>4</v>
      </c>
      <c r="I164" s="340">
        <f t="shared" si="422"/>
        <v>2</v>
      </c>
      <c r="J164" s="340">
        <f t="shared" si="422"/>
        <v>4</v>
      </c>
      <c r="K164" s="340">
        <f t="shared" si="422"/>
        <v>10</v>
      </c>
      <c r="L164" s="234"/>
      <c r="M164" s="154"/>
      <c r="N164" s="154"/>
      <c r="O164" s="154"/>
      <c r="P164" s="121" t="e">
        <f>SUMPRODUCT((Notaire=A240)*(Prog=$P$160))</f>
        <v>#REF!</v>
      </c>
      <c r="AA164" s="110"/>
      <c r="AB164" s="110"/>
      <c r="AC164" s="110"/>
      <c r="AX164" s="13"/>
      <c r="AY164" s="13"/>
      <c r="BL164" s="139"/>
      <c r="CL164" s="138"/>
      <c r="CM164" s="138"/>
      <c r="CN164" s="138"/>
      <c r="CO164" s="138"/>
      <c r="CP164" s="138"/>
      <c r="EK164" s="506"/>
      <c r="EL164" s="506"/>
      <c r="EM164" s="13"/>
      <c r="EN164" s="506"/>
      <c r="EO164" s="506"/>
      <c r="EP164" s="506"/>
      <c r="GS164" s="99"/>
      <c r="GT164" s="99"/>
      <c r="GU164" s="99"/>
      <c r="GV164" s="99"/>
      <c r="GW164" s="99"/>
      <c r="GX164" s="99"/>
      <c r="GY164" s="527"/>
      <c r="GZ164" s="99"/>
      <c r="HA164" s="99"/>
      <c r="HB164" s="99"/>
      <c r="HC164" s="99"/>
      <c r="HD164" s="99"/>
      <c r="HE164" s="99"/>
      <c r="HF164" s="99"/>
      <c r="HG164" s="99"/>
      <c r="HH164" s="99"/>
    </row>
    <row r="165" spans="1:216">
      <c r="A165" s="713" t="s">
        <v>703</v>
      </c>
      <c r="D165" s="13">
        <v>1</v>
      </c>
      <c r="E165" s="13">
        <v>1</v>
      </c>
      <c r="F165" s="13">
        <v>1</v>
      </c>
      <c r="G165" s="13">
        <v>1</v>
      </c>
      <c r="H165" s="13">
        <v>0</v>
      </c>
      <c r="I165" s="13">
        <v>3</v>
      </c>
      <c r="J165" s="13">
        <v>1</v>
      </c>
      <c r="K165" s="13">
        <v>1</v>
      </c>
      <c r="L165" s="234"/>
      <c r="M165" s="154"/>
      <c r="N165" s="154"/>
      <c r="O165" s="154"/>
      <c r="P165" s="121" t="e">
        <f>SUMPRODUCT((Notaire=A241)*(Prog=$P$160))</f>
        <v>#REF!</v>
      </c>
      <c r="AA165" s="110"/>
      <c r="AB165" s="110"/>
      <c r="AC165" s="110"/>
      <c r="EK165" s="506"/>
      <c r="EL165" s="506"/>
      <c r="EM165" s="13"/>
      <c r="EN165" s="506"/>
      <c r="EO165" s="506"/>
      <c r="EP165" s="506"/>
      <c r="HA165" s="13"/>
      <c r="HB165" s="13"/>
      <c r="HC165" s="13"/>
      <c r="HD165" s="13"/>
      <c r="HE165" s="13"/>
      <c r="HF165" s="13"/>
      <c r="HG165" s="13"/>
      <c r="HH165" s="13"/>
    </row>
    <row r="166" spans="1:216">
      <c r="L166" s="234"/>
      <c r="M166" s="154"/>
      <c r="N166" s="154"/>
      <c r="O166" s="154"/>
      <c r="P166" s="121"/>
      <c r="AA166" s="110"/>
      <c r="AB166" s="110"/>
      <c r="AC166" s="110"/>
      <c r="EK166" s="506"/>
      <c r="EL166" s="506"/>
      <c r="EM166" s="13"/>
      <c r="EN166" s="506"/>
      <c r="EO166" s="506"/>
      <c r="EP166" s="506"/>
      <c r="HA166" s="13"/>
      <c r="HB166" s="13"/>
      <c r="HC166" s="13"/>
      <c r="HD166" s="13"/>
      <c r="HE166" s="13"/>
      <c r="HF166" s="13"/>
      <c r="HG166" s="13"/>
      <c r="HH166" s="13"/>
    </row>
    <row r="167" spans="1:216">
      <c r="L167" s="234"/>
      <c r="M167" s="154"/>
      <c r="N167" s="154"/>
      <c r="O167" s="154"/>
      <c r="P167" s="121" t="e">
        <f>SUMPRODUCT((Notaire=A242)*(Prog=$P$160))</f>
        <v>#REF!</v>
      </c>
      <c r="AA167" s="110"/>
      <c r="AB167" s="110"/>
      <c r="AC167" s="110"/>
      <c r="EK167" s="506"/>
      <c r="EL167" s="506"/>
      <c r="EM167" s="13"/>
      <c r="EN167" s="506"/>
      <c r="EO167" s="506"/>
      <c r="EP167" s="506"/>
      <c r="HA167" s="13"/>
      <c r="HB167" s="13"/>
      <c r="HC167" s="13"/>
      <c r="HD167" s="13"/>
      <c r="HE167" s="13"/>
      <c r="HF167" s="13"/>
      <c r="HG167" s="13"/>
      <c r="HH167" s="13"/>
    </row>
    <row r="168" spans="1:216">
      <c r="C168" s="204"/>
      <c r="D168" s="672" t="s">
        <v>210</v>
      </c>
      <c r="E168" s="672" t="s">
        <v>6</v>
      </c>
      <c r="F168" s="672" t="s">
        <v>305</v>
      </c>
      <c r="P168" s="25" t="e">
        <f>SUM(P161:P167)</f>
        <v>#REF!</v>
      </c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 t="e">
        <f>SUM(E237:E242)</f>
        <v>#REF!</v>
      </c>
      <c r="AE168" s="25" t="e">
        <f>SUM(F237:F242)</f>
        <v>#REF!</v>
      </c>
      <c r="AF168" s="25"/>
      <c r="EK168" s="506"/>
      <c r="EL168" s="506"/>
      <c r="EM168" s="13"/>
      <c r="EN168" s="506"/>
      <c r="EO168" s="506"/>
      <c r="EP168" s="506"/>
      <c r="HA168" s="13"/>
      <c r="HB168" s="13"/>
      <c r="HC168" s="13"/>
      <c r="HD168" s="13"/>
      <c r="HE168" s="13"/>
      <c r="HF168" s="13"/>
      <c r="HG168" s="13"/>
      <c r="HH168" s="13"/>
    </row>
    <row r="169" spans="1:216">
      <c r="C169" s="207" t="s">
        <v>289</v>
      </c>
      <c r="D169" s="206" t="s">
        <v>304</v>
      </c>
      <c r="E169" s="206" t="s">
        <v>119</v>
      </c>
      <c r="F169" s="206" t="s">
        <v>147</v>
      </c>
      <c r="AS169" s="110"/>
      <c r="AT169" s="24"/>
      <c r="AX169" s="13"/>
      <c r="AY169" s="13"/>
      <c r="CD169" s="139"/>
      <c r="CE169" s="139"/>
      <c r="CF169" s="139"/>
      <c r="CG169" s="139"/>
      <c r="CH169" s="139"/>
      <c r="CI169" s="139"/>
      <c r="CJ169" s="139"/>
      <c r="CL169" s="138"/>
      <c r="CM169" s="138"/>
      <c r="CN169" s="138"/>
      <c r="CO169" s="138"/>
      <c r="CP169" s="138"/>
      <c r="EK169" s="506"/>
      <c r="EL169" s="506"/>
      <c r="EM169" s="13"/>
      <c r="EN169" s="506"/>
      <c r="EO169" s="506"/>
      <c r="EP169" s="506"/>
      <c r="HA169" s="13"/>
      <c r="HB169" s="13"/>
      <c r="HC169" s="13"/>
      <c r="HD169" s="13"/>
      <c r="HE169" s="13"/>
      <c r="HF169" s="13"/>
      <c r="HG169" s="13"/>
      <c r="HH169" s="13"/>
    </row>
    <row r="170" spans="1:216">
      <c r="C170" s="207" t="s">
        <v>288</v>
      </c>
      <c r="D170" s="206" t="s">
        <v>306</v>
      </c>
      <c r="E170" s="206" t="s">
        <v>119</v>
      </c>
      <c r="F170" s="206"/>
      <c r="AS170" s="110"/>
      <c r="AT170" s="24"/>
      <c r="AX170" s="13"/>
      <c r="AY170" s="13"/>
      <c r="CD170" s="139"/>
      <c r="CE170" s="139"/>
      <c r="CF170" s="139"/>
      <c r="CG170" s="139"/>
      <c r="CH170" s="139"/>
      <c r="CI170" s="139"/>
      <c r="CJ170" s="139"/>
      <c r="CL170" s="138"/>
      <c r="CM170" s="138"/>
      <c r="CN170" s="138"/>
      <c r="CO170" s="138"/>
      <c r="CP170" s="138"/>
      <c r="EK170" s="506"/>
      <c r="EL170" s="506"/>
      <c r="EM170" s="13"/>
      <c r="EN170" s="506"/>
      <c r="EO170" s="506"/>
      <c r="EP170" s="506"/>
      <c r="HA170" s="13"/>
      <c r="HB170" s="13"/>
      <c r="HC170" s="13"/>
      <c r="HD170" s="13"/>
      <c r="HE170" s="13"/>
      <c r="HF170" s="13"/>
      <c r="HG170" s="13"/>
      <c r="HH170" s="13"/>
    </row>
    <row r="171" spans="1:216">
      <c r="C171" s="207" t="s">
        <v>461</v>
      </c>
      <c r="D171" s="206" t="s">
        <v>190</v>
      </c>
      <c r="E171" s="206" t="s">
        <v>119</v>
      </c>
      <c r="F171" s="206"/>
      <c r="AS171" s="110"/>
      <c r="AT171" s="24"/>
      <c r="AX171" s="13"/>
      <c r="AY171" s="13"/>
      <c r="CD171" s="139"/>
      <c r="CE171" s="139"/>
      <c r="CF171" s="139"/>
      <c r="CG171" s="139"/>
      <c r="CH171" s="139"/>
      <c r="CI171" s="139"/>
      <c r="CJ171" s="139"/>
      <c r="CL171" s="138"/>
      <c r="CM171" s="138"/>
      <c r="CN171" s="138"/>
      <c r="CO171" s="138"/>
      <c r="CP171" s="138"/>
      <c r="EK171" s="506"/>
      <c r="EL171" s="506"/>
      <c r="EM171" s="13"/>
      <c r="EN171" s="506"/>
      <c r="EO171" s="506"/>
      <c r="EP171" s="506"/>
      <c r="HA171" s="13"/>
      <c r="HB171" s="13"/>
      <c r="HC171" s="13"/>
      <c r="HD171" s="13"/>
      <c r="HE171" s="13"/>
      <c r="HF171" s="13"/>
      <c r="HG171" s="13"/>
      <c r="HH171" s="13"/>
    </row>
    <row r="172" spans="1:216">
      <c r="C172" s="208" t="s">
        <v>700</v>
      </c>
      <c r="D172" s="206" t="s">
        <v>307</v>
      </c>
      <c r="E172" s="206" t="s">
        <v>119</v>
      </c>
      <c r="F172" s="206" t="s">
        <v>147</v>
      </c>
      <c r="AS172" s="110"/>
      <c r="AT172" s="24"/>
      <c r="AX172" s="13"/>
      <c r="AY172" s="13"/>
      <c r="CD172" s="139"/>
      <c r="CE172" s="139"/>
      <c r="CF172" s="139"/>
      <c r="CG172" s="139"/>
      <c r="CH172" s="139"/>
      <c r="CI172" s="139"/>
      <c r="CJ172" s="139"/>
      <c r="CL172" s="138"/>
      <c r="CM172" s="138"/>
      <c r="CN172" s="138"/>
      <c r="CO172" s="138"/>
      <c r="CP172" s="138"/>
      <c r="EK172" s="506"/>
      <c r="EL172" s="506"/>
      <c r="EM172" s="13"/>
      <c r="EN172" s="506"/>
      <c r="EO172" s="506"/>
      <c r="EP172" s="506"/>
      <c r="HA172" s="13"/>
      <c r="HB172" s="13"/>
      <c r="HC172" s="13"/>
      <c r="HD172" s="13"/>
      <c r="HE172" s="13"/>
      <c r="HF172" s="13"/>
      <c r="HG172" s="13"/>
      <c r="HH172" s="13"/>
    </row>
    <row r="173" spans="1:216">
      <c r="C173" s="208" t="s">
        <v>701</v>
      </c>
      <c r="D173" s="206" t="s">
        <v>307</v>
      </c>
      <c r="E173" s="206" t="s">
        <v>299</v>
      </c>
      <c r="F173" s="206"/>
      <c r="AS173" s="110"/>
      <c r="AT173" s="24"/>
      <c r="AX173" s="13"/>
      <c r="AY173" s="13"/>
      <c r="CD173" s="139"/>
      <c r="CE173" s="139"/>
      <c r="CF173" s="139"/>
      <c r="CG173" s="139"/>
      <c r="CH173" s="139"/>
      <c r="CI173" s="139"/>
      <c r="CJ173" s="139"/>
      <c r="CL173" s="138"/>
      <c r="CM173" s="138"/>
      <c r="CN173" s="138"/>
      <c r="CO173" s="138"/>
      <c r="CP173" s="138"/>
      <c r="EK173" s="506"/>
      <c r="EL173" s="506"/>
      <c r="EM173" s="13"/>
      <c r="EN173" s="506"/>
      <c r="EO173" s="506"/>
      <c r="EP173" s="506"/>
      <c r="HA173" s="13"/>
      <c r="HB173" s="13"/>
      <c r="HC173" s="13"/>
      <c r="HD173" s="13"/>
      <c r="HE173" s="13"/>
      <c r="HF173" s="13"/>
      <c r="HG173" s="13"/>
      <c r="HH173" s="13"/>
    </row>
    <row r="174" spans="1:216">
      <c r="AS174" s="110"/>
      <c r="AT174" s="24"/>
      <c r="AX174" s="13"/>
      <c r="AY174" s="13"/>
      <c r="CD174" s="139"/>
      <c r="CE174" s="139"/>
      <c r="CF174" s="139"/>
      <c r="CG174" s="139"/>
      <c r="CH174" s="139"/>
      <c r="CI174" s="139"/>
      <c r="CJ174" s="139"/>
      <c r="CL174" s="138"/>
      <c r="CM174" s="138"/>
      <c r="CN174" s="138"/>
      <c r="CO174" s="138"/>
      <c r="CP174" s="138"/>
      <c r="EK174" s="506"/>
      <c r="EL174" s="506"/>
      <c r="EM174" s="13"/>
      <c r="EN174" s="506"/>
      <c r="EO174" s="506"/>
      <c r="EP174" s="506"/>
      <c r="HA174" s="13"/>
      <c r="HB174" s="13"/>
      <c r="HC174" s="13"/>
      <c r="HD174" s="13"/>
      <c r="HE174" s="13"/>
      <c r="HF174" s="13"/>
      <c r="HG174" s="13"/>
      <c r="HH174" s="13"/>
    </row>
    <row r="175" spans="1:216">
      <c r="AS175" s="110"/>
      <c r="AT175" s="24"/>
      <c r="AX175" s="13"/>
      <c r="AY175" s="13"/>
      <c r="CD175" s="139"/>
      <c r="CE175" s="139"/>
      <c r="CF175" s="139"/>
      <c r="CG175" s="139"/>
      <c r="CH175" s="139"/>
      <c r="CI175" s="139"/>
      <c r="CJ175" s="139"/>
      <c r="CL175" s="138"/>
      <c r="CM175" s="138"/>
      <c r="CN175" s="138"/>
      <c r="CO175" s="138"/>
      <c r="CP175" s="138"/>
      <c r="EK175" s="506"/>
      <c r="EL175" s="506"/>
      <c r="EM175" s="13"/>
      <c r="EN175" s="506"/>
      <c r="EO175" s="506"/>
      <c r="EP175" s="506"/>
      <c r="HA175" s="13"/>
      <c r="HB175" s="13"/>
      <c r="HC175" s="13"/>
      <c r="HD175" s="13"/>
      <c r="HE175" s="13"/>
      <c r="HF175" s="13"/>
      <c r="HG175" s="13"/>
      <c r="HH175" s="13"/>
    </row>
    <row r="176" spans="1:216" ht="29.25" customHeight="1">
      <c r="I176" s="274"/>
      <c r="J176" s="274"/>
      <c r="AS176" s="110"/>
      <c r="AT176" s="24"/>
      <c r="AX176" s="13"/>
      <c r="AY176" s="13"/>
      <c r="CD176" s="139"/>
      <c r="CE176" s="139"/>
      <c r="CF176" s="139"/>
      <c r="CG176" s="139"/>
      <c r="CH176" s="139"/>
      <c r="CI176" s="139"/>
      <c r="CJ176" s="139"/>
      <c r="CL176" s="138"/>
      <c r="CM176" s="138"/>
      <c r="CN176" s="138"/>
      <c r="CO176" s="138"/>
      <c r="CP176" s="138"/>
      <c r="EK176" s="506"/>
      <c r="EL176" s="506"/>
      <c r="EM176" s="13"/>
      <c r="EN176" s="506"/>
      <c r="EO176" s="506"/>
      <c r="EP176" s="506"/>
      <c r="HA176" s="13"/>
      <c r="HB176" s="13"/>
      <c r="HC176" s="13"/>
      <c r="HD176" s="13"/>
      <c r="HE176" s="13"/>
      <c r="HF176" s="13"/>
      <c r="HG176" s="13"/>
      <c r="HH176" s="13"/>
    </row>
    <row r="177" spans="3:216" ht="30.75" customHeight="1">
      <c r="AS177" s="110"/>
      <c r="AT177" s="24"/>
      <c r="AX177" s="13"/>
      <c r="AY177" s="13"/>
      <c r="CD177" s="139"/>
      <c r="CE177" s="139"/>
      <c r="CF177" s="139"/>
      <c r="CG177" s="139"/>
      <c r="CH177" s="139"/>
      <c r="CI177" s="139"/>
      <c r="CJ177" s="139"/>
      <c r="CL177" s="138"/>
      <c r="CM177" s="138"/>
      <c r="CN177" s="138"/>
      <c r="CO177" s="138"/>
      <c r="CP177" s="138"/>
      <c r="EK177" s="506"/>
      <c r="EL177" s="506"/>
      <c r="EM177" s="13"/>
      <c r="EN177" s="506"/>
      <c r="EO177" s="506"/>
      <c r="EP177" s="506"/>
      <c r="HA177" s="13"/>
      <c r="HB177" s="13"/>
      <c r="HC177" s="13"/>
      <c r="HD177" s="13"/>
      <c r="HE177" s="13"/>
      <c r="HF177" s="13"/>
      <c r="HG177" s="13"/>
      <c r="HH177" s="13"/>
    </row>
    <row r="178" spans="3:216" ht="19.5" thickBot="1">
      <c r="D178" s="993" t="s">
        <v>917</v>
      </c>
      <c r="E178" s="993"/>
      <c r="F178" s="993"/>
      <c r="G178" s="993"/>
      <c r="H178" s="993"/>
      <c r="I178" s="993"/>
      <c r="J178" s="993"/>
      <c r="K178" s="993"/>
      <c r="L178" s="993"/>
      <c r="M178" s="993"/>
      <c r="N178" s="993"/>
      <c r="O178" s="993"/>
      <c r="P178" s="993"/>
      <c r="AS178" s="110"/>
      <c r="AT178" s="24"/>
      <c r="AX178" s="13"/>
      <c r="AY178" s="13"/>
      <c r="CD178" s="139"/>
      <c r="CE178" s="139"/>
      <c r="CF178" s="139"/>
      <c r="CG178" s="139"/>
      <c r="CH178" s="139"/>
      <c r="CI178" s="139"/>
      <c r="CJ178" s="139"/>
      <c r="CL178" s="138"/>
      <c r="CM178" s="138"/>
      <c r="CN178" s="138"/>
      <c r="CO178" s="138"/>
      <c r="CP178" s="138"/>
      <c r="EK178" s="506"/>
      <c r="EL178" s="506"/>
      <c r="EM178" s="13"/>
      <c r="EN178" s="506"/>
      <c r="EO178" s="506"/>
      <c r="EP178" s="506"/>
      <c r="HA178" s="13"/>
      <c r="HB178" s="13"/>
      <c r="HC178" s="13"/>
      <c r="HD178" s="13"/>
      <c r="HE178" s="13"/>
      <c r="HF178" s="13"/>
      <c r="HG178" s="13"/>
      <c r="HH178" s="13"/>
    </row>
    <row r="179" spans="3:216" ht="16.5" thickBot="1">
      <c r="D179" s="994" t="s">
        <v>448</v>
      </c>
      <c r="E179" s="995"/>
      <c r="F179" s="1004" t="s">
        <v>449</v>
      </c>
      <c r="G179" s="1005"/>
      <c r="H179" s="1002" t="s">
        <v>201</v>
      </c>
      <c r="I179" s="1003"/>
      <c r="J179" s="1000" t="s">
        <v>200</v>
      </c>
      <c r="K179" s="1001"/>
      <c r="L179" s="998" t="s">
        <v>140</v>
      </c>
      <c r="M179" s="999"/>
      <c r="N179" s="996" t="s">
        <v>450</v>
      </c>
      <c r="O179" s="997"/>
      <c r="P179" s="22" t="s">
        <v>863</v>
      </c>
      <c r="AS179" s="110"/>
      <c r="AT179" s="24"/>
      <c r="AX179" s="13"/>
      <c r="AY179" s="13"/>
      <c r="CD179" s="139"/>
      <c r="CE179" s="139"/>
      <c r="CF179" s="139"/>
      <c r="CG179" s="139"/>
      <c r="CH179" s="139"/>
      <c r="CI179" s="139"/>
      <c r="CJ179" s="139"/>
      <c r="CL179" s="138"/>
      <c r="CM179" s="138"/>
      <c r="CN179" s="138"/>
      <c r="CO179" s="138"/>
      <c r="CP179" s="138"/>
      <c r="EK179" s="506"/>
      <c r="EL179" s="506"/>
      <c r="EM179" s="13"/>
      <c r="EN179" s="506"/>
      <c r="EO179" s="506"/>
      <c r="EP179" s="506"/>
      <c r="HA179" s="13"/>
      <c r="HB179" s="13"/>
      <c r="HC179" s="13"/>
      <c r="HD179" s="13"/>
      <c r="HE179" s="13"/>
      <c r="HF179" s="13"/>
      <c r="HG179" s="13"/>
      <c r="HH179" s="13"/>
    </row>
    <row r="180" spans="3:216">
      <c r="C180" s="364" t="s">
        <v>147</v>
      </c>
      <c r="D180" s="348">
        <f t="shared" ref="D180:D186" si="423">SUMPRODUCT((Ass=C180)*((Avancement="Faisa")+(Avancement="ESQ")+(Avancement="APS")+(Avancement="PC")+(Avancement="APD")))</f>
        <v>3</v>
      </c>
      <c r="E180" s="352">
        <f t="shared" ref="E180:E186" si="424">D180/$D$187</f>
        <v>0.23076923076923078</v>
      </c>
      <c r="F180" s="801">
        <f t="shared" ref="F180:F186" si="425">SUMPRODUCT((Ass=C180)*((Avancement="PRO")+(Avancement="DCE")+(Avancement="AO")))</f>
        <v>4</v>
      </c>
      <c r="G180" s="352">
        <f t="shared" ref="G180:G186" si="426">F180/$F$187</f>
        <v>0.30769230769230771</v>
      </c>
      <c r="H180" s="348">
        <f>SUMPRODUCT((Ass=C180)*((Avancement="OS")))</f>
        <v>0</v>
      </c>
      <c r="I180" s="352" t="e">
        <f t="shared" ref="I180:I186" si="427">H180/$H$187</f>
        <v>#DIV/0!</v>
      </c>
      <c r="J180" s="348">
        <f>SUMPRODUCT((Ass=C180)*((Avancement="Tvx")+(Avancement="Réception")))</f>
        <v>2</v>
      </c>
      <c r="K180" s="352">
        <f t="shared" ref="K180:K186" si="428">J180/$J$187</f>
        <v>0.14285714285714285</v>
      </c>
      <c r="L180" s="348">
        <f t="shared" ref="L180:L186" si="429">SUMPRODUCT((Ass=C180)*((Avancement="GPA")))</f>
        <v>1</v>
      </c>
      <c r="M180" s="352">
        <f t="shared" ref="M180:M186" si="430">L180/$L$187</f>
        <v>0.1111111111111111</v>
      </c>
      <c r="N180" s="348">
        <f t="shared" ref="N180:N186" si="431">SUMPRODUCT((Ass=C180)*((Avancement="cloture")))</f>
        <v>0</v>
      </c>
      <c r="O180" s="352">
        <f t="shared" ref="O180:O186" si="432">N180/$N$187</f>
        <v>0</v>
      </c>
      <c r="P180" s="348">
        <f t="shared" ref="P180:P186" si="433">SUMPRODUCT((Ass=C180)*((Avancement="stand by")))</f>
        <v>0</v>
      </c>
      <c r="Q180" s="364">
        <f>D180+F180+H180+J180+L180+N180+P180</f>
        <v>10</v>
      </c>
      <c r="R180" s="110">
        <f>Q180-D162</f>
        <v>2</v>
      </c>
      <c r="AS180" s="110"/>
      <c r="AT180" s="24"/>
      <c r="AX180" s="13"/>
      <c r="AY180" s="13"/>
      <c r="CD180" s="139"/>
      <c r="CE180" s="139"/>
      <c r="CF180" s="139"/>
      <c r="CG180" s="139"/>
      <c r="CH180" s="139"/>
      <c r="CI180" s="139"/>
      <c r="CJ180" s="139"/>
      <c r="CL180" s="138"/>
      <c r="CM180" s="138"/>
      <c r="CN180" s="138"/>
      <c r="CO180" s="138"/>
      <c r="CP180" s="138"/>
      <c r="EK180" s="506"/>
      <c r="EL180" s="506"/>
      <c r="EM180" s="13"/>
      <c r="EN180" s="506"/>
      <c r="EO180" s="506"/>
      <c r="EP180" s="506"/>
      <c r="HA180" s="13"/>
      <c r="HB180" s="13"/>
      <c r="HC180" s="13"/>
      <c r="HD180" s="13"/>
      <c r="HE180" s="13"/>
      <c r="HF180" s="13"/>
      <c r="HG180" s="13"/>
      <c r="HH180" s="13"/>
    </row>
    <row r="181" spans="3:216">
      <c r="C181" s="365" t="s">
        <v>704</v>
      </c>
      <c r="D181" s="350">
        <f t="shared" si="423"/>
        <v>1</v>
      </c>
      <c r="E181" s="353">
        <f t="shared" si="424"/>
        <v>7.6923076923076927E-2</v>
      </c>
      <c r="F181" s="350">
        <f t="shared" si="425"/>
        <v>0</v>
      </c>
      <c r="G181" s="353">
        <f t="shared" si="426"/>
        <v>0</v>
      </c>
      <c r="H181" s="350">
        <f t="shared" ref="H181:H186" si="434">SUMPRODUCT((Ass=C181)*((Avancement="OS")))</f>
        <v>0</v>
      </c>
      <c r="I181" s="353" t="e">
        <f t="shared" si="427"/>
        <v>#DIV/0!</v>
      </c>
      <c r="J181" s="350">
        <f t="shared" ref="J181:J186" si="435">SUMPRODUCT((Ass=C181)*((Avancement="Tvx")+(Avancement="Réception")))</f>
        <v>2</v>
      </c>
      <c r="K181" s="353">
        <f t="shared" si="428"/>
        <v>0.14285714285714285</v>
      </c>
      <c r="L181" s="350">
        <f t="shared" si="429"/>
        <v>0</v>
      </c>
      <c r="M181" s="353">
        <f t="shared" si="430"/>
        <v>0</v>
      </c>
      <c r="N181" s="350">
        <f t="shared" si="431"/>
        <v>1</v>
      </c>
      <c r="O181" s="353">
        <f t="shared" si="432"/>
        <v>0.5</v>
      </c>
      <c r="P181" s="350">
        <f t="shared" si="433"/>
        <v>0</v>
      </c>
      <c r="Q181" s="365">
        <f t="shared" ref="Q181:Q186" si="436">D181+F181+H181+J181+L181+N181+P181</f>
        <v>4</v>
      </c>
      <c r="R181" s="110">
        <f>Q181-G162</f>
        <v>-1</v>
      </c>
      <c r="AS181" s="110"/>
      <c r="AT181" s="24"/>
      <c r="AX181" s="13"/>
      <c r="AY181" s="13"/>
      <c r="CD181" s="139"/>
      <c r="CE181" s="139"/>
      <c r="CF181" s="139"/>
      <c r="CG181" s="139"/>
      <c r="CH181" s="139"/>
      <c r="CI181" s="139"/>
      <c r="CJ181" s="139"/>
      <c r="CL181" s="138"/>
      <c r="CM181" s="138"/>
      <c r="CN181" s="138"/>
      <c r="CO181" s="138"/>
      <c r="CP181" s="138"/>
      <c r="EK181" s="506"/>
      <c r="EL181" s="506"/>
      <c r="EM181" s="13"/>
      <c r="EN181" s="506"/>
      <c r="EO181" s="506"/>
      <c r="EP181" s="506"/>
      <c r="HA181" s="13"/>
      <c r="HB181" s="13"/>
      <c r="HC181" s="13"/>
      <c r="HD181" s="13"/>
      <c r="HE181" s="13"/>
      <c r="HF181" s="13"/>
      <c r="HG181" s="13"/>
      <c r="HH181" s="13"/>
    </row>
    <row r="182" spans="3:216">
      <c r="C182" s="365" t="s">
        <v>537</v>
      </c>
      <c r="D182" s="350">
        <f t="shared" si="423"/>
        <v>1</v>
      </c>
      <c r="E182" s="353">
        <f t="shared" si="424"/>
        <v>7.6923076923076927E-2</v>
      </c>
      <c r="F182" s="350">
        <f t="shared" si="425"/>
        <v>1</v>
      </c>
      <c r="G182" s="353">
        <f t="shared" si="426"/>
        <v>7.6923076923076927E-2</v>
      </c>
      <c r="H182" s="350">
        <f t="shared" si="434"/>
        <v>0</v>
      </c>
      <c r="I182" s="353" t="e">
        <f t="shared" si="427"/>
        <v>#DIV/0!</v>
      </c>
      <c r="J182" s="350">
        <f t="shared" si="435"/>
        <v>1</v>
      </c>
      <c r="K182" s="353">
        <f t="shared" si="428"/>
        <v>7.1428571428571425E-2</v>
      </c>
      <c r="L182" s="350">
        <f t="shared" si="429"/>
        <v>2</v>
      </c>
      <c r="M182" s="353">
        <f t="shared" si="430"/>
        <v>0.22222222222222221</v>
      </c>
      <c r="N182" s="350">
        <f t="shared" si="431"/>
        <v>0</v>
      </c>
      <c r="O182" s="353">
        <f t="shared" si="432"/>
        <v>0</v>
      </c>
      <c r="P182" s="350">
        <f t="shared" si="433"/>
        <v>0</v>
      </c>
      <c r="Q182" s="365">
        <f t="shared" si="436"/>
        <v>5</v>
      </c>
      <c r="R182" s="110">
        <f>Q182-F162</f>
        <v>0</v>
      </c>
      <c r="EK182" s="506"/>
      <c r="EL182" s="506"/>
      <c r="EM182" s="13"/>
      <c r="EN182" s="506"/>
      <c r="EO182" s="506"/>
      <c r="EP182" s="506"/>
      <c r="HA182" s="13"/>
      <c r="HB182" s="13"/>
      <c r="HC182" s="13"/>
      <c r="HD182" s="13"/>
      <c r="HE182" s="13"/>
      <c r="HF182" s="13"/>
      <c r="HG182" s="13"/>
      <c r="HH182" s="13"/>
    </row>
    <row r="183" spans="3:216">
      <c r="C183" s="365" t="s">
        <v>705</v>
      </c>
      <c r="D183" s="350">
        <f t="shared" si="423"/>
        <v>2</v>
      </c>
      <c r="E183" s="353">
        <f t="shared" si="424"/>
        <v>0.15384615384615385</v>
      </c>
      <c r="F183" s="350">
        <f t="shared" si="425"/>
        <v>1</v>
      </c>
      <c r="G183" s="353">
        <f t="shared" si="426"/>
        <v>7.6923076923076927E-2</v>
      </c>
      <c r="H183" s="350">
        <f t="shared" si="434"/>
        <v>0</v>
      </c>
      <c r="I183" s="353" t="e">
        <f t="shared" si="427"/>
        <v>#DIV/0!</v>
      </c>
      <c r="J183" s="350">
        <f t="shared" si="435"/>
        <v>2</v>
      </c>
      <c r="K183" s="353">
        <f t="shared" si="428"/>
        <v>0.14285714285714285</v>
      </c>
      <c r="L183" s="350">
        <f t="shared" si="429"/>
        <v>1</v>
      </c>
      <c r="M183" s="353">
        <f t="shared" si="430"/>
        <v>0.1111111111111111</v>
      </c>
      <c r="N183" s="350">
        <f t="shared" si="431"/>
        <v>1</v>
      </c>
      <c r="O183" s="353">
        <f t="shared" si="432"/>
        <v>0.5</v>
      </c>
      <c r="P183" s="350">
        <f t="shared" si="433"/>
        <v>0</v>
      </c>
      <c r="Q183" s="365">
        <f t="shared" si="436"/>
        <v>7</v>
      </c>
      <c r="R183" s="110">
        <f>Q183-G162</f>
        <v>2</v>
      </c>
      <c r="EK183" s="506"/>
      <c r="EL183" s="506"/>
      <c r="EM183" s="13"/>
      <c r="EN183" s="506"/>
      <c r="EO183" s="506"/>
      <c r="EP183" s="506"/>
      <c r="HA183" s="13"/>
      <c r="HB183" s="13"/>
      <c r="HC183" s="13"/>
      <c r="HD183" s="13"/>
      <c r="HE183" s="13"/>
      <c r="HF183" s="13"/>
      <c r="HG183" s="13"/>
      <c r="HH183" s="13"/>
    </row>
    <row r="184" spans="3:216">
      <c r="C184" s="365" t="s">
        <v>146</v>
      </c>
      <c r="D184" s="350">
        <f t="shared" si="423"/>
        <v>3</v>
      </c>
      <c r="E184" s="353">
        <f t="shared" si="424"/>
        <v>0.23076923076923078</v>
      </c>
      <c r="F184" s="350">
        <f t="shared" si="425"/>
        <v>4</v>
      </c>
      <c r="G184" s="353">
        <f t="shared" si="426"/>
        <v>0.30769230769230771</v>
      </c>
      <c r="H184" s="350">
        <f t="shared" si="434"/>
        <v>0</v>
      </c>
      <c r="I184" s="353" t="e">
        <f t="shared" si="427"/>
        <v>#DIV/0!</v>
      </c>
      <c r="J184" s="350">
        <f t="shared" si="435"/>
        <v>2</v>
      </c>
      <c r="K184" s="353">
        <f t="shared" si="428"/>
        <v>0.14285714285714285</v>
      </c>
      <c r="L184" s="350">
        <f t="shared" si="429"/>
        <v>0</v>
      </c>
      <c r="M184" s="353">
        <f t="shared" si="430"/>
        <v>0</v>
      </c>
      <c r="N184" s="350">
        <f t="shared" si="431"/>
        <v>0</v>
      </c>
      <c r="O184" s="353">
        <f t="shared" si="432"/>
        <v>0</v>
      </c>
      <c r="P184" s="350">
        <f t="shared" si="433"/>
        <v>0</v>
      </c>
      <c r="Q184" s="365">
        <f t="shared" si="436"/>
        <v>9</v>
      </c>
      <c r="R184" s="110">
        <f>Q184-H162</f>
        <v>5</v>
      </c>
      <c r="EK184" s="506"/>
      <c r="EL184" s="506"/>
      <c r="EM184" s="13"/>
      <c r="EN184" s="506"/>
      <c r="EO184" s="506"/>
      <c r="EP184" s="506"/>
      <c r="HA184" s="13"/>
      <c r="HB184" s="13"/>
      <c r="HC184" s="13"/>
      <c r="HD184" s="13"/>
      <c r="HE184" s="13"/>
      <c r="HF184" s="13"/>
      <c r="HG184" s="13"/>
      <c r="HH184" s="13"/>
    </row>
    <row r="185" spans="3:216">
      <c r="C185" s="365" t="s">
        <v>145</v>
      </c>
      <c r="D185" s="350">
        <f t="shared" si="423"/>
        <v>1</v>
      </c>
      <c r="E185" s="353">
        <f t="shared" si="424"/>
        <v>7.6923076923076927E-2</v>
      </c>
      <c r="F185" s="350">
        <f t="shared" si="425"/>
        <v>1</v>
      </c>
      <c r="G185" s="353">
        <f t="shared" si="426"/>
        <v>7.6923076923076927E-2</v>
      </c>
      <c r="H185" s="350">
        <f t="shared" si="434"/>
        <v>0</v>
      </c>
      <c r="I185" s="353" t="e">
        <f t="shared" si="427"/>
        <v>#DIV/0!</v>
      </c>
      <c r="J185" s="350">
        <f t="shared" si="435"/>
        <v>1</v>
      </c>
      <c r="K185" s="353">
        <f t="shared" si="428"/>
        <v>7.1428571428571425E-2</v>
      </c>
      <c r="L185" s="350">
        <f t="shared" si="429"/>
        <v>1</v>
      </c>
      <c r="M185" s="353">
        <f t="shared" si="430"/>
        <v>0.1111111111111111</v>
      </c>
      <c r="N185" s="350">
        <f t="shared" si="431"/>
        <v>0</v>
      </c>
      <c r="O185" s="353">
        <f t="shared" si="432"/>
        <v>0</v>
      </c>
      <c r="P185" s="350">
        <f t="shared" si="433"/>
        <v>0</v>
      </c>
      <c r="Q185" s="365">
        <f t="shared" si="436"/>
        <v>4</v>
      </c>
      <c r="R185" s="110">
        <f>Q185-J162</f>
        <v>0</v>
      </c>
      <c r="EK185" s="506"/>
      <c r="EL185" s="506"/>
      <c r="EM185" s="13"/>
      <c r="EN185" s="506"/>
      <c r="EO185" s="506"/>
      <c r="EP185" s="506"/>
      <c r="HA185" s="13"/>
      <c r="HB185" s="13"/>
      <c r="HC185" s="13"/>
      <c r="HD185" s="13"/>
      <c r="HE185" s="13"/>
      <c r="HF185" s="13"/>
      <c r="HG185" s="13"/>
      <c r="HH185" s="13"/>
    </row>
    <row r="186" spans="3:216" ht="15.75" thickBot="1">
      <c r="C186" s="366" t="s">
        <v>371</v>
      </c>
      <c r="D186" s="349">
        <f t="shared" si="423"/>
        <v>2</v>
      </c>
      <c r="E186" s="354">
        <f t="shared" si="424"/>
        <v>0.15384615384615385</v>
      </c>
      <c r="F186" s="349">
        <f t="shared" si="425"/>
        <v>2</v>
      </c>
      <c r="G186" s="354">
        <f t="shared" si="426"/>
        <v>0.15384615384615385</v>
      </c>
      <c r="H186" s="349">
        <f t="shared" si="434"/>
        <v>0</v>
      </c>
      <c r="I186" s="354" t="e">
        <f t="shared" si="427"/>
        <v>#DIV/0!</v>
      </c>
      <c r="J186" s="349">
        <f t="shared" si="435"/>
        <v>4</v>
      </c>
      <c r="K186" s="354">
        <f t="shared" si="428"/>
        <v>0.2857142857142857</v>
      </c>
      <c r="L186" s="349">
        <f t="shared" si="429"/>
        <v>4</v>
      </c>
      <c r="M186" s="354">
        <f t="shared" si="430"/>
        <v>0.44444444444444442</v>
      </c>
      <c r="N186" s="349">
        <f t="shared" si="431"/>
        <v>0</v>
      </c>
      <c r="O186" s="354">
        <f t="shared" si="432"/>
        <v>0</v>
      </c>
      <c r="P186" s="349">
        <f t="shared" si="433"/>
        <v>0</v>
      </c>
      <c r="Q186" s="366">
        <f t="shared" si="436"/>
        <v>12</v>
      </c>
      <c r="R186" s="110">
        <f>Q186-K162</f>
        <v>2</v>
      </c>
      <c r="EK186" s="506"/>
      <c r="EL186" s="506"/>
      <c r="EM186" s="13"/>
      <c r="EN186" s="506"/>
      <c r="EO186" s="506"/>
      <c r="EP186" s="506"/>
      <c r="HA186" s="13"/>
      <c r="HB186" s="13"/>
      <c r="HC186" s="13"/>
      <c r="HD186" s="13"/>
      <c r="HE186" s="13"/>
      <c r="HF186" s="13"/>
      <c r="HG186" s="13"/>
      <c r="HH186" s="13"/>
    </row>
    <row r="187" spans="3:216" ht="15.75" thickBot="1">
      <c r="D187" s="355">
        <f t="shared" ref="D187:I187" si="437">SUM(D180:D186)</f>
        <v>13</v>
      </c>
      <c r="E187" s="356">
        <f t="shared" si="437"/>
        <v>1</v>
      </c>
      <c r="F187" s="355">
        <f t="shared" si="437"/>
        <v>13</v>
      </c>
      <c r="G187" s="358">
        <f t="shared" si="437"/>
        <v>1</v>
      </c>
      <c r="H187" s="355">
        <f t="shared" si="437"/>
        <v>0</v>
      </c>
      <c r="I187" s="358" t="e">
        <f t="shared" si="437"/>
        <v>#DIV/0!</v>
      </c>
      <c r="J187" s="357">
        <f>SUBTOTAL(9,J180:J186)</f>
        <v>14</v>
      </c>
      <c r="K187" s="361">
        <f>SUBTOTAL(9,K180:K186)</f>
        <v>0.99999999999999989</v>
      </c>
      <c r="L187" s="351">
        <f>SUM(L180:L186)</f>
        <v>9</v>
      </c>
      <c r="M187" s="362">
        <f>SUM(M180:M186)</f>
        <v>1</v>
      </c>
      <c r="N187" s="351">
        <f>SUM(N180:N186)</f>
        <v>2</v>
      </c>
      <c r="O187" s="363">
        <f>SUM(O180:O186)</f>
        <v>1</v>
      </c>
      <c r="P187" s="23">
        <f>SUBTOTAL(9,P180:P186)</f>
        <v>0</v>
      </c>
      <c r="Q187" s="25">
        <f>SUBTOTAL(9,Q180:Q186)</f>
        <v>51</v>
      </c>
      <c r="R187" s="110">
        <f>Q187-C162</f>
        <v>8</v>
      </c>
      <c r="EK187" s="506"/>
      <c r="EL187" s="506"/>
      <c r="EM187" s="13"/>
      <c r="EN187" s="506"/>
      <c r="EO187" s="506"/>
      <c r="EP187" s="506"/>
      <c r="HA187" s="13"/>
      <c r="HB187" s="13"/>
      <c r="HC187" s="13"/>
      <c r="HD187" s="13"/>
      <c r="HE187" s="13"/>
      <c r="HF187" s="13"/>
      <c r="HG187" s="13"/>
      <c r="HH187" s="13"/>
    </row>
    <row r="188" spans="3:216">
      <c r="EK188" s="506"/>
      <c r="EL188" s="506"/>
      <c r="EM188" s="13"/>
      <c r="EN188" s="506"/>
      <c r="EO188" s="506"/>
      <c r="EP188" s="506"/>
      <c r="HA188" s="13"/>
      <c r="HB188" s="13"/>
      <c r="HC188" s="13"/>
      <c r="HD188" s="13"/>
      <c r="HE188" s="13"/>
      <c r="HF188" s="13"/>
      <c r="HG188" s="13"/>
      <c r="HH188" s="13"/>
    </row>
    <row r="189" spans="3:216">
      <c r="EK189" s="506"/>
      <c r="EL189" s="506"/>
      <c r="EM189" s="13"/>
      <c r="EN189" s="506"/>
      <c r="EO189" s="506"/>
      <c r="EP189" s="506"/>
      <c r="HA189" s="13"/>
      <c r="HB189" s="13"/>
      <c r="HC189" s="13"/>
      <c r="HD189" s="13"/>
      <c r="HE189" s="13"/>
      <c r="HF189" s="13"/>
      <c r="HG189" s="13"/>
      <c r="HH189" s="13"/>
    </row>
    <row r="190" spans="3:216">
      <c r="EK190" s="506"/>
      <c r="EL190" s="506"/>
      <c r="EM190" s="13"/>
      <c r="EN190" s="506"/>
      <c r="EO190" s="506"/>
      <c r="EP190" s="506"/>
      <c r="HA190" s="13"/>
      <c r="HB190" s="13"/>
      <c r="HC190" s="13"/>
      <c r="HD190" s="13"/>
      <c r="HE190" s="13"/>
      <c r="HF190" s="13"/>
      <c r="HG190" s="13"/>
      <c r="HH190" s="13"/>
    </row>
    <row r="191" spans="3:216">
      <c r="EK191" s="506"/>
      <c r="EL191" s="506"/>
      <c r="EM191" s="13"/>
      <c r="EN191" s="506"/>
      <c r="EO191" s="506"/>
      <c r="EP191" s="506"/>
      <c r="HA191" s="13"/>
      <c r="HB191" s="13"/>
      <c r="HC191" s="13"/>
      <c r="HD191" s="13"/>
      <c r="HE191" s="13"/>
      <c r="HF191" s="13"/>
      <c r="HG191" s="13"/>
      <c r="HH191" s="13"/>
    </row>
    <row r="192" spans="3:216">
      <c r="EK192" s="506"/>
      <c r="EL192" s="506"/>
      <c r="EM192" s="13"/>
      <c r="EN192" s="506"/>
      <c r="EO192" s="506"/>
      <c r="EP192" s="506"/>
      <c r="HA192" s="13"/>
      <c r="HB192" s="13"/>
      <c r="HC192" s="13"/>
      <c r="HD192" s="13"/>
      <c r="HE192" s="13"/>
      <c r="HF192" s="13"/>
      <c r="HG192" s="13"/>
      <c r="HH192" s="13"/>
    </row>
    <row r="193" spans="141:216">
      <c r="EK193" s="506"/>
      <c r="EL193" s="506"/>
      <c r="EM193" s="13"/>
      <c r="EN193" s="506"/>
      <c r="EO193" s="506"/>
      <c r="EP193" s="506"/>
      <c r="HA193" s="13"/>
      <c r="HB193" s="13"/>
      <c r="HC193" s="13"/>
      <c r="HD193" s="13"/>
      <c r="HE193" s="13"/>
      <c r="HF193" s="13"/>
      <c r="HG193" s="13"/>
      <c r="HH193" s="13"/>
    </row>
    <row r="194" spans="141:216">
      <c r="EK194" s="506"/>
      <c r="EL194" s="506"/>
      <c r="EM194" s="13"/>
      <c r="EN194" s="506"/>
      <c r="EO194" s="506"/>
      <c r="EP194" s="506"/>
      <c r="HA194" s="13"/>
      <c r="HB194" s="13"/>
      <c r="HC194" s="13"/>
      <c r="HD194" s="13"/>
      <c r="HE194" s="13"/>
      <c r="HF194" s="13"/>
      <c r="HG194" s="13"/>
      <c r="HH194" s="13"/>
    </row>
    <row r="195" spans="141:216">
      <c r="EK195" s="506"/>
      <c r="EL195" s="506"/>
      <c r="EM195" s="13"/>
      <c r="EN195" s="506"/>
      <c r="EO195" s="506"/>
      <c r="EP195" s="506"/>
      <c r="HA195" s="13"/>
      <c r="HB195" s="13"/>
      <c r="HC195" s="13"/>
      <c r="HD195" s="13"/>
      <c r="HE195" s="13"/>
      <c r="HF195" s="13"/>
      <c r="HG195" s="13"/>
      <c r="HH195" s="13"/>
    </row>
    <row r="196" spans="141:216">
      <c r="EK196" s="506"/>
      <c r="EL196" s="506"/>
      <c r="EM196" s="13"/>
      <c r="EN196" s="506"/>
      <c r="EO196" s="506"/>
      <c r="EP196" s="506"/>
      <c r="HA196" s="13"/>
      <c r="HB196" s="13"/>
      <c r="HC196" s="13"/>
      <c r="HD196" s="13"/>
      <c r="HE196" s="13"/>
      <c r="HF196" s="13"/>
      <c r="HG196" s="13"/>
      <c r="HH196" s="13"/>
    </row>
    <row r="197" spans="141:216">
      <c r="EK197" s="506"/>
      <c r="EL197" s="506"/>
      <c r="EM197" s="13"/>
      <c r="EN197" s="506"/>
      <c r="EO197" s="506"/>
      <c r="EP197" s="506"/>
      <c r="HA197" s="13"/>
      <c r="HB197" s="13"/>
      <c r="HC197" s="13"/>
      <c r="HD197" s="13"/>
      <c r="HE197" s="13"/>
      <c r="HF197" s="13"/>
      <c r="HG197" s="13"/>
      <c r="HH197" s="13"/>
    </row>
    <row r="198" spans="141:216">
      <c r="EK198" s="506"/>
      <c r="EL198" s="506"/>
      <c r="EM198" s="13"/>
      <c r="EN198" s="506"/>
      <c r="EO198" s="506"/>
      <c r="EP198" s="506"/>
      <c r="HA198" s="13"/>
      <c r="HB198" s="13"/>
      <c r="HC198" s="13"/>
      <c r="HD198" s="13"/>
      <c r="HE198" s="13"/>
      <c r="HF198" s="13"/>
      <c r="HG198" s="13"/>
      <c r="HH198" s="13"/>
    </row>
    <row r="199" spans="141:216">
      <c r="EK199" s="506"/>
      <c r="EL199" s="506"/>
      <c r="EM199" s="13"/>
      <c r="EN199" s="506"/>
      <c r="EO199" s="506"/>
      <c r="EP199" s="506"/>
      <c r="HA199" s="13"/>
      <c r="HB199" s="13"/>
      <c r="HC199" s="13"/>
      <c r="HD199" s="13"/>
      <c r="HE199" s="13"/>
      <c r="HF199" s="13"/>
      <c r="HG199" s="13"/>
      <c r="HH199" s="13"/>
    </row>
    <row r="200" spans="141:216">
      <c r="EK200" s="506"/>
      <c r="EL200" s="506"/>
      <c r="EM200" s="13"/>
      <c r="EN200" s="506"/>
      <c r="EO200" s="506"/>
      <c r="EP200" s="506"/>
      <c r="HA200" s="13"/>
      <c r="HB200" s="13"/>
      <c r="HC200" s="13"/>
      <c r="HD200" s="13"/>
      <c r="HE200" s="13"/>
      <c r="HF200" s="13"/>
      <c r="HG200" s="13"/>
      <c r="HH200" s="13"/>
    </row>
    <row r="201" spans="141:216">
      <c r="EK201" s="506"/>
      <c r="EL201" s="506"/>
      <c r="EM201" s="13"/>
      <c r="EN201" s="506"/>
      <c r="EO201" s="506"/>
      <c r="EP201" s="506"/>
      <c r="HA201" s="13"/>
      <c r="HB201" s="13"/>
      <c r="HC201" s="13"/>
      <c r="HD201" s="13"/>
      <c r="HE201" s="13"/>
      <c r="HF201" s="13"/>
      <c r="HG201" s="13"/>
      <c r="HH201" s="13"/>
    </row>
    <row r="202" spans="141:216">
      <c r="EK202" s="506"/>
      <c r="EL202" s="506"/>
      <c r="EM202" s="13"/>
      <c r="EN202" s="506"/>
      <c r="EO202" s="506"/>
      <c r="EP202" s="506"/>
      <c r="HA202" s="13"/>
      <c r="HB202" s="13"/>
      <c r="HC202" s="13"/>
      <c r="HD202" s="13"/>
      <c r="HE202" s="13"/>
      <c r="HF202" s="13"/>
      <c r="HG202" s="13"/>
      <c r="HH202" s="13"/>
    </row>
    <row r="203" spans="141:216">
      <c r="EK203" s="506"/>
      <c r="EL203" s="506"/>
      <c r="EM203" s="13"/>
      <c r="EN203" s="506"/>
      <c r="EO203" s="506"/>
      <c r="EP203" s="506"/>
      <c r="HA203" s="13"/>
      <c r="HB203" s="13"/>
      <c r="HC203" s="13"/>
      <c r="HD203" s="13"/>
      <c r="HE203" s="13"/>
      <c r="HF203" s="13"/>
      <c r="HG203" s="13"/>
      <c r="HH203" s="13"/>
    </row>
    <row r="204" spans="141:216">
      <c r="EK204" s="506"/>
      <c r="EL204" s="506"/>
      <c r="EM204" s="13"/>
      <c r="EN204" s="506"/>
      <c r="EO204" s="506"/>
      <c r="EP204" s="506"/>
      <c r="HA204" s="13"/>
      <c r="HB204" s="13"/>
      <c r="HC204" s="13"/>
      <c r="HD204" s="13"/>
      <c r="HE204" s="13"/>
      <c r="HF204" s="13"/>
      <c r="HG204" s="13"/>
      <c r="HH204" s="13"/>
    </row>
    <row r="205" spans="141:216">
      <c r="EK205" s="506"/>
      <c r="EL205" s="506"/>
      <c r="EM205" s="13"/>
      <c r="EN205" s="506"/>
      <c r="EO205" s="506"/>
      <c r="EP205" s="506"/>
      <c r="HA205" s="13"/>
      <c r="HB205" s="13"/>
      <c r="HC205" s="13"/>
      <c r="HD205" s="13"/>
      <c r="HE205" s="13"/>
      <c r="HF205" s="13"/>
      <c r="HG205" s="13"/>
      <c r="HH205" s="13"/>
    </row>
    <row r="206" spans="141:216">
      <c r="EK206" s="506"/>
      <c r="EL206" s="506"/>
      <c r="EM206" s="13"/>
      <c r="EN206" s="506"/>
      <c r="EO206" s="506"/>
      <c r="EP206" s="506"/>
      <c r="HA206" s="13"/>
      <c r="HB206" s="13"/>
      <c r="HC206" s="13"/>
      <c r="HD206" s="13"/>
      <c r="HE206" s="13"/>
      <c r="HF206" s="13"/>
      <c r="HG206" s="13"/>
      <c r="HH206" s="13"/>
    </row>
    <row r="207" spans="141:216">
      <c r="EK207" s="506"/>
      <c r="EL207" s="506"/>
      <c r="EM207" s="13"/>
      <c r="EN207" s="506"/>
      <c r="EO207" s="506"/>
      <c r="EP207" s="506"/>
      <c r="HA207" s="13"/>
      <c r="HB207" s="13"/>
      <c r="HC207" s="13"/>
      <c r="HD207" s="13"/>
      <c r="HE207" s="13"/>
      <c r="HF207" s="13"/>
      <c r="HG207" s="13"/>
      <c r="HH207" s="13"/>
    </row>
    <row r="208" spans="141:216">
      <c r="EK208" s="506"/>
      <c r="EL208" s="506"/>
      <c r="EM208" s="13"/>
      <c r="EN208" s="506"/>
      <c r="EO208" s="506"/>
      <c r="EP208" s="506"/>
      <c r="HA208" s="13"/>
      <c r="HB208" s="13"/>
      <c r="HC208" s="13"/>
      <c r="HD208" s="13"/>
      <c r="HE208" s="13"/>
      <c r="HF208" s="13"/>
      <c r="HG208" s="13"/>
      <c r="HH208" s="13"/>
    </row>
    <row r="209" spans="1:240">
      <c r="EK209" s="506"/>
      <c r="EL209" s="506"/>
      <c r="EM209" s="13"/>
      <c r="EN209" s="506"/>
      <c r="EO209" s="506"/>
      <c r="EP209" s="506"/>
      <c r="HA209" s="13"/>
      <c r="HB209" s="13"/>
      <c r="HC209" s="13"/>
      <c r="HD209" s="13"/>
      <c r="HE209" s="13"/>
      <c r="HF209" s="13"/>
      <c r="HG209" s="13"/>
      <c r="HH209" s="13"/>
    </row>
    <row r="210" spans="1:240">
      <c r="EK210" s="506"/>
      <c r="EL210" s="506"/>
      <c r="EM210" s="13"/>
      <c r="EN210" s="506"/>
      <c r="EO210" s="506"/>
      <c r="EP210" s="506"/>
      <c r="HA210" s="13"/>
      <c r="HB210" s="13"/>
      <c r="HC210" s="13"/>
      <c r="HD210" s="13"/>
      <c r="HE210" s="13"/>
      <c r="HF210" s="13"/>
      <c r="HG210" s="13"/>
      <c r="HH210" s="13"/>
    </row>
    <row r="211" spans="1:240">
      <c r="EK211" s="506"/>
      <c r="EL211" s="506"/>
      <c r="EM211" s="13"/>
      <c r="EN211" s="506"/>
      <c r="EO211" s="506"/>
      <c r="EP211" s="506"/>
      <c r="HA211" s="13"/>
      <c r="HB211" s="13"/>
      <c r="HC211" s="13"/>
      <c r="HD211" s="13"/>
      <c r="HE211" s="13"/>
      <c r="HF211" s="13"/>
      <c r="HG211" s="13"/>
      <c r="HH211" s="13"/>
    </row>
    <row r="212" spans="1:240">
      <c r="EK212" s="506"/>
      <c r="EL212" s="506"/>
      <c r="EM212" s="13"/>
      <c r="EN212" s="506"/>
      <c r="EO212" s="506"/>
      <c r="EP212" s="506"/>
      <c r="HA212" s="13"/>
      <c r="HB212" s="13"/>
      <c r="HC212" s="13"/>
      <c r="HD212" s="13"/>
      <c r="HE212" s="13"/>
      <c r="HF212" s="13"/>
      <c r="HG212" s="13"/>
      <c r="HH212" s="13"/>
    </row>
    <row r="213" spans="1:240">
      <c r="EK213" s="506"/>
      <c r="EL213" s="506"/>
      <c r="EM213" s="13"/>
      <c r="EN213" s="506"/>
      <c r="EO213" s="506"/>
      <c r="EP213" s="506"/>
      <c r="HA213" s="13"/>
      <c r="HB213" s="13"/>
      <c r="HC213" s="13"/>
      <c r="HD213" s="13"/>
      <c r="HE213" s="13"/>
      <c r="HF213" s="13"/>
      <c r="HG213" s="13"/>
      <c r="HH213" s="13"/>
    </row>
    <row r="214" spans="1:240">
      <c r="EK214" s="506"/>
      <c r="EL214" s="506"/>
      <c r="EM214" s="13"/>
      <c r="EN214" s="506"/>
      <c r="EO214" s="506"/>
      <c r="EP214" s="506"/>
      <c r="HA214" s="13"/>
      <c r="HB214" s="13"/>
      <c r="HC214" s="13"/>
      <c r="HD214" s="13"/>
      <c r="HE214" s="13"/>
      <c r="HF214" s="13"/>
      <c r="HG214" s="13"/>
      <c r="HH214" s="13"/>
    </row>
    <row r="215" spans="1:240">
      <c r="EK215" s="506"/>
      <c r="EL215" s="506"/>
      <c r="EM215" s="13"/>
      <c r="EN215" s="506"/>
      <c r="EO215" s="506"/>
      <c r="EP215" s="506"/>
      <c r="HA215" s="13"/>
      <c r="HB215" s="13"/>
      <c r="HC215" s="13"/>
      <c r="HD215" s="13"/>
      <c r="HE215" s="13"/>
      <c r="HF215" s="13"/>
      <c r="HG215" s="13"/>
      <c r="HH215" s="13"/>
    </row>
    <row r="216" spans="1:240" s="31" customFormat="1">
      <c r="A216" s="713"/>
      <c r="B216" s="713"/>
      <c r="C216" s="13"/>
      <c r="D216" s="13"/>
      <c r="E216" s="13"/>
      <c r="F216" s="13"/>
      <c r="G216" s="13"/>
      <c r="H216" s="13"/>
      <c r="I216" s="13"/>
      <c r="J216" s="13"/>
      <c r="K216" s="13"/>
      <c r="L216" s="233"/>
      <c r="M216" s="153"/>
      <c r="N216" s="153"/>
      <c r="O216" s="15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657"/>
      <c r="AL216" s="138"/>
      <c r="AM216" s="880"/>
      <c r="AN216" s="13"/>
      <c r="AO216" s="13"/>
      <c r="AP216" s="13"/>
      <c r="AQ216" s="13"/>
      <c r="AR216" s="13"/>
      <c r="AS216" s="13"/>
      <c r="AT216" s="13"/>
      <c r="AU216" s="13"/>
      <c r="AV216" s="13"/>
      <c r="AW216" s="13"/>
      <c r="AX216" s="110"/>
      <c r="AY216" s="24"/>
      <c r="AZ216" s="13"/>
      <c r="BA216" s="13"/>
      <c r="BB216" s="13"/>
      <c r="BC216" s="13"/>
      <c r="BD216" s="13"/>
      <c r="BE216" s="13"/>
      <c r="BF216" s="13"/>
      <c r="BG216" s="13"/>
      <c r="BH216" s="13"/>
      <c r="BI216" s="138"/>
      <c r="BJ216" s="138"/>
      <c r="BK216" s="138"/>
      <c r="BL216" s="138"/>
      <c r="BM216" s="138"/>
      <c r="BN216" s="138"/>
      <c r="BO216" s="961"/>
      <c r="BP216" s="138"/>
      <c r="BQ216" s="138"/>
      <c r="BR216" s="138"/>
      <c r="BS216" s="138"/>
      <c r="BT216" s="138"/>
      <c r="BU216" s="138"/>
      <c r="BV216" s="138"/>
      <c r="BW216" s="138"/>
      <c r="BX216" s="138"/>
      <c r="BY216" s="138"/>
      <c r="BZ216" s="138"/>
      <c r="CA216" s="138"/>
      <c r="CB216" s="138"/>
      <c r="CC216" s="138"/>
      <c r="CD216" s="138"/>
      <c r="CE216" s="138"/>
      <c r="CF216" s="138"/>
      <c r="CG216" s="138"/>
      <c r="CH216" s="138"/>
      <c r="CI216" s="138"/>
      <c r="CJ216" s="138"/>
      <c r="CK216" s="138"/>
      <c r="CL216" s="139"/>
      <c r="CM216" s="139"/>
      <c r="CN216" s="139"/>
      <c r="CO216" s="139"/>
      <c r="CP216" s="139"/>
      <c r="CQ216" s="13"/>
      <c r="CR216" s="506"/>
      <c r="CS216" s="506"/>
      <c r="CT216" s="25"/>
      <c r="CU216" s="13"/>
      <c r="CV216" s="506"/>
      <c r="CW216" s="13"/>
      <c r="CX216" s="506"/>
      <c r="CY216" s="13"/>
      <c r="CZ216" s="13"/>
      <c r="DA216" s="13"/>
      <c r="DB216" s="13"/>
      <c r="DC216" s="13"/>
      <c r="DD216" s="506"/>
      <c r="DE216" s="506"/>
      <c r="DF216" s="13"/>
      <c r="DG216" s="13"/>
      <c r="DH216" s="506"/>
      <c r="DI216" s="506"/>
      <c r="DJ216" s="506"/>
      <c r="DK216" s="13"/>
      <c r="DL216" s="506"/>
      <c r="DM216" s="13"/>
      <c r="DN216" s="13"/>
      <c r="DO216" s="13"/>
      <c r="DP216" s="13"/>
      <c r="DQ216" s="176"/>
      <c r="DR216" s="13"/>
      <c r="DS216" s="506"/>
      <c r="DT216" s="506"/>
      <c r="DU216" s="25"/>
      <c r="DV216" s="506"/>
      <c r="DW216" s="506"/>
      <c r="DX216" s="13"/>
      <c r="DY216" s="506"/>
      <c r="DZ216" s="506"/>
      <c r="EA216" s="13"/>
      <c r="EB216" s="506"/>
      <c r="EC216" s="506"/>
      <c r="ED216" s="13"/>
      <c r="EE216" s="506"/>
      <c r="EF216" s="506"/>
      <c r="EG216" s="13"/>
      <c r="EH216" s="506"/>
      <c r="EI216" s="506"/>
      <c r="EJ216" s="13"/>
      <c r="EK216" s="506"/>
      <c r="EL216" s="506"/>
      <c r="EM216" s="13"/>
      <c r="EN216" s="506"/>
      <c r="EO216" s="506"/>
      <c r="EP216" s="506"/>
      <c r="EQ216" s="13"/>
      <c r="ER216" s="13"/>
      <c r="ES216" s="13"/>
      <c r="ET216" s="138"/>
      <c r="EU216" s="13"/>
      <c r="EV216" s="13"/>
      <c r="EW216" s="13"/>
      <c r="EX216" s="13"/>
      <c r="EY216" s="13"/>
      <c r="EZ216" s="13"/>
      <c r="FA216" s="13"/>
      <c r="FB216" s="307"/>
      <c r="FC216" s="13"/>
      <c r="FD216" s="13"/>
      <c r="FE216" s="13"/>
      <c r="FF216" s="13"/>
      <c r="FG216" s="526"/>
      <c r="FH216" s="526"/>
      <c r="FI216" s="526"/>
      <c r="FJ216" s="526"/>
      <c r="FK216" s="526"/>
      <c r="FL216" s="526"/>
      <c r="FN216" s="522"/>
      <c r="FO216" s="762"/>
      <c r="FQ216" s="13"/>
      <c r="FR216" s="13"/>
      <c r="FS216" s="13"/>
      <c r="FT216" s="13"/>
      <c r="FU216" s="13"/>
      <c r="FV216" s="13"/>
      <c r="FW216" s="13"/>
      <c r="FX216" s="13"/>
      <c r="FY216" s="13"/>
      <c r="FZ216" s="13"/>
      <c r="GA216" s="13"/>
      <c r="GB216" s="13"/>
      <c r="GC216" s="13"/>
      <c r="GD216" s="13"/>
      <c r="GE216" s="13"/>
      <c r="GF216" s="13"/>
      <c r="GG216" s="13"/>
      <c r="GH216" s="13"/>
      <c r="GI216" s="13"/>
      <c r="GJ216" s="13"/>
      <c r="GK216" s="13"/>
      <c r="GL216" s="551"/>
      <c r="GM216" s="551"/>
      <c r="GN216" s="25"/>
      <c r="GO216" s="13"/>
      <c r="GP216" s="25"/>
      <c r="GQ216" s="13"/>
      <c r="GR216" s="13"/>
      <c r="GS216" s="13"/>
      <c r="GT216" s="13"/>
      <c r="GU216" s="13"/>
      <c r="GV216" s="13"/>
      <c r="GW216" s="13"/>
      <c r="GX216" s="13"/>
      <c r="GY216" s="571"/>
      <c r="GZ216" s="13"/>
      <c r="HA216" s="13"/>
      <c r="HB216" s="13"/>
      <c r="HC216" s="13"/>
      <c r="HD216" s="13"/>
      <c r="HE216" s="13"/>
      <c r="HF216" s="13"/>
      <c r="HG216" s="13"/>
      <c r="HH216" s="13"/>
      <c r="HI216" s="13"/>
      <c r="HJ216" s="13"/>
      <c r="HK216" s="13"/>
      <c r="HL216" s="13"/>
      <c r="HM216" s="13"/>
      <c r="HN216" s="13"/>
      <c r="HO216" s="13"/>
      <c r="HP216" s="13"/>
      <c r="HQ216" s="13"/>
      <c r="HR216" s="25"/>
      <c r="HS216" s="13"/>
      <c r="HT216" s="13"/>
      <c r="HU216" s="13"/>
      <c r="HV216" s="13"/>
      <c r="HW216" s="13"/>
      <c r="HX216" s="13"/>
      <c r="HY216" s="13"/>
      <c r="HZ216" s="13"/>
      <c r="IA216" s="13"/>
      <c r="IB216" s="13"/>
      <c r="IC216" s="13"/>
      <c r="ID216" s="13"/>
      <c r="IE216" s="13"/>
      <c r="IF216" s="13"/>
    </row>
    <row r="217" spans="1:240" s="31" customFormat="1">
      <c r="A217" s="713"/>
      <c r="B217" s="713"/>
      <c r="C217" s="13"/>
      <c r="D217" s="13"/>
      <c r="E217" s="13"/>
      <c r="F217" s="13"/>
      <c r="G217" s="13"/>
      <c r="H217" s="13"/>
      <c r="I217" s="13"/>
      <c r="J217" s="13"/>
      <c r="K217" s="13"/>
      <c r="L217" s="233"/>
      <c r="M217" s="153"/>
      <c r="N217" s="153"/>
      <c r="O217" s="15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657"/>
      <c r="AL217" s="138"/>
      <c r="AM217" s="880"/>
      <c r="AN217" s="13"/>
      <c r="AO217" s="13"/>
      <c r="AP217" s="13"/>
      <c r="AQ217" s="13"/>
      <c r="AR217" s="13"/>
      <c r="AS217" s="13"/>
      <c r="AT217" s="13"/>
      <c r="AU217" s="13"/>
      <c r="AV217" s="13"/>
      <c r="AW217" s="13"/>
      <c r="AX217" s="110"/>
      <c r="AY217" s="24"/>
      <c r="AZ217" s="13"/>
      <c r="BA217" s="13"/>
      <c r="BB217" s="13"/>
      <c r="BC217" s="13"/>
      <c r="BD217" s="13"/>
      <c r="BE217" s="13"/>
      <c r="BF217" s="13"/>
      <c r="BG217" s="13"/>
      <c r="BH217" s="13"/>
      <c r="BI217" s="138"/>
      <c r="BJ217" s="138"/>
      <c r="BK217" s="138"/>
      <c r="BL217" s="138"/>
      <c r="BM217" s="138"/>
      <c r="BN217" s="138"/>
      <c r="BO217" s="961"/>
      <c r="BP217" s="138"/>
      <c r="BQ217" s="138"/>
      <c r="BR217" s="138"/>
      <c r="BS217" s="138"/>
      <c r="BT217" s="138"/>
      <c r="BU217" s="138"/>
      <c r="BV217" s="138"/>
      <c r="BW217" s="138"/>
      <c r="BX217" s="138"/>
      <c r="BY217" s="138"/>
      <c r="BZ217" s="138"/>
      <c r="CA217" s="138"/>
      <c r="CB217" s="138"/>
      <c r="CC217" s="138"/>
      <c r="CD217" s="138"/>
      <c r="CE217" s="138"/>
      <c r="CF217" s="138"/>
      <c r="CG217" s="138"/>
      <c r="CH217" s="138"/>
      <c r="CI217" s="138"/>
      <c r="CJ217" s="138"/>
      <c r="CK217" s="138"/>
      <c r="CL217" s="139"/>
      <c r="CM217" s="139"/>
      <c r="CN217" s="139"/>
      <c r="CO217" s="139"/>
      <c r="CP217" s="139"/>
      <c r="CQ217" s="13"/>
      <c r="CR217" s="506"/>
      <c r="CS217" s="506"/>
      <c r="CT217" s="25"/>
      <c r="CU217" s="13"/>
      <c r="CV217" s="506"/>
      <c r="CW217" s="13"/>
      <c r="CX217" s="506"/>
      <c r="CY217" s="13"/>
      <c r="CZ217" s="13"/>
      <c r="DA217" s="13"/>
      <c r="DB217" s="13"/>
      <c r="DC217" s="13"/>
      <c r="DD217" s="506"/>
      <c r="DE217" s="506"/>
      <c r="DF217" s="13"/>
      <c r="DG217" s="13"/>
      <c r="DH217" s="506"/>
      <c r="DI217" s="506"/>
      <c r="DJ217" s="506"/>
      <c r="DK217" s="13"/>
      <c r="DL217" s="506"/>
      <c r="DM217" s="13"/>
      <c r="DN217" s="13"/>
      <c r="DO217" s="13"/>
      <c r="DP217" s="13"/>
      <c r="DQ217" s="176"/>
      <c r="DR217" s="13"/>
      <c r="DS217" s="506"/>
      <c r="DT217" s="506"/>
      <c r="DU217" s="25"/>
      <c r="DV217" s="506"/>
      <c r="DW217" s="506"/>
      <c r="DX217" s="13"/>
      <c r="DY217" s="506"/>
      <c r="DZ217" s="506"/>
      <c r="EA217" s="13"/>
      <c r="EB217" s="506"/>
      <c r="EC217" s="506"/>
      <c r="ED217" s="13"/>
      <c r="EE217" s="506"/>
      <c r="EF217" s="506"/>
      <c r="EG217" s="13"/>
      <c r="EH217" s="506"/>
      <c r="EI217" s="506"/>
      <c r="EJ217" s="13"/>
      <c r="EK217" s="506"/>
      <c r="EL217" s="506"/>
      <c r="EM217" s="13"/>
      <c r="EN217" s="506"/>
      <c r="EO217" s="506"/>
      <c r="EP217" s="506"/>
      <c r="EQ217" s="13"/>
      <c r="ER217" s="13"/>
      <c r="ES217" s="13"/>
      <c r="ET217" s="138"/>
      <c r="EU217" s="13"/>
      <c r="EV217" s="13"/>
      <c r="EW217" s="13"/>
      <c r="EX217" s="13"/>
      <c r="EY217" s="13"/>
      <c r="EZ217" s="13"/>
      <c r="FA217" s="13"/>
      <c r="FB217" s="307"/>
      <c r="FC217" s="13"/>
      <c r="FD217" s="13"/>
      <c r="FE217" s="13"/>
      <c r="FF217" s="13"/>
      <c r="FG217" s="526"/>
      <c r="FH217" s="526"/>
      <c r="FI217" s="526"/>
      <c r="FJ217" s="526"/>
      <c r="FK217" s="526"/>
      <c r="FL217" s="526"/>
      <c r="FN217" s="522"/>
      <c r="FO217" s="762"/>
      <c r="FQ217" s="13"/>
      <c r="FR217" s="13"/>
      <c r="FS217" s="13"/>
      <c r="FT217" s="13"/>
      <c r="FU217" s="13"/>
      <c r="FV217" s="13"/>
      <c r="FW217" s="13"/>
      <c r="FX217" s="13"/>
      <c r="FY217" s="13"/>
      <c r="FZ217" s="13"/>
      <c r="GA217" s="13"/>
      <c r="GB217" s="13"/>
      <c r="GC217" s="13"/>
      <c r="GD217" s="13"/>
      <c r="GE217" s="13"/>
      <c r="GF217" s="13"/>
      <c r="GG217" s="13"/>
      <c r="GH217" s="13"/>
      <c r="GI217" s="13"/>
      <c r="GJ217" s="13"/>
      <c r="GK217" s="13"/>
      <c r="GL217" s="551"/>
      <c r="GM217" s="551"/>
      <c r="GN217" s="25"/>
      <c r="GO217" s="13"/>
      <c r="GP217" s="25"/>
      <c r="GQ217" s="13"/>
      <c r="GR217" s="13"/>
      <c r="GS217" s="13"/>
      <c r="GT217" s="13"/>
      <c r="GU217" s="13"/>
      <c r="GV217" s="13"/>
      <c r="GW217" s="13"/>
      <c r="GX217" s="13"/>
      <c r="GY217" s="571"/>
      <c r="GZ217" s="13"/>
      <c r="HA217" s="13"/>
      <c r="HB217" s="13"/>
      <c r="HC217" s="13"/>
      <c r="HD217" s="13"/>
      <c r="HE217" s="13"/>
      <c r="HF217" s="13"/>
      <c r="HG217" s="13"/>
      <c r="HH217" s="13"/>
      <c r="HI217" s="13"/>
      <c r="HJ217" s="13"/>
      <c r="HK217" s="13"/>
      <c r="HL217" s="13"/>
      <c r="HM217" s="13"/>
      <c r="HN217" s="13"/>
      <c r="HO217" s="13"/>
      <c r="HP217" s="13"/>
      <c r="HQ217" s="13"/>
      <c r="HR217" s="25"/>
      <c r="HS217" s="13"/>
      <c r="HT217" s="13"/>
      <c r="HU217" s="13"/>
      <c r="HV217" s="13"/>
      <c r="HW217" s="13"/>
      <c r="HX217" s="13"/>
      <c r="HY217" s="13"/>
      <c r="HZ217" s="13"/>
      <c r="IA217" s="13"/>
      <c r="IB217" s="13"/>
      <c r="IC217" s="13"/>
      <c r="ID217" s="13"/>
      <c r="IE217" s="13"/>
      <c r="IF217" s="13"/>
    </row>
    <row r="218" spans="1:240" s="31" customFormat="1">
      <c r="A218" s="713"/>
      <c r="B218" s="713"/>
      <c r="C218" s="13"/>
      <c r="D218" s="13"/>
      <c r="E218" s="13"/>
      <c r="F218" s="13"/>
      <c r="G218" s="13"/>
      <c r="H218" s="13"/>
      <c r="I218" s="13"/>
      <c r="J218" s="13"/>
      <c r="K218" s="13"/>
      <c r="L218" s="233"/>
      <c r="M218" s="153"/>
      <c r="N218" s="153"/>
      <c r="O218" s="15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657"/>
      <c r="AL218" s="138"/>
      <c r="AM218" s="880"/>
      <c r="AN218" s="13"/>
      <c r="AO218" s="13"/>
      <c r="AP218" s="13"/>
      <c r="AQ218" s="13"/>
      <c r="AR218" s="13"/>
      <c r="AS218" s="13"/>
      <c r="AT218" s="13"/>
      <c r="AU218" s="13"/>
      <c r="AV218" s="13"/>
      <c r="AW218" s="13"/>
      <c r="AX218" s="110"/>
      <c r="AY218" s="24"/>
      <c r="AZ218" s="13"/>
      <c r="BA218" s="13"/>
      <c r="BB218" s="13"/>
      <c r="BC218" s="13"/>
      <c r="BD218" s="13"/>
      <c r="BE218" s="13"/>
      <c r="BF218" s="13"/>
      <c r="BG218" s="13"/>
      <c r="BH218" s="13"/>
      <c r="BI218" s="138"/>
      <c r="BJ218" s="138"/>
      <c r="BK218" s="138"/>
      <c r="BL218" s="138"/>
      <c r="BM218" s="138"/>
      <c r="BN218" s="138"/>
      <c r="BO218" s="961"/>
      <c r="BP218" s="138"/>
      <c r="BQ218" s="138"/>
      <c r="BR218" s="138"/>
      <c r="BS218" s="138"/>
      <c r="BT218" s="138"/>
      <c r="BU218" s="138"/>
      <c r="BV218" s="138"/>
      <c r="BW218" s="138"/>
      <c r="BX218" s="138"/>
      <c r="BY218" s="138"/>
      <c r="BZ218" s="138"/>
      <c r="CA218" s="138"/>
      <c r="CB218" s="138"/>
      <c r="CC218" s="138"/>
      <c r="CD218" s="138"/>
      <c r="CE218" s="138"/>
      <c r="CF218" s="138"/>
      <c r="CG218" s="138"/>
      <c r="CH218" s="138"/>
      <c r="CI218" s="138"/>
      <c r="CJ218" s="138"/>
      <c r="CK218" s="138"/>
      <c r="CL218" s="139"/>
      <c r="CM218" s="139"/>
      <c r="CN218" s="139"/>
      <c r="CO218" s="139"/>
      <c r="CP218" s="139"/>
      <c r="CQ218" s="13"/>
      <c r="CR218" s="506"/>
      <c r="CS218" s="506"/>
      <c r="CT218" s="25"/>
      <c r="CU218" s="13"/>
      <c r="CV218" s="506"/>
      <c r="CW218" s="13"/>
      <c r="CX218" s="506"/>
      <c r="CY218" s="13"/>
      <c r="CZ218" s="13"/>
      <c r="DA218" s="13"/>
      <c r="DB218" s="13"/>
      <c r="DC218" s="13"/>
      <c r="DD218" s="506"/>
      <c r="DE218" s="506"/>
      <c r="DF218" s="13"/>
      <c r="DG218" s="13"/>
      <c r="DH218" s="506"/>
      <c r="DI218" s="506"/>
      <c r="DJ218" s="506"/>
      <c r="DK218" s="13"/>
      <c r="DL218" s="506"/>
      <c r="DM218" s="13"/>
      <c r="DN218" s="13"/>
      <c r="DO218" s="13"/>
      <c r="DP218" s="13"/>
      <c r="DQ218" s="176"/>
      <c r="DR218" s="13"/>
      <c r="DS218" s="506"/>
      <c r="DT218" s="506"/>
      <c r="DU218" s="25"/>
      <c r="DV218" s="506"/>
      <c r="DW218" s="506"/>
      <c r="DX218" s="13"/>
      <c r="DY218" s="506"/>
      <c r="DZ218" s="506"/>
      <c r="EA218" s="13"/>
      <c r="EB218" s="506"/>
      <c r="EC218" s="506"/>
      <c r="ED218" s="13"/>
      <c r="EE218" s="506"/>
      <c r="EF218" s="506"/>
      <c r="EG218" s="13"/>
      <c r="EH218" s="506"/>
      <c r="EI218" s="506"/>
      <c r="EJ218" s="13"/>
      <c r="EK218" s="506"/>
      <c r="EL218" s="506"/>
      <c r="EM218" s="13"/>
      <c r="EN218" s="506"/>
      <c r="EO218" s="506"/>
      <c r="EP218" s="506"/>
      <c r="EQ218" s="13"/>
      <c r="ER218" s="13"/>
      <c r="ES218" s="13"/>
      <c r="ET218" s="138"/>
      <c r="EU218" s="13"/>
      <c r="EV218" s="13"/>
      <c r="EW218" s="13"/>
      <c r="EX218" s="13"/>
      <c r="EY218" s="13"/>
      <c r="EZ218" s="13"/>
      <c r="FA218" s="13"/>
      <c r="FB218" s="307"/>
      <c r="FC218" s="13"/>
      <c r="FD218" s="13"/>
      <c r="FE218" s="13"/>
      <c r="FF218" s="13"/>
      <c r="FG218" s="526"/>
      <c r="FH218" s="526"/>
      <c r="FI218" s="526"/>
      <c r="FJ218" s="526"/>
      <c r="FK218" s="526"/>
      <c r="FL218" s="526"/>
      <c r="FN218" s="522"/>
      <c r="FO218" s="762"/>
      <c r="FQ218" s="13"/>
      <c r="FR218" s="13"/>
      <c r="FS218" s="13"/>
      <c r="FT218" s="13"/>
      <c r="FU218" s="13"/>
      <c r="FV218" s="13"/>
      <c r="FW218" s="13"/>
      <c r="FX218" s="13"/>
      <c r="FY218" s="13"/>
      <c r="FZ218" s="13"/>
      <c r="GA218" s="13"/>
      <c r="GB218" s="13"/>
      <c r="GC218" s="13"/>
      <c r="GD218" s="13"/>
      <c r="GE218" s="13"/>
      <c r="GF218" s="13"/>
      <c r="GG218" s="13"/>
      <c r="GH218" s="13"/>
      <c r="GI218" s="13"/>
      <c r="GJ218" s="13"/>
      <c r="GK218" s="13"/>
      <c r="GL218" s="551"/>
      <c r="GM218" s="551"/>
      <c r="GN218" s="25"/>
      <c r="GO218" s="13"/>
      <c r="GP218" s="25"/>
      <c r="GQ218" s="13"/>
      <c r="GR218" s="13"/>
      <c r="GS218" s="13"/>
      <c r="GT218" s="13"/>
      <c r="GU218" s="13"/>
      <c r="GV218" s="13"/>
      <c r="GW218" s="13"/>
      <c r="GX218" s="13"/>
      <c r="GY218" s="571"/>
      <c r="GZ218" s="13"/>
      <c r="HA218" s="13"/>
      <c r="HB218" s="13"/>
      <c r="HC218" s="13"/>
      <c r="HD218" s="13"/>
      <c r="HE218" s="13"/>
      <c r="HF218" s="13"/>
      <c r="HG218" s="13"/>
      <c r="HH218" s="13"/>
      <c r="HI218" s="13"/>
      <c r="HJ218" s="13"/>
      <c r="HK218" s="13"/>
      <c r="HL218" s="13"/>
      <c r="HM218" s="13"/>
      <c r="HN218" s="13"/>
      <c r="HO218" s="13"/>
      <c r="HP218" s="13"/>
      <c r="HQ218" s="13"/>
      <c r="HR218" s="25"/>
      <c r="HS218" s="13"/>
      <c r="HT218" s="13"/>
      <c r="HU218" s="13"/>
      <c r="HV218" s="13"/>
      <c r="HW218" s="13"/>
      <c r="HX218" s="13"/>
      <c r="HY218" s="13"/>
      <c r="HZ218" s="13"/>
      <c r="IA218" s="13"/>
      <c r="IB218" s="13"/>
      <c r="IC218" s="13"/>
      <c r="ID218" s="13"/>
      <c r="IE218" s="13"/>
      <c r="IF218" s="13"/>
    </row>
    <row r="219" spans="1:240" s="31" customFormat="1">
      <c r="A219" s="713"/>
      <c r="B219" s="713"/>
      <c r="C219" s="13"/>
      <c r="D219" s="13"/>
      <c r="E219" s="13"/>
      <c r="F219" s="13"/>
      <c r="G219" s="13"/>
      <c r="H219" s="13"/>
      <c r="I219" s="13"/>
      <c r="J219" s="13"/>
      <c r="K219" s="13"/>
      <c r="L219" s="233"/>
      <c r="M219" s="153"/>
      <c r="N219" s="153"/>
      <c r="O219" s="15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657"/>
      <c r="AL219" s="138"/>
      <c r="AM219" s="880"/>
      <c r="AN219" s="13"/>
      <c r="AO219" s="13"/>
      <c r="AP219" s="13"/>
      <c r="AQ219" s="13"/>
      <c r="AR219" s="13"/>
      <c r="AS219" s="13"/>
      <c r="AT219" s="13"/>
      <c r="AU219" s="13"/>
      <c r="AV219" s="13"/>
      <c r="AW219" s="13"/>
      <c r="AX219" s="110"/>
      <c r="AY219" s="24"/>
      <c r="AZ219" s="13"/>
      <c r="BA219" s="13"/>
      <c r="BB219" s="13"/>
      <c r="BC219" s="13"/>
      <c r="BD219" s="13"/>
      <c r="BE219" s="13"/>
      <c r="BF219" s="13"/>
      <c r="BG219" s="13"/>
      <c r="BH219" s="13"/>
      <c r="BI219" s="138"/>
      <c r="BJ219" s="138"/>
      <c r="BK219" s="138"/>
      <c r="BL219" s="138"/>
      <c r="BM219" s="138"/>
      <c r="BN219" s="138"/>
      <c r="BO219" s="961"/>
      <c r="BP219" s="138"/>
      <c r="BQ219" s="138"/>
      <c r="BR219" s="138"/>
      <c r="BS219" s="138"/>
      <c r="BT219" s="138"/>
      <c r="BU219" s="138"/>
      <c r="BV219" s="138"/>
      <c r="BW219" s="138"/>
      <c r="BX219" s="138"/>
      <c r="BY219" s="138"/>
      <c r="BZ219" s="138"/>
      <c r="CA219" s="138"/>
      <c r="CB219" s="138"/>
      <c r="CC219" s="138"/>
      <c r="CD219" s="138"/>
      <c r="CE219" s="138"/>
      <c r="CF219" s="138"/>
      <c r="CG219" s="138"/>
      <c r="CH219" s="138"/>
      <c r="CI219" s="138"/>
      <c r="CJ219" s="138"/>
      <c r="CK219" s="138"/>
      <c r="CL219" s="139"/>
      <c r="CM219" s="139"/>
      <c r="CN219" s="139"/>
      <c r="CO219" s="139"/>
      <c r="CP219" s="139"/>
      <c r="CQ219" s="13"/>
      <c r="CR219" s="506"/>
      <c r="CS219" s="506"/>
      <c r="CT219" s="25"/>
      <c r="CU219" s="13"/>
      <c r="CV219" s="506"/>
      <c r="CW219" s="13"/>
      <c r="CX219" s="506"/>
      <c r="CY219" s="13"/>
      <c r="CZ219" s="13"/>
      <c r="DA219" s="13"/>
      <c r="DB219" s="13"/>
      <c r="DC219" s="13"/>
      <c r="DD219" s="506"/>
      <c r="DE219" s="506"/>
      <c r="DF219" s="13"/>
      <c r="DG219" s="13"/>
      <c r="DH219" s="506"/>
      <c r="DI219" s="506"/>
      <c r="DJ219" s="506"/>
      <c r="DK219" s="13"/>
      <c r="DL219" s="506"/>
      <c r="DM219" s="13"/>
      <c r="DN219" s="13"/>
      <c r="DO219" s="13"/>
      <c r="DP219" s="13"/>
      <c r="DQ219" s="176"/>
      <c r="DR219" s="13"/>
      <c r="DS219" s="506"/>
      <c r="DT219" s="506"/>
      <c r="DU219" s="25"/>
      <c r="DV219" s="506"/>
      <c r="DW219" s="506"/>
      <c r="DX219" s="13"/>
      <c r="DY219" s="506"/>
      <c r="DZ219" s="506"/>
      <c r="EA219" s="13"/>
      <c r="EB219" s="506"/>
      <c r="EC219" s="506"/>
      <c r="ED219" s="13"/>
      <c r="EE219" s="506"/>
      <c r="EF219" s="506"/>
      <c r="EG219" s="13"/>
      <c r="EH219" s="506"/>
      <c r="EI219" s="506"/>
      <c r="EJ219" s="13"/>
      <c r="EK219" s="506"/>
      <c r="EL219" s="506"/>
      <c r="EM219" s="13"/>
      <c r="EN219" s="506"/>
      <c r="EO219" s="506"/>
      <c r="EP219" s="506"/>
      <c r="EQ219" s="13"/>
      <c r="ER219" s="13"/>
      <c r="ES219" s="13"/>
      <c r="ET219" s="138"/>
      <c r="EU219" s="13"/>
      <c r="EV219" s="13"/>
      <c r="EW219" s="13"/>
      <c r="EX219" s="13"/>
      <c r="EY219" s="13"/>
      <c r="EZ219" s="13"/>
      <c r="FA219" s="13"/>
      <c r="FB219" s="307"/>
      <c r="FC219" s="13"/>
      <c r="FD219" s="13"/>
      <c r="FE219" s="13"/>
      <c r="FF219" s="13"/>
      <c r="FG219" s="526"/>
      <c r="FH219" s="526"/>
      <c r="FI219" s="526"/>
      <c r="FJ219" s="526"/>
      <c r="FK219" s="526"/>
      <c r="FL219" s="526"/>
      <c r="FN219" s="522"/>
      <c r="FO219" s="762"/>
      <c r="FQ219" s="13"/>
      <c r="FR219" s="13"/>
      <c r="FS219" s="13"/>
      <c r="FT219" s="13"/>
      <c r="FU219" s="13"/>
      <c r="FV219" s="13"/>
      <c r="FW219" s="13"/>
      <c r="FX219" s="13"/>
      <c r="FY219" s="13"/>
      <c r="FZ219" s="13"/>
      <c r="GA219" s="13"/>
      <c r="GB219" s="13"/>
      <c r="GC219" s="13"/>
      <c r="GD219" s="13"/>
      <c r="GE219" s="13"/>
      <c r="GF219" s="13"/>
      <c r="GG219" s="13"/>
      <c r="GH219" s="13"/>
      <c r="GI219" s="13"/>
      <c r="GJ219" s="13"/>
      <c r="GK219" s="13"/>
      <c r="GL219" s="551"/>
      <c r="GM219" s="551"/>
      <c r="GN219" s="25"/>
      <c r="GO219" s="13"/>
      <c r="GP219" s="25"/>
      <c r="GQ219" s="13"/>
      <c r="GR219" s="13"/>
      <c r="GS219" s="13"/>
      <c r="GT219" s="13"/>
      <c r="GU219" s="13"/>
      <c r="GV219" s="13"/>
      <c r="GW219" s="13"/>
      <c r="GX219" s="13"/>
      <c r="GY219" s="571"/>
      <c r="GZ219" s="13"/>
      <c r="HA219" s="13"/>
      <c r="HB219" s="13"/>
      <c r="HC219" s="13"/>
      <c r="HD219" s="13"/>
      <c r="HE219" s="13"/>
      <c r="HF219" s="13"/>
      <c r="HG219" s="13"/>
      <c r="HH219" s="13"/>
      <c r="HI219" s="13"/>
      <c r="HJ219" s="13"/>
      <c r="HK219" s="13"/>
      <c r="HL219" s="13"/>
      <c r="HM219" s="13"/>
      <c r="HN219" s="13"/>
      <c r="HO219" s="13"/>
      <c r="HP219" s="13"/>
      <c r="HQ219" s="13"/>
      <c r="HR219" s="25"/>
      <c r="HS219" s="13"/>
      <c r="HT219" s="13"/>
      <c r="HU219" s="13"/>
      <c r="HV219" s="13"/>
      <c r="HW219" s="13"/>
      <c r="HX219" s="13"/>
      <c r="HY219" s="13"/>
      <c r="HZ219" s="13"/>
      <c r="IA219" s="13"/>
      <c r="IB219" s="13"/>
      <c r="IC219" s="13"/>
      <c r="ID219" s="13"/>
      <c r="IE219" s="13"/>
      <c r="IF219" s="13"/>
    </row>
    <row r="220" spans="1:240" s="31" customFormat="1">
      <c r="A220" s="713"/>
      <c r="B220" s="713"/>
      <c r="C220" s="13"/>
      <c r="D220" s="13"/>
      <c r="E220" s="13"/>
      <c r="F220" s="13"/>
      <c r="G220" s="13"/>
      <c r="H220" s="13"/>
      <c r="I220" s="13"/>
      <c r="J220" s="13"/>
      <c r="K220" s="13"/>
      <c r="L220" s="233"/>
      <c r="M220" s="153"/>
      <c r="N220" s="153"/>
      <c r="O220" s="15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  <c r="AJ220" s="13"/>
      <c r="AK220" s="657"/>
      <c r="AL220" s="138"/>
      <c r="AM220" s="880"/>
      <c r="AN220" s="13"/>
      <c r="AO220" s="13"/>
      <c r="AP220" s="13"/>
      <c r="AQ220" s="13"/>
      <c r="AR220" s="13"/>
      <c r="AS220" s="13"/>
      <c r="AT220" s="13"/>
      <c r="AU220" s="13"/>
      <c r="AV220" s="13"/>
      <c r="AW220" s="13"/>
      <c r="AX220" s="110"/>
      <c r="AY220" s="24"/>
      <c r="AZ220" s="13"/>
      <c r="BA220" s="13"/>
      <c r="BB220" s="13"/>
      <c r="BC220" s="13"/>
      <c r="BD220" s="13"/>
      <c r="BE220" s="13"/>
      <c r="BF220" s="13"/>
      <c r="BG220" s="13"/>
      <c r="BH220" s="13"/>
      <c r="BI220" s="138"/>
      <c r="BJ220" s="138"/>
      <c r="BK220" s="138"/>
      <c r="BL220" s="138"/>
      <c r="BM220" s="138"/>
      <c r="BN220" s="138"/>
      <c r="BO220" s="961"/>
      <c r="BP220" s="138"/>
      <c r="BQ220" s="138"/>
      <c r="BR220" s="138"/>
      <c r="BS220" s="138"/>
      <c r="BT220" s="138"/>
      <c r="BU220" s="138"/>
      <c r="BV220" s="138"/>
      <c r="BW220" s="138"/>
      <c r="BX220" s="138"/>
      <c r="BY220" s="138"/>
      <c r="BZ220" s="138"/>
      <c r="CA220" s="138"/>
      <c r="CB220" s="138"/>
      <c r="CC220" s="138"/>
      <c r="CD220" s="138"/>
      <c r="CE220" s="138"/>
      <c r="CF220" s="138"/>
      <c r="CG220" s="138"/>
      <c r="CH220" s="138"/>
      <c r="CI220" s="138"/>
      <c r="CJ220" s="138"/>
      <c r="CK220" s="138"/>
      <c r="CL220" s="139"/>
      <c r="CM220" s="139"/>
      <c r="CN220" s="139"/>
      <c r="CO220" s="139"/>
      <c r="CP220" s="139"/>
      <c r="CQ220" s="13"/>
      <c r="CR220" s="506"/>
      <c r="CS220" s="506"/>
      <c r="CT220" s="25"/>
      <c r="CU220" s="13"/>
      <c r="CV220" s="506"/>
      <c r="CW220" s="13"/>
      <c r="CX220" s="506"/>
      <c r="CY220" s="13"/>
      <c r="CZ220" s="13"/>
      <c r="DA220" s="13"/>
      <c r="DB220" s="13"/>
      <c r="DC220" s="13"/>
      <c r="DD220" s="506"/>
      <c r="DE220" s="506"/>
      <c r="DF220" s="13"/>
      <c r="DG220" s="13"/>
      <c r="DH220" s="506"/>
      <c r="DI220" s="506"/>
      <c r="DJ220" s="506"/>
      <c r="DK220" s="13"/>
      <c r="DL220" s="506"/>
      <c r="DM220" s="13"/>
      <c r="DN220" s="13"/>
      <c r="DO220" s="13"/>
      <c r="DP220" s="13"/>
      <c r="DQ220" s="176"/>
      <c r="DR220" s="13"/>
      <c r="DS220" s="506"/>
      <c r="DT220" s="506"/>
      <c r="DU220" s="25"/>
      <c r="DV220" s="506"/>
      <c r="DW220" s="506"/>
      <c r="DX220" s="13"/>
      <c r="DY220" s="506"/>
      <c r="DZ220" s="506"/>
      <c r="EA220" s="13"/>
      <c r="EB220" s="506"/>
      <c r="EC220" s="506"/>
      <c r="ED220" s="13"/>
      <c r="EE220" s="506"/>
      <c r="EF220" s="506"/>
      <c r="EG220" s="13"/>
      <c r="EH220" s="506"/>
      <c r="EI220" s="506"/>
      <c r="EJ220" s="13"/>
      <c r="EK220" s="506"/>
      <c r="EL220" s="506"/>
      <c r="EM220" s="13"/>
      <c r="EN220" s="506"/>
      <c r="EO220" s="506"/>
      <c r="EP220" s="506"/>
      <c r="EQ220" s="13"/>
      <c r="ER220" s="13"/>
      <c r="ES220" s="13"/>
      <c r="ET220" s="138"/>
      <c r="EU220" s="13"/>
      <c r="EV220" s="13"/>
      <c r="EW220" s="13"/>
      <c r="EX220" s="13"/>
      <c r="EY220" s="13"/>
      <c r="EZ220" s="13"/>
      <c r="FA220" s="13"/>
      <c r="FB220" s="307"/>
      <c r="FC220" s="13"/>
      <c r="FD220" s="13"/>
      <c r="FE220" s="13"/>
      <c r="FF220" s="13"/>
      <c r="FG220" s="526"/>
      <c r="FH220" s="526"/>
      <c r="FI220" s="526"/>
      <c r="FJ220" s="526"/>
      <c r="FK220" s="526"/>
      <c r="FL220" s="526"/>
      <c r="FN220" s="522"/>
      <c r="FO220" s="762"/>
      <c r="FQ220" s="13"/>
      <c r="FR220" s="13"/>
      <c r="FS220" s="13"/>
      <c r="FT220" s="13"/>
      <c r="FU220" s="13"/>
      <c r="FV220" s="13"/>
      <c r="FW220" s="13"/>
      <c r="FX220" s="13"/>
      <c r="FY220" s="13"/>
      <c r="FZ220" s="13"/>
      <c r="GA220" s="13"/>
      <c r="GB220" s="13"/>
      <c r="GC220" s="13"/>
      <c r="GD220" s="13"/>
      <c r="GE220" s="13"/>
      <c r="GF220" s="13"/>
      <c r="GG220" s="13"/>
      <c r="GH220" s="13"/>
      <c r="GI220" s="13"/>
      <c r="GJ220" s="13"/>
      <c r="GK220" s="13"/>
      <c r="GL220" s="551"/>
      <c r="GM220" s="551"/>
      <c r="GN220" s="25"/>
      <c r="GO220" s="13"/>
      <c r="GP220" s="25"/>
      <c r="GQ220" s="13"/>
      <c r="GR220" s="13"/>
      <c r="GS220" s="13"/>
      <c r="GT220" s="13"/>
      <c r="GU220" s="13"/>
      <c r="GV220" s="13"/>
      <c r="GW220" s="13"/>
      <c r="GX220" s="13"/>
      <c r="GY220" s="571"/>
      <c r="GZ220" s="13"/>
      <c r="HA220" s="13"/>
      <c r="HB220" s="13"/>
      <c r="HC220" s="13"/>
      <c r="HD220" s="13"/>
      <c r="HE220" s="13"/>
      <c r="HF220" s="13"/>
      <c r="HG220" s="13"/>
      <c r="HH220" s="13"/>
      <c r="HI220" s="13"/>
      <c r="HJ220" s="13"/>
      <c r="HK220" s="13"/>
      <c r="HL220" s="13"/>
      <c r="HM220" s="13"/>
      <c r="HN220" s="13"/>
      <c r="HO220" s="13"/>
      <c r="HP220" s="13"/>
      <c r="HQ220" s="13"/>
      <c r="HR220" s="25"/>
      <c r="HS220" s="13"/>
      <c r="HT220" s="13"/>
      <c r="HU220" s="13"/>
      <c r="HV220" s="13"/>
      <c r="HW220" s="13"/>
      <c r="HX220" s="13"/>
      <c r="HY220" s="13"/>
      <c r="HZ220" s="13"/>
      <c r="IA220" s="13"/>
      <c r="IB220" s="13"/>
      <c r="IC220" s="13"/>
      <c r="ID220" s="13"/>
      <c r="IE220" s="13"/>
      <c r="IF220" s="13"/>
    </row>
    <row r="221" spans="1:240" s="31" customFormat="1">
      <c r="A221" s="713"/>
      <c r="B221" s="713"/>
      <c r="C221" s="13"/>
      <c r="D221" s="13"/>
      <c r="E221" s="13"/>
      <c r="F221" s="13"/>
      <c r="G221" s="13"/>
      <c r="H221" s="13"/>
      <c r="I221" s="13"/>
      <c r="J221" s="13"/>
      <c r="K221" s="13"/>
      <c r="L221" s="233"/>
      <c r="M221" s="153"/>
      <c r="N221" s="153"/>
      <c r="O221" s="15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  <c r="AJ221" s="13"/>
      <c r="AK221" s="657"/>
      <c r="AL221" s="138"/>
      <c r="AM221" s="880"/>
      <c r="AN221" s="13"/>
      <c r="AO221" s="13"/>
      <c r="AP221" s="13"/>
      <c r="AQ221" s="13"/>
      <c r="AR221" s="13"/>
      <c r="AS221" s="13"/>
      <c r="AT221" s="13"/>
      <c r="AU221" s="13"/>
      <c r="AV221" s="13"/>
      <c r="AW221" s="13"/>
      <c r="AX221" s="110"/>
      <c r="AY221" s="24"/>
      <c r="AZ221" s="13"/>
      <c r="BA221" s="13"/>
      <c r="BB221" s="13"/>
      <c r="BC221" s="13"/>
      <c r="BD221" s="13"/>
      <c r="BE221" s="13"/>
      <c r="BF221" s="13"/>
      <c r="BG221" s="13"/>
      <c r="BH221" s="13"/>
      <c r="BI221" s="138"/>
      <c r="BJ221" s="138"/>
      <c r="BK221" s="138"/>
      <c r="BL221" s="138"/>
      <c r="BM221" s="138"/>
      <c r="BN221" s="138"/>
      <c r="BO221" s="961"/>
      <c r="BP221" s="138"/>
      <c r="BQ221" s="138"/>
      <c r="BR221" s="138"/>
      <c r="BS221" s="138"/>
      <c r="BT221" s="138"/>
      <c r="BU221" s="138"/>
      <c r="BV221" s="138"/>
      <c r="BW221" s="138"/>
      <c r="BX221" s="138"/>
      <c r="BY221" s="138"/>
      <c r="BZ221" s="138"/>
      <c r="CA221" s="138"/>
      <c r="CB221" s="138"/>
      <c r="CC221" s="138"/>
      <c r="CD221" s="138"/>
      <c r="CE221" s="138"/>
      <c r="CF221" s="138"/>
      <c r="CG221" s="138"/>
      <c r="CH221" s="138"/>
      <c r="CI221" s="138"/>
      <c r="CJ221" s="138"/>
      <c r="CK221" s="138"/>
      <c r="CL221" s="139"/>
      <c r="CM221" s="139"/>
      <c r="CN221" s="139"/>
      <c r="CO221" s="139"/>
      <c r="CP221" s="139"/>
      <c r="CQ221" s="13"/>
      <c r="CR221" s="506"/>
      <c r="CS221" s="506"/>
      <c r="CT221" s="25"/>
      <c r="CU221" s="13"/>
      <c r="CV221" s="506"/>
      <c r="CW221" s="13"/>
      <c r="CX221" s="506"/>
      <c r="CY221" s="13"/>
      <c r="CZ221" s="13"/>
      <c r="DA221" s="13"/>
      <c r="DB221" s="13"/>
      <c r="DC221" s="13"/>
      <c r="DD221" s="506"/>
      <c r="DE221" s="506"/>
      <c r="DF221" s="13"/>
      <c r="DG221" s="13"/>
      <c r="DH221" s="506"/>
      <c r="DI221" s="506"/>
      <c r="DJ221" s="506"/>
      <c r="DK221" s="13"/>
      <c r="DL221" s="506"/>
      <c r="DM221" s="13"/>
      <c r="DN221" s="13"/>
      <c r="DO221" s="13"/>
      <c r="DP221" s="13"/>
      <c r="DQ221" s="176"/>
      <c r="DR221" s="13"/>
      <c r="DS221" s="506"/>
      <c r="DT221" s="506"/>
      <c r="DU221" s="25"/>
      <c r="DV221" s="506"/>
      <c r="DW221" s="506"/>
      <c r="DX221" s="13"/>
      <c r="DY221" s="506"/>
      <c r="DZ221" s="506"/>
      <c r="EA221" s="13"/>
      <c r="EB221" s="506"/>
      <c r="EC221" s="506"/>
      <c r="ED221" s="13"/>
      <c r="EE221" s="506"/>
      <c r="EF221" s="506"/>
      <c r="EG221" s="13"/>
      <c r="EH221" s="506"/>
      <c r="EI221" s="506"/>
      <c r="EJ221" s="13"/>
      <c r="EK221" s="506"/>
      <c r="EL221" s="506"/>
      <c r="EM221" s="13"/>
      <c r="EN221" s="506"/>
      <c r="EO221" s="506"/>
      <c r="EP221" s="506"/>
      <c r="EQ221" s="13"/>
      <c r="ER221" s="13"/>
      <c r="ES221" s="13"/>
      <c r="ET221" s="138"/>
      <c r="EU221" s="13"/>
      <c r="EV221" s="13"/>
      <c r="EW221" s="13"/>
      <c r="EX221" s="13"/>
      <c r="EY221" s="13"/>
      <c r="EZ221" s="13"/>
      <c r="FA221" s="13"/>
      <c r="FB221" s="307"/>
      <c r="FC221" s="13"/>
      <c r="FD221" s="13"/>
      <c r="FE221" s="13"/>
      <c r="FF221" s="13"/>
      <c r="FG221" s="526"/>
      <c r="FH221" s="526"/>
      <c r="FI221" s="526"/>
      <c r="FJ221" s="526"/>
      <c r="FK221" s="526"/>
      <c r="FL221" s="526"/>
      <c r="FN221" s="522"/>
      <c r="FO221" s="762"/>
      <c r="FQ221" s="13"/>
      <c r="FR221" s="13"/>
      <c r="FS221" s="13"/>
      <c r="FT221" s="13"/>
      <c r="FU221" s="13"/>
      <c r="FV221" s="13"/>
      <c r="FW221" s="13"/>
      <c r="FX221" s="13"/>
      <c r="FY221" s="13"/>
      <c r="FZ221" s="13"/>
      <c r="GA221" s="13"/>
      <c r="GB221" s="13"/>
      <c r="GC221" s="13"/>
      <c r="GD221" s="13"/>
      <c r="GE221" s="13"/>
      <c r="GF221" s="13"/>
      <c r="GG221" s="13"/>
      <c r="GH221" s="13"/>
      <c r="GI221" s="13"/>
      <c r="GJ221" s="13"/>
      <c r="GK221" s="13"/>
      <c r="GL221" s="551"/>
      <c r="GM221" s="551"/>
      <c r="GN221" s="25"/>
      <c r="GO221" s="13"/>
      <c r="GP221" s="25"/>
      <c r="GQ221" s="13"/>
      <c r="GR221" s="13"/>
      <c r="GS221" s="13"/>
      <c r="GT221" s="13"/>
      <c r="GU221" s="13"/>
      <c r="GV221" s="13"/>
      <c r="GW221" s="13"/>
      <c r="GX221" s="13"/>
      <c r="GY221" s="571"/>
      <c r="GZ221" s="13"/>
      <c r="HA221" s="13"/>
      <c r="HB221" s="13"/>
      <c r="HC221" s="13"/>
      <c r="HD221" s="13"/>
      <c r="HE221" s="13"/>
      <c r="HF221" s="13"/>
      <c r="HG221" s="13"/>
      <c r="HH221" s="13"/>
      <c r="HI221" s="13"/>
      <c r="HJ221" s="13"/>
      <c r="HK221" s="13"/>
      <c r="HL221" s="13"/>
      <c r="HM221" s="13"/>
      <c r="HN221" s="13"/>
      <c r="HO221" s="13"/>
      <c r="HP221" s="13"/>
      <c r="HQ221" s="13"/>
      <c r="HR221" s="25"/>
      <c r="HS221" s="13"/>
      <c r="HT221" s="13"/>
      <c r="HU221" s="13"/>
      <c r="HV221" s="13"/>
      <c r="HW221" s="13"/>
      <c r="HX221" s="13"/>
      <c r="HY221" s="13"/>
      <c r="HZ221" s="13"/>
      <c r="IA221" s="13"/>
      <c r="IB221" s="13"/>
      <c r="IC221" s="13"/>
      <c r="ID221" s="13"/>
      <c r="IE221" s="13"/>
      <c r="IF221" s="13"/>
    </row>
    <row r="222" spans="1:240" s="31" customFormat="1">
      <c r="A222" s="713"/>
      <c r="B222" s="713"/>
      <c r="C222" s="13"/>
      <c r="D222" s="13"/>
      <c r="E222" s="13"/>
      <c r="F222" s="13"/>
      <c r="G222" s="13"/>
      <c r="H222" s="13"/>
      <c r="I222" s="13"/>
      <c r="J222" s="13"/>
      <c r="K222" s="13"/>
      <c r="L222" s="233"/>
      <c r="M222" s="153"/>
      <c r="N222" s="153"/>
      <c r="O222" s="15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  <c r="AJ222" s="13"/>
      <c r="AK222" s="657"/>
      <c r="AL222" s="138"/>
      <c r="AM222" s="880"/>
      <c r="AN222" s="13"/>
      <c r="AO222" s="13"/>
      <c r="AP222" s="13"/>
      <c r="AQ222" s="13"/>
      <c r="AR222" s="13"/>
      <c r="AS222" s="13"/>
      <c r="AT222" s="13"/>
      <c r="AU222" s="13"/>
      <c r="AV222" s="13"/>
      <c r="AW222" s="13"/>
      <c r="AX222" s="110"/>
      <c r="AY222" s="24"/>
      <c r="AZ222" s="13"/>
      <c r="BA222" s="13"/>
      <c r="BB222" s="13"/>
      <c r="BC222" s="13"/>
      <c r="BD222" s="13"/>
      <c r="BE222" s="13"/>
      <c r="BF222" s="13"/>
      <c r="BG222" s="13"/>
      <c r="BH222" s="13"/>
      <c r="BI222" s="138"/>
      <c r="BJ222" s="138"/>
      <c r="BK222" s="138"/>
      <c r="BL222" s="138"/>
      <c r="BM222" s="138"/>
      <c r="BN222" s="138"/>
      <c r="BO222" s="961"/>
      <c r="BP222" s="138"/>
      <c r="BQ222" s="138"/>
      <c r="BR222" s="138"/>
      <c r="BS222" s="138"/>
      <c r="BT222" s="138"/>
      <c r="BU222" s="138"/>
      <c r="BV222" s="138"/>
      <c r="BW222" s="138"/>
      <c r="BX222" s="138"/>
      <c r="BY222" s="138"/>
      <c r="BZ222" s="138"/>
      <c r="CA222" s="138"/>
      <c r="CB222" s="138"/>
      <c r="CC222" s="138"/>
      <c r="CD222" s="138"/>
      <c r="CE222" s="138"/>
      <c r="CF222" s="138"/>
      <c r="CG222" s="138"/>
      <c r="CH222" s="138"/>
      <c r="CI222" s="138"/>
      <c r="CJ222" s="138"/>
      <c r="CK222" s="138"/>
      <c r="CL222" s="139"/>
      <c r="CM222" s="139"/>
      <c r="CN222" s="139"/>
      <c r="CO222" s="139"/>
      <c r="CP222" s="139"/>
      <c r="CQ222" s="13"/>
      <c r="CR222" s="506"/>
      <c r="CS222" s="506"/>
      <c r="CT222" s="25"/>
      <c r="CU222" s="13"/>
      <c r="CV222" s="506"/>
      <c r="CW222" s="13"/>
      <c r="CX222" s="506"/>
      <c r="CY222" s="13"/>
      <c r="CZ222" s="13"/>
      <c r="DA222" s="13"/>
      <c r="DB222" s="13"/>
      <c r="DC222" s="13"/>
      <c r="DD222" s="506"/>
      <c r="DE222" s="506"/>
      <c r="DF222" s="13"/>
      <c r="DG222" s="13"/>
      <c r="DH222" s="506"/>
      <c r="DI222" s="506"/>
      <c r="DJ222" s="506"/>
      <c r="DK222" s="13"/>
      <c r="DL222" s="506"/>
      <c r="DM222" s="13"/>
      <c r="DN222" s="13"/>
      <c r="DO222" s="13"/>
      <c r="DP222" s="13"/>
      <c r="DQ222" s="176"/>
      <c r="DR222" s="13"/>
      <c r="DS222" s="506"/>
      <c r="DT222" s="506"/>
      <c r="DU222" s="25"/>
      <c r="DV222" s="506"/>
      <c r="DW222" s="506"/>
      <c r="DX222" s="13"/>
      <c r="DY222" s="506"/>
      <c r="DZ222" s="506"/>
      <c r="EA222" s="13"/>
      <c r="EB222" s="506"/>
      <c r="EC222" s="506"/>
      <c r="ED222" s="13"/>
      <c r="EE222" s="506"/>
      <c r="EF222" s="506"/>
      <c r="EG222" s="13"/>
      <c r="EH222" s="506"/>
      <c r="EI222" s="506"/>
      <c r="EJ222" s="13"/>
      <c r="EK222" s="506"/>
      <c r="EL222" s="506"/>
      <c r="EM222" s="13"/>
      <c r="EN222" s="506"/>
      <c r="EO222" s="506"/>
      <c r="EP222" s="506"/>
      <c r="EQ222" s="13"/>
      <c r="ER222" s="13"/>
      <c r="ES222" s="13"/>
      <c r="ET222" s="138"/>
      <c r="EU222" s="13"/>
      <c r="EV222" s="13"/>
      <c r="EW222" s="13"/>
      <c r="EX222" s="13"/>
      <c r="EY222" s="13"/>
      <c r="EZ222" s="13"/>
      <c r="FA222" s="13"/>
      <c r="FB222" s="307"/>
      <c r="FC222" s="13"/>
      <c r="FD222" s="13"/>
      <c r="FE222" s="13"/>
      <c r="FF222" s="13"/>
      <c r="FG222" s="526"/>
      <c r="FH222" s="526"/>
      <c r="FI222" s="526"/>
      <c r="FJ222" s="526"/>
      <c r="FK222" s="526"/>
      <c r="FL222" s="526"/>
      <c r="FN222" s="522"/>
      <c r="FO222" s="762"/>
      <c r="FQ222" s="13"/>
      <c r="FR222" s="13"/>
      <c r="FS222" s="13"/>
      <c r="FT222" s="13"/>
      <c r="FU222" s="13"/>
      <c r="FV222" s="13"/>
      <c r="FW222" s="13"/>
      <c r="FX222" s="13"/>
      <c r="FY222" s="13"/>
      <c r="FZ222" s="13"/>
      <c r="GA222" s="13"/>
      <c r="GB222" s="13"/>
      <c r="GC222" s="13"/>
      <c r="GD222" s="13"/>
      <c r="GE222" s="13"/>
      <c r="GF222" s="13"/>
      <c r="GG222" s="13"/>
      <c r="GH222" s="13"/>
      <c r="GI222" s="13"/>
      <c r="GJ222" s="13"/>
      <c r="GK222" s="13"/>
      <c r="GL222" s="551"/>
      <c r="GM222" s="551"/>
      <c r="GN222" s="25"/>
      <c r="GO222" s="13"/>
      <c r="GP222" s="25"/>
      <c r="GQ222" s="13"/>
      <c r="GR222" s="13"/>
      <c r="GS222" s="13"/>
      <c r="GT222" s="13"/>
      <c r="GU222" s="13"/>
      <c r="GV222" s="13"/>
      <c r="GW222" s="13"/>
      <c r="GX222" s="13"/>
      <c r="GY222" s="571"/>
      <c r="GZ222" s="13"/>
      <c r="HA222" s="13"/>
      <c r="HB222" s="13"/>
      <c r="HC222" s="13"/>
      <c r="HD222" s="13"/>
      <c r="HE222" s="13"/>
      <c r="HF222" s="13"/>
      <c r="HG222" s="13"/>
      <c r="HH222" s="13"/>
      <c r="HI222" s="13"/>
      <c r="HJ222" s="13"/>
      <c r="HK222" s="13"/>
      <c r="HL222" s="13"/>
      <c r="HM222" s="13"/>
      <c r="HN222" s="13"/>
      <c r="HO222" s="13"/>
      <c r="HP222" s="13"/>
      <c r="HQ222" s="13"/>
      <c r="HR222" s="25"/>
      <c r="HS222" s="13"/>
      <c r="HT222" s="13"/>
      <c r="HU222" s="13"/>
      <c r="HV222" s="13"/>
      <c r="HW222" s="13"/>
      <c r="HX222" s="13"/>
      <c r="HY222" s="13"/>
      <c r="HZ222" s="13"/>
      <c r="IA222" s="13"/>
      <c r="IB222" s="13"/>
      <c r="IC222" s="13"/>
      <c r="ID222" s="13"/>
      <c r="IE222" s="13"/>
      <c r="IF222" s="13"/>
    </row>
    <row r="223" spans="1:240" s="31" customFormat="1">
      <c r="A223" s="715"/>
      <c r="B223" s="715"/>
      <c r="C223" s="115" t="s">
        <v>41</v>
      </c>
      <c r="D223" s="115" t="s">
        <v>42</v>
      </c>
      <c r="E223" s="13"/>
      <c r="F223" s="13"/>
      <c r="G223" s="13"/>
      <c r="H223" s="201"/>
      <c r="I223" s="24"/>
      <c r="J223" s="24"/>
      <c r="K223" s="24"/>
      <c r="L223" s="233"/>
      <c r="M223" s="153"/>
      <c r="N223" s="153"/>
      <c r="O223" s="15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  <c r="AJ223" s="13"/>
      <c r="AK223" s="657"/>
      <c r="AL223" s="138"/>
      <c r="AM223" s="880"/>
      <c r="AN223" s="13"/>
      <c r="AO223" s="13"/>
      <c r="AP223" s="13"/>
      <c r="AQ223" s="13"/>
      <c r="AR223" s="13"/>
      <c r="AS223" s="13"/>
      <c r="AT223" s="13"/>
      <c r="AU223" s="13"/>
      <c r="AV223" s="13"/>
      <c r="AW223" s="13"/>
      <c r="AX223" s="110"/>
      <c r="AY223" s="24"/>
      <c r="AZ223" s="13"/>
      <c r="BA223" s="13"/>
      <c r="BB223" s="13"/>
      <c r="BC223" s="13"/>
      <c r="BD223" s="13"/>
      <c r="BE223" s="13"/>
      <c r="BF223" s="13"/>
      <c r="BG223" s="13"/>
      <c r="BH223" s="13"/>
      <c r="BI223" s="138"/>
      <c r="BJ223" s="138"/>
      <c r="BK223" s="138"/>
      <c r="BL223" s="138"/>
      <c r="BM223" s="138"/>
      <c r="BN223" s="138"/>
      <c r="BO223" s="961"/>
      <c r="BP223" s="138"/>
      <c r="BQ223" s="138"/>
      <c r="BR223" s="138"/>
      <c r="BS223" s="138"/>
      <c r="BT223" s="138"/>
      <c r="BU223" s="138"/>
      <c r="BV223" s="138"/>
      <c r="BW223" s="138"/>
      <c r="BX223" s="138"/>
      <c r="BY223" s="138"/>
      <c r="BZ223" s="138"/>
      <c r="CA223" s="138"/>
      <c r="CB223" s="138"/>
      <c r="CC223" s="138"/>
      <c r="CD223" s="138"/>
      <c r="CE223" s="138"/>
      <c r="CF223" s="138"/>
      <c r="CG223" s="138"/>
      <c r="CH223" s="138"/>
      <c r="CI223" s="138"/>
      <c r="CJ223" s="138"/>
      <c r="CK223" s="138"/>
      <c r="CL223" s="139"/>
      <c r="CM223" s="139"/>
      <c r="CN223" s="139"/>
      <c r="CO223" s="139"/>
      <c r="CP223" s="139"/>
      <c r="CQ223" s="13"/>
      <c r="CR223" s="506"/>
      <c r="CS223" s="506"/>
      <c r="CT223" s="25"/>
      <c r="CU223" s="13"/>
      <c r="CV223" s="506"/>
      <c r="CW223" s="13"/>
      <c r="CX223" s="506"/>
      <c r="CY223" s="13"/>
      <c r="CZ223" s="13"/>
      <c r="DA223" s="13"/>
      <c r="DB223" s="13"/>
      <c r="DC223" s="13"/>
      <c r="DD223" s="506"/>
      <c r="DE223" s="506"/>
      <c r="DF223" s="13"/>
      <c r="DG223" s="13"/>
      <c r="DH223" s="506"/>
      <c r="DI223" s="506"/>
      <c r="DJ223" s="506"/>
      <c r="DK223" s="13"/>
      <c r="DL223" s="506"/>
      <c r="DM223" s="13"/>
      <c r="DN223" s="13"/>
      <c r="DO223" s="13"/>
      <c r="DP223" s="13"/>
      <c r="DQ223" s="176"/>
      <c r="DR223" s="13"/>
      <c r="DS223" s="506"/>
      <c r="DT223" s="506"/>
      <c r="DU223" s="25"/>
      <c r="DV223" s="506"/>
      <c r="DW223" s="506"/>
      <c r="DX223" s="13"/>
      <c r="DY223" s="506"/>
      <c r="DZ223" s="506"/>
      <c r="EA223" s="13"/>
      <c r="EB223" s="506"/>
      <c r="EC223" s="506"/>
      <c r="ED223" s="13"/>
      <c r="EE223" s="506"/>
      <c r="EF223" s="506"/>
      <c r="EG223" s="13"/>
      <c r="EH223" s="506"/>
      <c r="EI223" s="506"/>
      <c r="EJ223" s="13"/>
      <c r="EK223" s="506"/>
      <c r="EL223" s="506"/>
      <c r="EM223" s="13"/>
      <c r="EN223" s="506"/>
      <c r="EO223" s="506"/>
      <c r="EP223" s="506"/>
      <c r="EQ223" s="13"/>
      <c r="ER223" s="13"/>
      <c r="ES223" s="13"/>
      <c r="ET223" s="138"/>
      <c r="EU223" s="13"/>
      <c r="EV223" s="13"/>
      <c r="EW223" s="13"/>
      <c r="EX223" s="13"/>
      <c r="EY223" s="13"/>
      <c r="EZ223" s="13"/>
      <c r="FA223" s="13"/>
      <c r="FB223" s="307"/>
      <c r="FC223" s="13"/>
      <c r="FD223" s="13"/>
      <c r="FE223" s="13"/>
      <c r="FF223" s="13"/>
      <c r="FG223" s="526"/>
      <c r="FH223" s="526"/>
      <c r="FI223" s="526"/>
      <c r="FJ223" s="526"/>
      <c r="FK223" s="526"/>
      <c r="FL223" s="526"/>
      <c r="FN223" s="522"/>
      <c r="FO223" s="762"/>
      <c r="FQ223" s="13"/>
      <c r="FR223" s="13"/>
      <c r="FS223" s="13"/>
      <c r="FT223" s="13"/>
      <c r="FU223" s="13"/>
      <c r="FV223" s="13"/>
      <c r="FW223" s="13"/>
      <c r="FX223" s="13"/>
      <c r="FY223" s="13"/>
      <c r="FZ223" s="13"/>
      <c r="GA223" s="13"/>
      <c r="GB223" s="13"/>
      <c r="GC223" s="13"/>
      <c r="GD223" s="13"/>
      <c r="GE223" s="13"/>
      <c r="GF223" s="13"/>
      <c r="GG223" s="13"/>
      <c r="GH223" s="13"/>
      <c r="GI223" s="13"/>
      <c r="GJ223" s="13"/>
      <c r="GK223" s="13"/>
      <c r="GL223" s="551"/>
      <c r="GM223" s="551"/>
      <c r="GN223" s="25"/>
      <c r="GO223" s="13"/>
      <c r="GP223" s="25"/>
      <c r="GQ223" s="13"/>
      <c r="GR223" s="13"/>
      <c r="GS223" s="13"/>
      <c r="GT223" s="13"/>
      <c r="GU223" s="13"/>
      <c r="GV223" s="13"/>
      <c r="GW223" s="13"/>
      <c r="GX223" s="13"/>
      <c r="GY223" s="571"/>
      <c r="GZ223" s="13"/>
      <c r="HA223" s="13"/>
      <c r="HB223" s="13"/>
      <c r="HC223" s="13"/>
      <c r="HD223" s="13"/>
      <c r="HE223" s="13"/>
      <c r="HF223" s="13"/>
      <c r="HG223" s="13"/>
      <c r="HH223" s="13"/>
      <c r="HI223" s="13"/>
      <c r="HJ223" s="13"/>
      <c r="HK223" s="13"/>
      <c r="HL223" s="13"/>
      <c r="HM223" s="13"/>
      <c r="HN223" s="13"/>
      <c r="HO223" s="13"/>
      <c r="HP223" s="13"/>
      <c r="HQ223" s="13"/>
      <c r="HR223" s="25"/>
      <c r="HS223" s="13"/>
      <c r="HT223" s="13"/>
      <c r="HU223" s="13"/>
      <c r="HV223" s="13"/>
      <c r="HW223" s="13"/>
      <c r="HX223" s="13"/>
      <c r="HY223" s="13"/>
      <c r="HZ223" s="13"/>
      <c r="IA223" s="13"/>
      <c r="IB223" s="13"/>
      <c r="IC223" s="13"/>
      <c r="ID223" s="13"/>
      <c r="IE223" s="13"/>
      <c r="IF223" s="13"/>
    </row>
    <row r="224" spans="1:240" s="31" customFormat="1">
      <c r="A224" s="715" t="s">
        <v>31</v>
      </c>
      <c r="B224" s="715"/>
      <c r="C224" s="13">
        <f>COUNTIF(Ville,"*Entre-Deux*")</f>
        <v>7</v>
      </c>
      <c r="D224" s="13">
        <f t="shared" ref="D224:D233" si="438">SUMPRODUCT((Ville=A224)*(Nlgts))</f>
        <v>183</v>
      </c>
      <c r="E224" s="13"/>
      <c r="F224" s="13"/>
      <c r="G224" s="13"/>
      <c r="H224" s="201"/>
      <c r="I224" s="24"/>
      <c r="J224" s="24"/>
      <c r="K224" s="24"/>
      <c r="L224" s="233"/>
      <c r="M224" s="153"/>
      <c r="N224" s="153"/>
      <c r="O224" s="15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  <c r="AJ224" s="13"/>
      <c r="AK224" s="657"/>
      <c r="AL224" s="138"/>
      <c r="AM224" s="880"/>
      <c r="AN224" s="13"/>
      <c r="AO224" s="13"/>
      <c r="AP224" s="13"/>
      <c r="AQ224" s="13"/>
      <c r="AR224" s="13"/>
      <c r="AS224" s="13"/>
      <c r="AT224" s="13"/>
      <c r="AU224" s="13"/>
      <c r="AV224" s="13"/>
      <c r="AW224" s="13"/>
      <c r="AX224" s="110"/>
      <c r="AY224" s="24"/>
      <c r="AZ224" s="13"/>
      <c r="BA224" s="13"/>
      <c r="BB224" s="13"/>
      <c r="BC224" s="13"/>
      <c r="BD224" s="13"/>
      <c r="BE224" s="13"/>
      <c r="BF224" s="13"/>
      <c r="BG224" s="13"/>
      <c r="BH224" s="13"/>
      <c r="BI224" s="138"/>
      <c r="BJ224" s="138"/>
      <c r="BK224" s="138"/>
      <c r="BL224" s="138"/>
      <c r="BM224" s="138"/>
      <c r="BN224" s="138"/>
      <c r="BO224" s="961"/>
      <c r="BP224" s="138"/>
      <c r="BQ224" s="138"/>
      <c r="BR224" s="138"/>
      <c r="BS224" s="138"/>
      <c r="BT224" s="138"/>
      <c r="BU224" s="138"/>
      <c r="BV224" s="138"/>
      <c r="BW224" s="138"/>
      <c r="BX224" s="138"/>
      <c r="BY224" s="138"/>
      <c r="BZ224" s="138"/>
      <c r="CA224" s="138"/>
      <c r="CB224" s="138"/>
      <c r="CC224" s="138"/>
      <c r="CD224" s="138"/>
      <c r="CE224" s="138"/>
      <c r="CF224" s="138"/>
      <c r="CG224" s="138"/>
      <c r="CH224" s="138"/>
      <c r="CI224" s="138"/>
      <c r="CJ224" s="138"/>
      <c r="CK224" s="138"/>
      <c r="CL224" s="139"/>
      <c r="CM224" s="139"/>
      <c r="CN224" s="139"/>
      <c r="CO224" s="139"/>
      <c r="CP224" s="139"/>
      <c r="CQ224" s="13"/>
      <c r="CR224" s="506"/>
      <c r="CS224" s="506"/>
      <c r="CT224" s="25"/>
      <c r="CU224" s="13"/>
      <c r="CV224" s="506"/>
      <c r="CW224" s="13"/>
      <c r="CX224" s="506"/>
      <c r="CY224" s="13"/>
      <c r="CZ224" s="13"/>
      <c r="DA224" s="13"/>
      <c r="DB224" s="13"/>
      <c r="DC224" s="13"/>
      <c r="DD224" s="506"/>
      <c r="DE224" s="506"/>
      <c r="DF224" s="13"/>
      <c r="DG224" s="13"/>
      <c r="DH224" s="506"/>
      <c r="DI224" s="506"/>
      <c r="DJ224" s="506"/>
      <c r="DK224" s="13"/>
      <c r="DL224" s="506"/>
      <c r="DM224" s="13"/>
      <c r="DN224" s="13"/>
      <c r="DO224" s="13"/>
      <c r="DP224" s="13"/>
      <c r="DQ224" s="176"/>
      <c r="DR224" s="13"/>
      <c r="DS224" s="506"/>
      <c r="DT224" s="506"/>
      <c r="DU224" s="25"/>
      <c r="DV224" s="506"/>
      <c r="DW224" s="506"/>
      <c r="DX224" s="13"/>
      <c r="DY224" s="506"/>
      <c r="DZ224" s="506"/>
      <c r="EA224" s="13"/>
      <c r="EB224" s="506"/>
      <c r="EC224" s="506"/>
      <c r="ED224" s="13"/>
      <c r="EE224" s="506"/>
      <c r="EF224" s="506"/>
      <c r="EG224" s="13"/>
      <c r="EH224" s="506"/>
      <c r="EI224" s="506"/>
      <c r="EJ224" s="13"/>
      <c r="EK224" s="506"/>
      <c r="EL224" s="506"/>
      <c r="EM224" s="13"/>
      <c r="EN224" s="506"/>
      <c r="EO224" s="506"/>
      <c r="EP224" s="506"/>
      <c r="EQ224" s="13"/>
      <c r="ER224" s="13"/>
      <c r="ES224" s="13"/>
      <c r="ET224" s="138"/>
      <c r="EU224" s="13"/>
      <c r="EV224" s="13"/>
      <c r="EW224" s="13"/>
      <c r="EX224" s="13"/>
      <c r="EY224" s="13"/>
      <c r="EZ224" s="13"/>
      <c r="FA224" s="13"/>
      <c r="FB224" s="307"/>
      <c r="FC224" s="13"/>
      <c r="FD224" s="13"/>
      <c r="FE224" s="13"/>
      <c r="FF224" s="13"/>
      <c r="FG224" s="526"/>
      <c r="FH224" s="526"/>
      <c r="FI224" s="526"/>
      <c r="FJ224" s="526"/>
      <c r="FK224" s="526"/>
      <c r="FL224" s="526"/>
      <c r="FN224" s="522"/>
      <c r="FO224" s="762"/>
      <c r="FQ224" s="13"/>
      <c r="FR224" s="13"/>
      <c r="FS224" s="13"/>
      <c r="FT224" s="13"/>
      <c r="FU224" s="13"/>
      <c r="FV224" s="13"/>
      <c r="FW224" s="13"/>
      <c r="FX224" s="13"/>
      <c r="FY224" s="13"/>
      <c r="FZ224" s="13"/>
      <c r="GA224" s="13"/>
      <c r="GB224" s="13"/>
      <c r="GC224" s="13"/>
      <c r="GD224" s="13"/>
      <c r="GE224" s="13"/>
      <c r="GF224" s="13"/>
      <c r="GG224" s="13"/>
      <c r="GH224" s="13"/>
      <c r="GI224" s="13"/>
      <c r="GJ224" s="13"/>
      <c r="GK224" s="13"/>
      <c r="GL224" s="551"/>
      <c r="GM224" s="551"/>
      <c r="GN224" s="25"/>
      <c r="GO224" s="13"/>
      <c r="GP224" s="25"/>
      <c r="GQ224" s="13"/>
      <c r="GR224" s="13"/>
      <c r="GS224" s="13"/>
      <c r="GT224" s="13"/>
      <c r="GU224" s="13"/>
      <c r="GV224" s="13"/>
      <c r="GW224" s="13"/>
      <c r="GX224" s="13"/>
      <c r="GY224" s="571"/>
      <c r="GZ224" s="13"/>
      <c r="HA224" s="13"/>
      <c r="HB224" s="13"/>
      <c r="HC224" s="13"/>
      <c r="HD224" s="13"/>
      <c r="HE224" s="13"/>
      <c r="HF224" s="13"/>
      <c r="HG224" s="13"/>
      <c r="HH224" s="13"/>
      <c r="HI224" s="13"/>
      <c r="HJ224" s="13"/>
      <c r="HK224" s="13"/>
      <c r="HL224" s="13"/>
      <c r="HM224" s="13"/>
      <c r="HN224" s="13"/>
      <c r="HO224" s="13"/>
      <c r="HP224" s="13"/>
      <c r="HQ224" s="13"/>
      <c r="HR224" s="25"/>
      <c r="HS224" s="13"/>
      <c r="HT224" s="13"/>
      <c r="HU224" s="13"/>
      <c r="HV224" s="13"/>
      <c r="HW224" s="13"/>
      <c r="HX224" s="13"/>
      <c r="HY224" s="13"/>
      <c r="HZ224" s="13"/>
      <c r="IA224" s="13"/>
      <c r="IB224" s="13"/>
      <c r="IC224" s="13"/>
      <c r="ID224" s="13"/>
      <c r="IE224" s="13"/>
      <c r="IF224" s="13"/>
    </row>
    <row r="225" spans="1:240" s="31" customFormat="1">
      <c r="A225" s="715" t="s">
        <v>25</v>
      </c>
      <c r="B225" s="715"/>
      <c r="C225" s="13">
        <f>COUNTIF(Ville,"*Etang-Salé*")</f>
        <v>12</v>
      </c>
      <c r="D225" s="13">
        <f t="shared" si="438"/>
        <v>325</v>
      </c>
      <c r="E225" s="13"/>
      <c r="F225" s="13"/>
      <c r="G225" s="13"/>
      <c r="H225" s="13"/>
      <c r="I225" s="13"/>
      <c r="J225" s="13"/>
      <c r="K225" s="13"/>
      <c r="L225" s="233"/>
      <c r="M225" s="153"/>
      <c r="N225" s="153"/>
      <c r="O225" s="15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  <c r="AJ225" s="13"/>
      <c r="AK225" s="657"/>
      <c r="AL225" s="138"/>
      <c r="AM225" s="880"/>
      <c r="AN225" s="13"/>
      <c r="AO225" s="13"/>
      <c r="AP225" s="13"/>
      <c r="AQ225" s="13"/>
      <c r="AR225" s="13"/>
      <c r="AS225" s="13"/>
      <c r="AT225" s="13"/>
      <c r="AU225" s="13"/>
      <c r="AV225" s="13"/>
      <c r="AW225" s="13"/>
      <c r="AX225" s="110"/>
      <c r="AY225" s="24"/>
      <c r="AZ225" s="13"/>
      <c r="BA225" s="13"/>
      <c r="BB225" s="13"/>
      <c r="BC225" s="13"/>
      <c r="BD225" s="13"/>
      <c r="BE225" s="13"/>
      <c r="BF225" s="13"/>
      <c r="BG225" s="13"/>
      <c r="BH225" s="13"/>
      <c r="BI225" s="138"/>
      <c r="BJ225" s="138"/>
      <c r="BK225" s="138"/>
      <c r="BL225" s="138"/>
      <c r="BM225" s="138"/>
      <c r="BN225" s="138"/>
      <c r="BO225" s="961"/>
      <c r="BP225" s="138"/>
      <c r="BQ225" s="138"/>
      <c r="BR225" s="138"/>
      <c r="BS225" s="138"/>
      <c r="BT225" s="138"/>
      <c r="BU225" s="138"/>
      <c r="BV225" s="138"/>
      <c r="BW225" s="138"/>
      <c r="BX225" s="138"/>
      <c r="BY225" s="138"/>
      <c r="BZ225" s="138"/>
      <c r="CA225" s="138"/>
      <c r="CB225" s="138"/>
      <c r="CC225" s="138"/>
      <c r="CD225" s="138"/>
      <c r="CE225" s="138"/>
      <c r="CF225" s="138"/>
      <c r="CG225" s="138"/>
      <c r="CH225" s="138"/>
      <c r="CI225" s="138"/>
      <c r="CJ225" s="138"/>
      <c r="CK225" s="138"/>
      <c r="CL225" s="139"/>
      <c r="CM225" s="139"/>
      <c r="CN225" s="139"/>
      <c r="CO225" s="139"/>
      <c r="CP225" s="139"/>
      <c r="CQ225" s="13"/>
      <c r="CR225" s="506"/>
      <c r="CS225" s="506"/>
      <c r="CT225" s="25"/>
      <c r="CU225" s="13"/>
      <c r="CV225" s="506"/>
      <c r="CW225" s="13"/>
      <c r="CX225" s="506"/>
      <c r="CY225" s="13"/>
      <c r="CZ225" s="13"/>
      <c r="DA225" s="13"/>
      <c r="DB225" s="13"/>
      <c r="DC225" s="13"/>
      <c r="DD225" s="506"/>
      <c r="DE225" s="506"/>
      <c r="DF225" s="13"/>
      <c r="DG225" s="13"/>
      <c r="DH225" s="506"/>
      <c r="DI225" s="506"/>
      <c r="DJ225" s="506"/>
      <c r="DK225" s="13"/>
      <c r="DL225" s="506"/>
      <c r="DM225" s="13"/>
      <c r="DN225" s="13"/>
      <c r="DO225" s="13"/>
      <c r="DP225" s="13"/>
      <c r="DQ225" s="176"/>
      <c r="DR225" s="13"/>
      <c r="DS225" s="506"/>
      <c r="DT225" s="506"/>
      <c r="DU225" s="25"/>
      <c r="DV225" s="506"/>
      <c r="DW225" s="506"/>
      <c r="DX225" s="13"/>
      <c r="DY225" s="506"/>
      <c r="DZ225" s="506"/>
      <c r="EA225" s="13"/>
      <c r="EB225" s="506"/>
      <c r="EC225" s="506"/>
      <c r="ED225" s="13"/>
      <c r="EE225" s="506"/>
      <c r="EF225" s="506"/>
      <c r="EG225" s="13"/>
      <c r="EH225" s="506"/>
      <c r="EI225" s="506"/>
      <c r="EJ225" s="13"/>
      <c r="EK225" s="506"/>
      <c r="EL225" s="506"/>
      <c r="EM225" s="13"/>
      <c r="EN225" s="506"/>
      <c r="EO225" s="506"/>
      <c r="EP225" s="506"/>
      <c r="EQ225" s="13"/>
      <c r="ER225" s="13"/>
      <c r="ES225" s="13"/>
      <c r="ET225" s="138"/>
      <c r="EU225" s="13"/>
      <c r="EV225" s="13"/>
      <c r="EW225" s="13"/>
      <c r="EX225" s="13"/>
      <c r="EY225" s="13"/>
      <c r="EZ225" s="13"/>
      <c r="FA225" s="13"/>
      <c r="FB225" s="307"/>
      <c r="FC225" s="13"/>
      <c r="FD225" s="13"/>
      <c r="FE225" s="13"/>
      <c r="FF225" s="13"/>
      <c r="FG225" s="526"/>
      <c r="FH225" s="526"/>
      <c r="FI225" s="526"/>
      <c r="FJ225" s="526"/>
      <c r="FK225" s="526"/>
      <c r="FL225" s="526"/>
      <c r="FN225" s="522"/>
      <c r="FO225" s="762"/>
      <c r="FQ225" s="13"/>
      <c r="FR225" s="13"/>
      <c r="FS225" s="13"/>
      <c r="FT225" s="13"/>
      <c r="FU225" s="13"/>
      <c r="FV225" s="13"/>
      <c r="FW225" s="13"/>
      <c r="FX225" s="13"/>
      <c r="FY225" s="13"/>
      <c r="FZ225" s="13"/>
      <c r="GA225" s="13"/>
      <c r="GB225" s="13"/>
      <c r="GC225" s="13"/>
      <c r="GD225" s="13"/>
      <c r="GE225" s="13"/>
      <c r="GF225" s="13"/>
      <c r="GG225" s="13"/>
      <c r="GH225" s="13"/>
      <c r="GI225" s="13"/>
      <c r="GJ225" s="13"/>
      <c r="GK225" s="13"/>
      <c r="GL225" s="551"/>
      <c r="GM225" s="551"/>
      <c r="GN225" s="25"/>
      <c r="GO225" s="13"/>
      <c r="GP225" s="25"/>
      <c r="GQ225" s="13"/>
      <c r="GR225" s="13"/>
      <c r="GS225" s="13"/>
      <c r="GT225" s="13"/>
      <c r="GU225" s="13"/>
      <c r="GV225" s="13"/>
      <c r="GW225" s="13"/>
      <c r="GX225" s="13"/>
      <c r="GY225" s="571"/>
      <c r="GZ225" s="13"/>
      <c r="HA225" s="13"/>
      <c r="HB225" s="13"/>
      <c r="HC225" s="13"/>
      <c r="HD225" s="13"/>
      <c r="HE225" s="13"/>
      <c r="HF225" s="13"/>
      <c r="HG225" s="13"/>
      <c r="HH225" s="13"/>
      <c r="HI225" s="13"/>
      <c r="HJ225" s="13"/>
      <c r="HK225" s="13"/>
      <c r="HL225" s="13"/>
      <c r="HM225" s="13"/>
      <c r="HN225" s="13"/>
      <c r="HO225" s="13"/>
      <c r="HP225" s="13"/>
      <c r="HQ225" s="13"/>
      <c r="HR225" s="25"/>
      <c r="HS225" s="13"/>
      <c r="HT225" s="13"/>
      <c r="HU225" s="13"/>
      <c r="HV225" s="13"/>
      <c r="HW225" s="13"/>
      <c r="HX225" s="13"/>
      <c r="HY225" s="13"/>
      <c r="HZ225" s="13"/>
      <c r="IA225" s="13"/>
      <c r="IB225" s="13"/>
      <c r="IC225" s="13"/>
      <c r="ID225" s="13"/>
      <c r="IE225" s="13"/>
      <c r="IF225" s="13"/>
    </row>
    <row r="226" spans="1:240" s="31" customFormat="1">
      <c r="A226" s="715" t="s">
        <v>62</v>
      </c>
      <c r="B226" s="715"/>
      <c r="C226" s="13">
        <f>COUNTIF(Ville,"*Petite-Ile*")</f>
        <v>5</v>
      </c>
      <c r="D226" s="13">
        <f t="shared" si="438"/>
        <v>107</v>
      </c>
      <c r="E226" s="13"/>
      <c r="F226" s="13"/>
      <c r="G226" s="13"/>
      <c r="H226" s="13"/>
      <c r="I226" s="13"/>
      <c r="J226" s="13"/>
      <c r="K226" s="13"/>
      <c r="L226" s="233"/>
      <c r="M226" s="153"/>
      <c r="N226" s="153"/>
      <c r="O226" s="15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657"/>
      <c r="AL226" s="138"/>
      <c r="AM226" s="880"/>
      <c r="AN226" s="13"/>
      <c r="AO226" s="13"/>
      <c r="AP226" s="13"/>
      <c r="AQ226" s="13"/>
      <c r="AR226" s="13"/>
      <c r="AS226" s="13"/>
      <c r="AT226" s="13"/>
      <c r="AU226" s="13"/>
      <c r="AV226" s="13"/>
      <c r="AW226" s="13"/>
      <c r="AX226" s="110"/>
      <c r="AY226" s="24"/>
      <c r="AZ226" s="13"/>
      <c r="BA226" s="13"/>
      <c r="BB226" s="13"/>
      <c r="BC226" s="13"/>
      <c r="BD226" s="13"/>
      <c r="BE226" s="13"/>
      <c r="BF226" s="13"/>
      <c r="BG226" s="13"/>
      <c r="BH226" s="13"/>
      <c r="BI226" s="138"/>
      <c r="BJ226" s="138"/>
      <c r="BK226" s="138"/>
      <c r="BL226" s="138"/>
      <c r="BM226" s="138"/>
      <c r="BN226" s="138"/>
      <c r="BO226" s="961"/>
      <c r="BP226" s="138"/>
      <c r="BQ226" s="138"/>
      <c r="BR226" s="138"/>
      <c r="BS226" s="138"/>
      <c r="BT226" s="138"/>
      <c r="BU226" s="138"/>
      <c r="BV226" s="138"/>
      <c r="BW226" s="138"/>
      <c r="BX226" s="138"/>
      <c r="BY226" s="138"/>
      <c r="BZ226" s="138"/>
      <c r="CA226" s="138"/>
      <c r="CB226" s="138"/>
      <c r="CC226" s="138"/>
      <c r="CD226" s="138"/>
      <c r="CE226" s="138"/>
      <c r="CF226" s="138"/>
      <c r="CG226" s="138"/>
      <c r="CH226" s="138"/>
      <c r="CI226" s="138"/>
      <c r="CJ226" s="138"/>
      <c r="CK226" s="138"/>
      <c r="CL226" s="139"/>
      <c r="CM226" s="139"/>
      <c r="CN226" s="139"/>
      <c r="CO226" s="139"/>
      <c r="CP226" s="139"/>
      <c r="CQ226" s="13"/>
      <c r="CR226" s="506"/>
      <c r="CS226" s="506"/>
      <c r="CT226" s="25"/>
      <c r="CU226" s="13"/>
      <c r="CV226" s="506"/>
      <c r="CW226" s="13"/>
      <c r="CX226" s="506"/>
      <c r="CY226" s="13"/>
      <c r="CZ226" s="13"/>
      <c r="DA226" s="13"/>
      <c r="DB226" s="13"/>
      <c r="DC226" s="13"/>
      <c r="DD226" s="506"/>
      <c r="DE226" s="506"/>
      <c r="DF226" s="13"/>
      <c r="DG226" s="13"/>
      <c r="DH226" s="506"/>
      <c r="DI226" s="506"/>
      <c r="DJ226" s="506"/>
      <c r="DK226" s="13"/>
      <c r="DL226" s="506"/>
      <c r="DM226" s="13"/>
      <c r="DN226" s="13"/>
      <c r="DO226" s="13"/>
      <c r="DP226" s="13"/>
      <c r="DQ226" s="176"/>
      <c r="DR226" s="13"/>
      <c r="DS226" s="506"/>
      <c r="DT226" s="506"/>
      <c r="DU226" s="25"/>
      <c r="DV226" s="506"/>
      <c r="DW226" s="506"/>
      <c r="DX226" s="13"/>
      <c r="DY226" s="506"/>
      <c r="DZ226" s="506"/>
      <c r="EA226" s="13"/>
      <c r="EB226" s="506"/>
      <c r="EC226" s="506"/>
      <c r="ED226" s="13"/>
      <c r="EE226" s="506"/>
      <c r="EF226" s="506"/>
      <c r="EG226" s="13"/>
      <c r="EH226" s="506"/>
      <c r="EI226" s="506"/>
      <c r="EJ226" s="13"/>
      <c r="EK226" s="506"/>
      <c r="EL226" s="506"/>
      <c r="EM226" s="13"/>
      <c r="EN226" s="506"/>
      <c r="EO226" s="506"/>
      <c r="EP226" s="506"/>
      <c r="EQ226" s="13"/>
      <c r="ER226" s="13"/>
      <c r="ES226" s="13"/>
      <c r="ET226" s="138"/>
      <c r="EU226" s="13"/>
      <c r="EV226" s="13"/>
      <c r="EW226" s="13"/>
      <c r="EX226" s="13"/>
      <c r="EY226" s="13"/>
      <c r="EZ226" s="13"/>
      <c r="FA226" s="13"/>
      <c r="FB226" s="307"/>
      <c r="FC226" s="13"/>
      <c r="FD226" s="13"/>
      <c r="FE226" s="13"/>
      <c r="FF226" s="13"/>
      <c r="FG226" s="526"/>
      <c r="FH226" s="526"/>
      <c r="FI226" s="526"/>
      <c r="FJ226" s="526"/>
      <c r="FK226" s="526"/>
      <c r="FL226" s="526"/>
      <c r="FN226" s="522"/>
      <c r="FO226" s="762"/>
      <c r="FQ226" s="13"/>
      <c r="FR226" s="13"/>
      <c r="FS226" s="13"/>
      <c r="FT226" s="13"/>
      <c r="FU226" s="13"/>
      <c r="FV226" s="13"/>
      <c r="FW226" s="13"/>
      <c r="FX226" s="13"/>
      <c r="FY226" s="13"/>
      <c r="FZ226" s="13"/>
      <c r="GA226" s="13"/>
      <c r="GB226" s="13"/>
      <c r="GC226" s="13"/>
      <c r="GD226" s="13"/>
      <c r="GE226" s="13"/>
      <c r="GF226" s="13"/>
      <c r="GG226" s="13"/>
      <c r="GH226" s="13"/>
      <c r="GI226" s="13"/>
      <c r="GJ226" s="13"/>
      <c r="GK226" s="13"/>
      <c r="GL226" s="551"/>
      <c r="GM226" s="551"/>
      <c r="GN226" s="25"/>
      <c r="GO226" s="13"/>
      <c r="GP226" s="25"/>
      <c r="GQ226" s="13"/>
      <c r="GR226" s="13"/>
      <c r="GS226" s="13"/>
      <c r="GT226" s="13"/>
      <c r="GU226" s="13"/>
      <c r="GV226" s="13"/>
      <c r="GW226" s="13"/>
      <c r="GX226" s="13"/>
      <c r="GY226" s="571"/>
      <c r="GZ226" s="13"/>
      <c r="HA226" s="13"/>
      <c r="HB226" s="13"/>
      <c r="HC226" s="13"/>
      <c r="HD226" s="13"/>
      <c r="HE226" s="13"/>
      <c r="HF226" s="13"/>
      <c r="HG226" s="13"/>
      <c r="HH226" s="13"/>
      <c r="HI226" s="13"/>
      <c r="HJ226" s="13"/>
      <c r="HK226" s="13"/>
      <c r="HL226" s="13"/>
      <c r="HM226" s="13"/>
      <c r="HN226" s="13"/>
      <c r="HO226" s="13"/>
      <c r="HP226" s="13"/>
      <c r="HQ226" s="13"/>
      <c r="HR226" s="25"/>
      <c r="HS226" s="13"/>
      <c r="HT226" s="13"/>
      <c r="HU226" s="13"/>
      <c r="HV226" s="13"/>
      <c r="HW226" s="13"/>
      <c r="HX226" s="13"/>
      <c r="HY226" s="13"/>
      <c r="HZ226" s="13"/>
      <c r="IA226" s="13"/>
      <c r="IB226" s="13"/>
      <c r="IC226" s="13"/>
      <c r="ID226" s="13"/>
      <c r="IE226" s="13"/>
      <c r="IF226" s="13"/>
    </row>
    <row r="227" spans="1:240" s="31" customFormat="1">
      <c r="A227" s="715" t="s">
        <v>14</v>
      </c>
      <c r="B227" s="715"/>
      <c r="C227" s="13">
        <f>COUNTIF(Ville,"*St Joseph*")</f>
        <v>27</v>
      </c>
      <c r="D227" s="13">
        <f t="shared" si="438"/>
        <v>1027</v>
      </c>
      <c r="E227" s="13"/>
      <c r="F227" s="13"/>
      <c r="G227" s="13"/>
      <c r="H227" s="13"/>
      <c r="I227" s="13"/>
      <c r="J227" s="13"/>
      <c r="K227" s="13"/>
      <c r="L227" s="233"/>
      <c r="M227" s="153"/>
      <c r="N227" s="153"/>
      <c r="O227" s="15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  <c r="AJ227" s="13"/>
      <c r="AK227" s="657"/>
      <c r="AL227" s="138"/>
      <c r="AM227" s="880"/>
      <c r="AN227" s="13"/>
      <c r="AO227" s="13"/>
      <c r="AP227" s="13"/>
      <c r="AQ227" s="13"/>
      <c r="AR227" s="13"/>
      <c r="AS227" s="13"/>
      <c r="AT227" s="13"/>
      <c r="AU227" s="13"/>
      <c r="AV227" s="13"/>
      <c r="AW227" s="13"/>
      <c r="AX227" s="110"/>
      <c r="AY227" s="24"/>
      <c r="AZ227" s="13"/>
      <c r="BA227" s="13"/>
      <c r="BB227" s="13"/>
      <c r="BC227" s="13"/>
      <c r="BD227" s="13"/>
      <c r="BE227" s="13"/>
      <c r="BF227" s="13"/>
      <c r="BG227" s="13"/>
      <c r="BH227" s="13"/>
      <c r="BI227" s="138"/>
      <c r="BJ227" s="138"/>
      <c r="BK227" s="138"/>
      <c r="BL227" s="138"/>
      <c r="BM227" s="138"/>
      <c r="BN227" s="138"/>
      <c r="BO227" s="961"/>
      <c r="BP227" s="138"/>
      <c r="BQ227" s="138"/>
      <c r="BR227" s="138"/>
      <c r="BS227" s="138"/>
      <c r="BT227" s="138"/>
      <c r="BU227" s="138"/>
      <c r="BV227" s="138"/>
      <c r="BW227" s="138"/>
      <c r="BX227" s="138"/>
      <c r="BY227" s="138"/>
      <c r="BZ227" s="138"/>
      <c r="CA227" s="138"/>
      <c r="CB227" s="138"/>
      <c r="CC227" s="138"/>
      <c r="CD227" s="138"/>
      <c r="CE227" s="138"/>
      <c r="CF227" s="138"/>
      <c r="CG227" s="138"/>
      <c r="CH227" s="138"/>
      <c r="CI227" s="138"/>
      <c r="CJ227" s="138"/>
      <c r="CK227" s="138"/>
      <c r="CL227" s="139"/>
      <c r="CM227" s="139"/>
      <c r="CN227" s="139"/>
      <c r="CO227" s="139"/>
      <c r="CP227" s="139"/>
      <c r="CQ227" s="13"/>
      <c r="CR227" s="506"/>
      <c r="CS227" s="506"/>
      <c r="CT227" s="25"/>
      <c r="CU227" s="13"/>
      <c r="CV227" s="506"/>
      <c r="CW227" s="13"/>
      <c r="CX227" s="506"/>
      <c r="CY227" s="13"/>
      <c r="CZ227" s="13"/>
      <c r="DA227" s="13"/>
      <c r="DB227" s="13"/>
      <c r="DC227" s="13"/>
      <c r="DD227" s="506"/>
      <c r="DE227" s="506"/>
      <c r="DF227" s="13"/>
      <c r="DG227" s="13"/>
      <c r="DH227" s="506"/>
      <c r="DI227" s="506"/>
      <c r="DJ227" s="506"/>
      <c r="DK227" s="13"/>
      <c r="DL227" s="506"/>
      <c r="DM227" s="13"/>
      <c r="DN227" s="13"/>
      <c r="DO227" s="13"/>
      <c r="DP227" s="13"/>
      <c r="DQ227" s="176"/>
      <c r="DR227" s="13"/>
      <c r="DS227" s="506"/>
      <c r="DT227" s="506"/>
      <c r="DU227" s="25"/>
      <c r="DV227" s="506"/>
      <c r="DW227" s="506"/>
      <c r="DX227" s="13"/>
      <c r="DY227" s="506"/>
      <c r="DZ227" s="506"/>
      <c r="EA227" s="13"/>
      <c r="EB227" s="506"/>
      <c r="EC227" s="506"/>
      <c r="ED227" s="13"/>
      <c r="EE227" s="506"/>
      <c r="EF227" s="506"/>
      <c r="EG227" s="13"/>
      <c r="EH227" s="506"/>
      <c r="EI227" s="506"/>
      <c r="EJ227" s="13"/>
      <c r="EK227" s="506"/>
      <c r="EL227" s="506"/>
      <c r="EM227" s="13"/>
      <c r="EN227" s="506"/>
      <c r="EO227" s="506"/>
      <c r="EP227" s="506"/>
      <c r="EQ227" s="13"/>
      <c r="ER227" s="13"/>
      <c r="ES227" s="13"/>
      <c r="ET227" s="138"/>
      <c r="EU227" s="13"/>
      <c r="EV227" s="13"/>
      <c r="EW227" s="13"/>
      <c r="EX227" s="13"/>
      <c r="EY227" s="13"/>
      <c r="EZ227" s="13"/>
      <c r="FA227" s="13"/>
      <c r="FB227" s="307"/>
      <c r="FC227" s="13"/>
      <c r="FD227" s="13"/>
      <c r="FE227" s="13"/>
      <c r="FF227" s="13"/>
      <c r="FG227" s="526"/>
      <c r="FH227" s="526"/>
      <c r="FI227" s="526"/>
      <c r="FJ227" s="526"/>
      <c r="FK227" s="526"/>
      <c r="FL227" s="526"/>
      <c r="FN227" s="522"/>
      <c r="FO227" s="762"/>
      <c r="FQ227" s="13"/>
      <c r="FR227" s="13"/>
      <c r="FS227" s="13"/>
      <c r="FT227" s="13"/>
      <c r="FU227" s="13"/>
      <c r="FV227" s="13"/>
      <c r="FW227" s="13"/>
      <c r="FX227" s="13"/>
      <c r="FY227" s="13"/>
      <c r="FZ227" s="13"/>
      <c r="GA227" s="13"/>
      <c r="GB227" s="13"/>
      <c r="GC227" s="13"/>
      <c r="GD227" s="13"/>
      <c r="GE227" s="13"/>
      <c r="GF227" s="13"/>
      <c r="GG227" s="13"/>
      <c r="GH227" s="13"/>
      <c r="GI227" s="13"/>
      <c r="GJ227" s="13"/>
      <c r="GK227" s="13"/>
      <c r="GL227" s="551"/>
      <c r="GM227" s="551"/>
      <c r="GN227" s="25"/>
      <c r="GO227" s="13"/>
      <c r="GP227" s="25"/>
      <c r="GQ227" s="13"/>
      <c r="GR227" s="13"/>
      <c r="GS227" s="13"/>
      <c r="GT227" s="13"/>
      <c r="GU227" s="13"/>
      <c r="GV227" s="13"/>
      <c r="GW227" s="13"/>
      <c r="GX227" s="13"/>
      <c r="GY227" s="571"/>
      <c r="GZ227" s="13"/>
      <c r="HA227" s="13"/>
      <c r="HB227" s="13"/>
      <c r="HC227" s="13"/>
      <c r="HD227" s="13"/>
      <c r="HE227" s="13"/>
      <c r="HF227" s="13"/>
      <c r="HG227" s="13"/>
      <c r="HH227" s="13"/>
      <c r="HI227" s="13"/>
      <c r="HJ227" s="13"/>
      <c r="HK227" s="13"/>
      <c r="HL227" s="13"/>
      <c r="HM227" s="13"/>
      <c r="HN227" s="13"/>
      <c r="HO227" s="13"/>
      <c r="HP227" s="13"/>
      <c r="HQ227" s="13"/>
      <c r="HR227" s="25"/>
      <c r="HS227" s="13"/>
      <c r="HT227" s="13"/>
      <c r="HU227" s="13"/>
      <c r="HV227" s="13"/>
      <c r="HW227" s="13"/>
      <c r="HX227" s="13"/>
      <c r="HY227" s="13"/>
      <c r="HZ227" s="13"/>
      <c r="IA227" s="13"/>
      <c r="IB227" s="13"/>
      <c r="IC227" s="13"/>
      <c r="ID227" s="13"/>
      <c r="IE227" s="13"/>
      <c r="IF227" s="13"/>
    </row>
    <row r="228" spans="1:240" s="31" customFormat="1">
      <c r="A228" s="715" t="s">
        <v>20</v>
      </c>
      <c r="B228" s="715"/>
      <c r="C228" s="13">
        <f>COUNTIF(Ville,"*St Leu*")</f>
        <v>11</v>
      </c>
      <c r="D228" s="13">
        <f t="shared" si="438"/>
        <v>311</v>
      </c>
      <c r="E228" s="13"/>
      <c r="F228" s="13"/>
      <c r="G228" s="13"/>
      <c r="H228" s="13"/>
      <c r="I228" s="13"/>
      <c r="J228" s="13"/>
      <c r="K228" s="13"/>
      <c r="L228" s="233"/>
      <c r="M228" s="153"/>
      <c r="N228" s="153"/>
      <c r="O228" s="15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  <c r="AJ228" s="13"/>
      <c r="AK228" s="657"/>
      <c r="AL228" s="138"/>
      <c r="AM228" s="880"/>
      <c r="AN228" s="13"/>
      <c r="AO228" s="13"/>
      <c r="AP228" s="13"/>
      <c r="AQ228" s="13"/>
      <c r="AR228" s="13"/>
      <c r="AS228" s="13"/>
      <c r="AT228" s="13"/>
      <c r="AU228" s="13"/>
      <c r="AV228" s="13"/>
      <c r="AW228" s="13"/>
      <c r="AX228" s="110"/>
      <c r="AY228" s="24"/>
      <c r="AZ228" s="13"/>
      <c r="BA228" s="13"/>
      <c r="BB228" s="13"/>
      <c r="BC228" s="13"/>
      <c r="BD228" s="13"/>
      <c r="BE228" s="13"/>
      <c r="BF228" s="13"/>
      <c r="BG228" s="13"/>
      <c r="BH228" s="13"/>
      <c r="BI228" s="138"/>
      <c r="BJ228" s="138"/>
      <c r="BK228" s="138"/>
      <c r="BL228" s="138"/>
      <c r="BM228" s="138"/>
      <c r="BN228" s="138"/>
      <c r="BO228" s="961"/>
      <c r="BP228" s="138"/>
      <c r="BQ228" s="138"/>
      <c r="BR228" s="138"/>
      <c r="BS228" s="138"/>
      <c r="BT228" s="138"/>
      <c r="BU228" s="138"/>
      <c r="BV228" s="138"/>
      <c r="BW228" s="138"/>
      <c r="BX228" s="138"/>
      <c r="BY228" s="138"/>
      <c r="BZ228" s="138"/>
      <c r="CA228" s="138"/>
      <c r="CB228" s="138"/>
      <c r="CC228" s="138"/>
      <c r="CD228" s="138"/>
      <c r="CE228" s="138"/>
      <c r="CF228" s="138"/>
      <c r="CG228" s="138"/>
      <c r="CH228" s="138"/>
      <c r="CI228" s="138"/>
      <c r="CJ228" s="138"/>
      <c r="CK228" s="138"/>
      <c r="CL228" s="139"/>
      <c r="CM228" s="139"/>
      <c r="CN228" s="139"/>
      <c r="CO228" s="139"/>
      <c r="CP228" s="139"/>
      <c r="CQ228" s="13"/>
      <c r="CR228" s="506"/>
      <c r="CS228" s="506"/>
      <c r="CT228" s="25"/>
      <c r="CU228" s="13"/>
      <c r="CV228" s="506"/>
      <c r="CW228" s="13"/>
      <c r="CX228" s="506"/>
      <c r="CY228" s="13"/>
      <c r="CZ228" s="13"/>
      <c r="DA228" s="13"/>
      <c r="DB228" s="13"/>
      <c r="DC228" s="13"/>
      <c r="DD228" s="506"/>
      <c r="DE228" s="506"/>
      <c r="DF228" s="13"/>
      <c r="DG228" s="13"/>
      <c r="DH228" s="506"/>
      <c r="DI228" s="506"/>
      <c r="DJ228" s="506"/>
      <c r="DK228" s="13"/>
      <c r="DL228" s="506"/>
      <c r="DM228" s="13"/>
      <c r="DN228" s="13"/>
      <c r="DO228" s="13"/>
      <c r="DP228" s="13"/>
      <c r="DQ228" s="176"/>
      <c r="DR228" s="13"/>
      <c r="DS228" s="506"/>
      <c r="DT228" s="506"/>
      <c r="DU228" s="25"/>
      <c r="DV228" s="506"/>
      <c r="DW228" s="506"/>
      <c r="DX228" s="13"/>
      <c r="DY228" s="506"/>
      <c r="DZ228" s="506"/>
      <c r="EA228" s="13"/>
      <c r="EB228" s="506"/>
      <c r="EC228" s="506"/>
      <c r="ED228" s="13"/>
      <c r="EE228" s="506"/>
      <c r="EF228" s="506"/>
      <c r="EG228" s="13"/>
      <c r="EH228" s="506"/>
      <c r="EI228" s="506"/>
      <c r="EJ228" s="13"/>
      <c r="EK228" s="506"/>
      <c r="EL228" s="506"/>
      <c r="EM228" s="13"/>
      <c r="EN228" s="506"/>
      <c r="EO228" s="506"/>
      <c r="EP228" s="506"/>
      <c r="EQ228" s="13"/>
      <c r="ER228" s="13"/>
      <c r="ES228" s="13"/>
      <c r="ET228" s="138"/>
      <c r="EU228" s="13"/>
      <c r="EV228" s="13"/>
      <c r="EW228" s="13"/>
      <c r="EX228" s="13"/>
      <c r="EY228" s="13"/>
      <c r="EZ228" s="13"/>
      <c r="FA228" s="13"/>
      <c r="FB228" s="307"/>
      <c r="FC228" s="13"/>
      <c r="FD228" s="13"/>
      <c r="FE228" s="13"/>
      <c r="FF228" s="13"/>
      <c r="FG228" s="526"/>
      <c r="FH228" s="526"/>
      <c r="FI228" s="526"/>
      <c r="FJ228" s="526"/>
      <c r="FK228" s="526"/>
      <c r="FL228" s="526"/>
      <c r="FN228" s="522"/>
      <c r="FO228" s="762"/>
      <c r="FQ228" s="13"/>
      <c r="FR228" s="13"/>
      <c r="FS228" s="13"/>
      <c r="FT228" s="13"/>
      <c r="FU228" s="13"/>
      <c r="FV228" s="13"/>
      <c r="FW228" s="13"/>
      <c r="FX228" s="13"/>
      <c r="FY228" s="13"/>
      <c r="FZ228" s="13"/>
      <c r="GA228" s="13"/>
      <c r="GB228" s="13"/>
      <c r="GC228" s="13"/>
      <c r="GD228" s="13"/>
      <c r="GE228" s="13"/>
      <c r="GF228" s="13"/>
      <c r="GG228" s="13"/>
      <c r="GH228" s="13"/>
      <c r="GI228" s="13"/>
      <c r="GJ228" s="13"/>
      <c r="GK228" s="13"/>
      <c r="GL228" s="551"/>
      <c r="GM228" s="551"/>
      <c r="GN228" s="25"/>
      <c r="GO228" s="13"/>
      <c r="GP228" s="25"/>
      <c r="GQ228" s="13"/>
      <c r="GR228" s="13"/>
      <c r="GS228" s="13"/>
      <c r="GT228" s="13"/>
      <c r="GU228" s="13"/>
      <c r="GV228" s="13"/>
      <c r="GW228" s="13"/>
      <c r="GX228" s="13"/>
      <c r="GY228" s="571"/>
      <c r="GZ228" s="13"/>
      <c r="HA228" s="13"/>
      <c r="HB228" s="13"/>
      <c r="HC228" s="13"/>
      <c r="HD228" s="13"/>
      <c r="HE228" s="13"/>
      <c r="HF228" s="13"/>
      <c r="HG228" s="13"/>
      <c r="HH228" s="13"/>
      <c r="HI228" s="13"/>
      <c r="HJ228" s="13"/>
      <c r="HK228" s="13"/>
      <c r="HL228" s="13"/>
      <c r="HM228" s="13"/>
      <c r="HN228" s="13"/>
      <c r="HO228" s="13"/>
      <c r="HP228" s="13"/>
      <c r="HQ228" s="13"/>
      <c r="HR228" s="25"/>
      <c r="HS228" s="13"/>
      <c r="HT228" s="13"/>
      <c r="HU228" s="13"/>
      <c r="HV228" s="13"/>
      <c r="HW228" s="13"/>
      <c r="HX228" s="13"/>
      <c r="HY228" s="13"/>
      <c r="HZ228" s="13"/>
      <c r="IA228" s="13"/>
      <c r="IB228" s="13"/>
      <c r="IC228" s="13"/>
      <c r="ID228" s="13"/>
      <c r="IE228" s="13"/>
      <c r="IF228" s="13"/>
    </row>
    <row r="229" spans="1:240" s="31" customFormat="1">
      <c r="A229" s="715" t="s">
        <v>33</v>
      </c>
      <c r="B229" s="715"/>
      <c r="C229" s="13">
        <f>COUNTIF(Ville,"*St Paul*")</f>
        <v>3</v>
      </c>
      <c r="D229" s="13">
        <f t="shared" si="438"/>
        <v>128</v>
      </c>
      <c r="E229" s="13"/>
      <c r="F229" s="13"/>
      <c r="G229" s="13"/>
      <c r="H229" s="13"/>
      <c r="I229" s="13"/>
      <c r="J229" s="13"/>
      <c r="K229" s="13"/>
      <c r="L229" s="233"/>
      <c r="M229" s="153"/>
      <c r="N229" s="153"/>
      <c r="O229" s="15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  <c r="AJ229" s="13"/>
      <c r="AK229" s="657"/>
      <c r="AL229" s="138"/>
      <c r="AM229" s="880"/>
      <c r="AN229" s="13"/>
      <c r="AO229" s="13"/>
      <c r="AP229" s="13"/>
      <c r="AQ229" s="13"/>
      <c r="AR229" s="13"/>
      <c r="AS229" s="13"/>
      <c r="AT229" s="13"/>
      <c r="AU229" s="13"/>
      <c r="AV229" s="13"/>
      <c r="AW229" s="13"/>
      <c r="AX229" s="110"/>
      <c r="AY229" s="24"/>
      <c r="AZ229" s="13"/>
      <c r="BA229" s="13"/>
      <c r="BB229" s="13"/>
      <c r="BC229" s="13"/>
      <c r="BD229" s="13"/>
      <c r="BE229" s="13"/>
      <c r="BF229" s="13"/>
      <c r="BG229" s="13"/>
      <c r="BH229" s="13"/>
      <c r="BI229" s="138"/>
      <c r="BJ229" s="138"/>
      <c r="BK229" s="138"/>
      <c r="BL229" s="138"/>
      <c r="BM229" s="138"/>
      <c r="BN229" s="138"/>
      <c r="BO229" s="961"/>
      <c r="BP229" s="138"/>
      <c r="BQ229" s="138"/>
      <c r="BR229" s="138"/>
      <c r="BS229" s="138"/>
      <c r="BT229" s="138"/>
      <c r="BU229" s="138"/>
      <c r="BV229" s="138"/>
      <c r="BW229" s="138"/>
      <c r="BX229" s="138"/>
      <c r="BY229" s="138"/>
      <c r="BZ229" s="138"/>
      <c r="CA229" s="138"/>
      <c r="CB229" s="138"/>
      <c r="CC229" s="138"/>
      <c r="CD229" s="138"/>
      <c r="CE229" s="138"/>
      <c r="CF229" s="138"/>
      <c r="CG229" s="138"/>
      <c r="CH229" s="138"/>
      <c r="CI229" s="138"/>
      <c r="CJ229" s="138"/>
      <c r="CK229" s="138"/>
      <c r="CL229" s="139"/>
      <c r="CM229" s="139"/>
      <c r="CN229" s="139"/>
      <c r="CO229" s="139"/>
      <c r="CP229" s="139"/>
      <c r="CQ229" s="13"/>
      <c r="CR229" s="506"/>
      <c r="CS229" s="506"/>
      <c r="CT229" s="25"/>
      <c r="CU229" s="13"/>
      <c r="CV229" s="506"/>
      <c r="CW229" s="13"/>
      <c r="CX229" s="506"/>
      <c r="CY229" s="13"/>
      <c r="CZ229" s="13"/>
      <c r="DA229" s="13"/>
      <c r="DB229" s="13"/>
      <c r="DC229" s="13"/>
      <c r="DD229" s="506"/>
      <c r="DE229" s="506"/>
      <c r="DF229" s="13"/>
      <c r="DG229" s="13"/>
      <c r="DH229" s="506"/>
      <c r="DI229" s="506"/>
      <c r="DJ229" s="506"/>
      <c r="DK229" s="13"/>
      <c r="DL229" s="506"/>
      <c r="DM229" s="13"/>
      <c r="DN229" s="13"/>
      <c r="DO229" s="13"/>
      <c r="DP229" s="13"/>
      <c r="DQ229" s="176"/>
      <c r="DR229" s="13"/>
      <c r="DS229" s="506"/>
      <c r="DT229" s="506"/>
      <c r="DU229" s="25"/>
      <c r="DV229" s="506"/>
      <c r="DW229" s="506"/>
      <c r="DX229" s="13"/>
      <c r="DY229" s="506"/>
      <c r="DZ229" s="506"/>
      <c r="EA229" s="13"/>
      <c r="EB229" s="506"/>
      <c r="EC229" s="506"/>
      <c r="ED229" s="13"/>
      <c r="EE229" s="506"/>
      <c r="EF229" s="506"/>
      <c r="EG229" s="13"/>
      <c r="EH229" s="506"/>
      <c r="EI229" s="506"/>
      <c r="EJ229" s="13"/>
      <c r="EK229" s="506"/>
      <c r="EL229" s="506"/>
      <c r="EM229" s="13"/>
      <c r="EN229" s="506"/>
      <c r="EO229" s="506"/>
      <c r="EP229" s="506"/>
      <c r="EQ229" s="13"/>
      <c r="ER229" s="13"/>
      <c r="ES229" s="13"/>
      <c r="ET229" s="138"/>
      <c r="EU229" s="13"/>
      <c r="EV229" s="13"/>
      <c r="EW229" s="13"/>
      <c r="EX229" s="13"/>
      <c r="EY229" s="13"/>
      <c r="EZ229" s="13"/>
      <c r="FA229" s="13"/>
      <c r="FB229" s="307"/>
      <c r="FC229" s="13"/>
      <c r="FD229" s="13"/>
      <c r="FE229" s="13"/>
      <c r="FF229" s="13"/>
      <c r="FG229" s="526"/>
      <c r="FH229" s="526"/>
      <c r="FI229" s="526"/>
      <c r="FJ229" s="526"/>
      <c r="FK229" s="526"/>
      <c r="FL229" s="526"/>
      <c r="FN229" s="522"/>
      <c r="FO229" s="762"/>
      <c r="FQ229" s="13"/>
      <c r="FR229" s="13"/>
      <c r="FS229" s="13"/>
      <c r="FT229" s="13"/>
      <c r="FU229" s="13"/>
      <c r="FV229" s="13"/>
      <c r="FW229" s="13"/>
      <c r="FX229" s="13"/>
      <c r="FY229" s="13"/>
      <c r="FZ229" s="13"/>
      <c r="GA229" s="13"/>
      <c r="GB229" s="13"/>
      <c r="GC229" s="13"/>
      <c r="GD229" s="13"/>
      <c r="GE229" s="13"/>
      <c r="GF229" s="13"/>
      <c r="GG229" s="13"/>
      <c r="GH229" s="13"/>
      <c r="GI229" s="13"/>
      <c r="GJ229" s="13"/>
      <c r="GK229" s="13"/>
      <c r="GL229" s="551"/>
      <c r="GM229" s="551"/>
      <c r="GN229" s="25"/>
      <c r="GO229" s="13"/>
      <c r="GP229" s="25"/>
      <c r="GQ229" s="13"/>
      <c r="GR229" s="13"/>
      <c r="GS229" s="13"/>
      <c r="GT229" s="13"/>
      <c r="GU229" s="13"/>
      <c r="GV229" s="13"/>
      <c r="GW229" s="13"/>
      <c r="GX229" s="13"/>
      <c r="GY229" s="571"/>
      <c r="GZ229" s="13"/>
      <c r="HA229" s="13"/>
      <c r="HB229" s="13"/>
      <c r="HC229" s="13"/>
      <c r="HD229" s="13"/>
      <c r="HE229" s="13"/>
      <c r="HF229" s="13"/>
      <c r="HG229" s="13"/>
      <c r="HH229" s="13"/>
      <c r="HI229" s="13"/>
      <c r="HJ229" s="13"/>
      <c r="HK229" s="13"/>
      <c r="HL229" s="13"/>
      <c r="HM229" s="13"/>
      <c r="HN229" s="13"/>
      <c r="HO229" s="13"/>
      <c r="HP229" s="13"/>
      <c r="HQ229" s="13"/>
      <c r="HR229" s="25"/>
      <c r="HS229" s="13"/>
      <c r="HT229" s="13"/>
      <c r="HU229" s="13"/>
      <c r="HV229" s="13"/>
      <c r="HW229" s="13"/>
      <c r="HX229" s="13"/>
      <c r="HY229" s="13"/>
      <c r="HZ229" s="13"/>
      <c r="IA229" s="13"/>
      <c r="IB229" s="13"/>
      <c r="IC229" s="13"/>
      <c r="ID229" s="13"/>
      <c r="IE229" s="13"/>
      <c r="IF229" s="13"/>
    </row>
    <row r="230" spans="1:240" s="31" customFormat="1">
      <c r="A230" s="715" t="s">
        <v>17</v>
      </c>
      <c r="B230" s="715"/>
      <c r="C230" s="13">
        <f>COUNTIF(Ville,"*St Philippe*")</f>
        <v>3</v>
      </c>
      <c r="D230" s="13">
        <f t="shared" si="438"/>
        <v>93</v>
      </c>
      <c r="E230" s="13"/>
      <c r="F230" s="13"/>
      <c r="G230" s="13"/>
      <c r="H230" s="13"/>
      <c r="I230" s="13"/>
      <c r="J230" s="13"/>
      <c r="K230" s="13"/>
      <c r="L230" s="233"/>
      <c r="M230" s="153"/>
      <c r="N230" s="153"/>
      <c r="O230" s="15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  <c r="AJ230" s="13"/>
      <c r="AK230" s="657"/>
      <c r="AL230" s="138"/>
      <c r="AM230" s="880"/>
      <c r="AN230" s="13"/>
      <c r="AO230" s="13"/>
      <c r="AP230" s="13"/>
      <c r="AQ230" s="13"/>
      <c r="AR230" s="13"/>
      <c r="AS230" s="13"/>
      <c r="AT230" s="13"/>
      <c r="AU230" s="13"/>
      <c r="AV230" s="13"/>
      <c r="AW230" s="13"/>
      <c r="AX230" s="110"/>
      <c r="AY230" s="24"/>
      <c r="AZ230" s="13"/>
      <c r="BA230" s="13"/>
      <c r="BB230" s="13"/>
      <c r="BC230" s="13"/>
      <c r="BD230" s="13"/>
      <c r="BE230" s="13"/>
      <c r="BF230" s="13"/>
      <c r="BG230" s="13"/>
      <c r="BH230" s="13"/>
      <c r="BI230" s="138"/>
      <c r="BJ230" s="138"/>
      <c r="BK230" s="138"/>
      <c r="BL230" s="138"/>
      <c r="BM230" s="138"/>
      <c r="BN230" s="138"/>
      <c r="BO230" s="961"/>
      <c r="BP230" s="138"/>
      <c r="BQ230" s="138"/>
      <c r="BR230" s="138"/>
      <c r="BS230" s="138"/>
      <c r="BT230" s="138"/>
      <c r="BU230" s="138"/>
      <c r="BV230" s="138"/>
      <c r="BW230" s="138"/>
      <c r="BX230" s="138"/>
      <c r="BY230" s="138"/>
      <c r="BZ230" s="138"/>
      <c r="CA230" s="138"/>
      <c r="CB230" s="138"/>
      <c r="CC230" s="138"/>
      <c r="CD230" s="138"/>
      <c r="CE230" s="138"/>
      <c r="CF230" s="138"/>
      <c r="CG230" s="138"/>
      <c r="CH230" s="138"/>
      <c r="CI230" s="138"/>
      <c r="CJ230" s="138"/>
      <c r="CK230" s="138"/>
      <c r="CL230" s="139"/>
      <c r="CM230" s="139"/>
      <c r="CN230" s="139"/>
      <c r="CO230" s="139"/>
      <c r="CP230" s="139"/>
      <c r="CQ230" s="13"/>
      <c r="CR230" s="506"/>
      <c r="CS230" s="506"/>
      <c r="CT230" s="25"/>
      <c r="CU230" s="13"/>
      <c r="CV230" s="506"/>
      <c r="CW230" s="13"/>
      <c r="CX230" s="506"/>
      <c r="CY230" s="13"/>
      <c r="CZ230" s="13"/>
      <c r="DA230" s="13"/>
      <c r="DB230" s="13"/>
      <c r="DC230" s="13"/>
      <c r="DD230" s="506"/>
      <c r="DE230" s="506"/>
      <c r="DF230" s="13"/>
      <c r="DG230" s="13"/>
      <c r="DH230" s="506"/>
      <c r="DI230" s="506"/>
      <c r="DJ230" s="506"/>
      <c r="DK230" s="13"/>
      <c r="DL230" s="506"/>
      <c r="DM230" s="13"/>
      <c r="DN230" s="13"/>
      <c r="DO230" s="13"/>
      <c r="DP230" s="13"/>
      <c r="DQ230" s="176"/>
      <c r="DR230" s="13"/>
      <c r="DS230" s="506"/>
      <c r="DT230" s="506"/>
      <c r="DU230" s="25"/>
      <c r="DV230" s="506"/>
      <c r="DW230" s="506"/>
      <c r="DX230" s="13"/>
      <c r="DY230" s="506"/>
      <c r="DZ230" s="506"/>
      <c r="EA230" s="13"/>
      <c r="EB230" s="506"/>
      <c r="EC230" s="506"/>
      <c r="ED230" s="13"/>
      <c r="EE230" s="506"/>
      <c r="EF230" s="506"/>
      <c r="EG230" s="13"/>
      <c r="EH230" s="506"/>
      <c r="EI230" s="506"/>
      <c r="EJ230" s="13"/>
      <c r="EK230" s="506"/>
      <c r="EL230" s="506"/>
      <c r="EM230" s="13"/>
      <c r="EN230" s="506"/>
      <c r="EO230" s="506"/>
      <c r="EP230" s="506"/>
      <c r="EQ230" s="13"/>
      <c r="ER230" s="13"/>
      <c r="ES230" s="13"/>
      <c r="ET230" s="138"/>
      <c r="EU230" s="13"/>
      <c r="EV230" s="13"/>
      <c r="EW230" s="13"/>
      <c r="EX230" s="13"/>
      <c r="EY230" s="13"/>
      <c r="EZ230" s="13"/>
      <c r="FA230" s="13"/>
      <c r="FB230" s="307"/>
      <c r="FC230" s="13"/>
      <c r="FD230" s="13"/>
      <c r="FE230" s="13"/>
      <c r="FF230" s="13"/>
      <c r="FG230" s="526"/>
      <c r="FH230" s="526"/>
      <c r="FI230" s="526"/>
      <c r="FJ230" s="526"/>
      <c r="FK230" s="526"/>
      <c r="FL230" s="526"/>
      <c r="FN230" s="522"/>
      <c r="FO230" s="762"/>
      <c r="FQ230" s="13"/>
      <c r="FR230" s="13"/>
      <c r="FS230" s="13"/>
      <c r="FT230" s="13"/>
      <c r="FU230" s="13"/>
      <c r="FV230" s="13"/>
      <c r="FW230" s="13"/>
      <c r="FX230" s="13"/>
      <c r="FY230" s="13"/>
      <c r="FZ230" s="13"/>
      <c r="GA230" s="13"/>
      <c r="GB230" s="13"/>
      <c r="GC230" s="13"/>
      <c r="GD230" s="13"/>
      <c r="GE230" s="13"/>
      <c r="GF230" s="13"/>
      <c r="GG230" s="13"/>
      <c r="GH230" s="13"/>
      <c r="GI230" s="13"/>
      <c r="GJ230" s="13"/>
      <c r="GK230" s="13"/>
      <c r="GL230" s="551"/>
      <c r="GM230" s="551"/>
      <c r="GN230" s="25"/>
      <c r="GO230" s="13"/>
      <c r="GP230" s="25"/>
      <c r="GQ230" s="13"/>
      <c r="GR230" s="13"/>
      <c r="GS230" s="13"/>
      <c r="GT230" s="13"/>
      <c r="GU230" s="13"/>
      <c r="GV230" s="13"/>
      <c r="GW230" s="13"/>
      <c r="GX230" s="13"/>
      <c r="GY230" s="571"/>
      <c r="GZ230" s="13"/>
      <c r="HA230" s="13"/>
      <c r="HB230" s="13"/>
      <c r="HC230" s="13"/>
      <c r="HD230" s="13"/>
      <c r="HE230" s="13"/>
      <c r="HF230" s="13"/>
      <c r="HG230" s="13"/>
      <c r="HH230" s="13"/>
      <c r="HI230" s="13"/>
      <c r="HJ230" s="13"/>
      <c r="HK230" s="13"/>
      <c r="HL230" s="13"/>
      <c r="HM230" s="13"/>
      <c r="HN230" s="13"/>
      <c r="HO230" s="13"/>
      <c r="HP230" s="13"/>
      <c r="HQ230" s="13"/>
      <c r="HR230" s="25"/>
      <c r="HS230" s="13"/>
      <c r="HT230" s="13"/>
      <c r="HU230" s="13"/>
      <c r="HV230" s="13"/>
      <c r="HW230" s="13"/>
      <c r="HX230" s="13"/>
      <c r="HY230" s="13"/>
      <c r="HZ230" s="13"/>
      <c r="IA230" s="13"/>
      <c r="IB230" s="13"/>
      <c r="IC230" s="13"/>
      <c r="ID230" s="13"/>
      <c r="IE230" s="13"/>
      <c r="IF230" s="13"/>
    </row>
    <row r="231" spans="1:240" s="31" customFormat="1">
      <c r="A231" s="715" t="s">
        <v>82</v>
      </c>
      <c r="B231" s="715"/>
      <c r="C231" s="13">
        <f>COUNTIF(Ville,"*St Pierre*")</f>
        <v>3</v>
      </c>
      <c r="D231" s="13">
        <f t="shared" si="438"/>
        <v>253</v>
      </c>
      <c r="E231" s="13"/>
      <c r="F231" s="13"/>
      <c r="G231" s="13"/>
      <c r="H231" s="13"/>
      <c r="I231" s="13"/>
      <c r="J231" s="13"/>
      <c r="K231" s="13"/>
      <c r="L231" s="233"/>
      <c r="M231" s="153"/>
      <c r="N231" s="153"/>
      <c r="O231" s="15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657"/>
      <c r="AL231" s="138"/>
      <c r="AM231" s="880"/>
      <c r="AN231" s="13"/>
      <c r="AO231" s="13"/>
      <c r="AP231" s="13"/>
      <c r="AQ231" s="13"/>
      <c r="AR231" s="13"/>
      <c r="AS231" s="13"/>
      <c r="AT231" s="13"/>
      <c r="AU231" s="13"/>
      <c r="AV231" s="13"/>
      <c r="AW231" s="13"/>
      <c r="AX231" s="110"/>
      <c r="AY231" s="24"/>
      <c r="AZ231" s="13"/>
      <c r="BA231" s="13"/>
      <c r="BB231" s="13"/>
      <c r="BC231" s="13"/>
      <c r="BD231" s="13"/>
      <c r="BE231" s="13"/>
      <c r="BF231" s="13"/>
      <c r="BG231" s="13"/>
      <c r="BH231" s="13"/>
      <c r="BI231" s="138"/>
      <c r="BJ231" s="138"/>
      <c r="BK231" s="138"/>
      <c r="BL231" s="138"/>
      <c r="BM231" s="138"/>
      <c r="BN231" s="138"/>
      <c r="BO231" s="961"/>
      <c r="BP231" s="138"/>
      <c r="BQ231" s="138"/>
      <c r="BR231" s="138"/>
      <c r="BS231" s="138"/>
      <c r="BT231" s="138"/>
      <c r="BU231" s="138"/>
      <c r="BV231" s="138"/>
      <c r="BW231" s="138"/>
      <c r="BX231" s="138"/>
      <c r="BY231" s="138"/>
      <c r="BZ231" s="138"/>
      <c r="CA231" s="138"/>
      <c r="CB231" s="138"/>
      <c r="CC231" s="138"/>
      <c r="CD231" s="138"/>
      <c r="CE231" s="138"/>
      <c r="CF231" s="138"/>
      <c r="CG231" s="138"/>
      <c r="CH231" s="138"/>
      <c r="CI231" s="138"/>
      <c r="CJ231" s="138"/>
      <c r="CK231" s="138"/>
      <c r="CL231" s="139"/>
      <c r="CM231" s="139"/>
      <c r="CN231" s="139"/>
      <c r="CO231" s="139"/>
      <c r="CP231" s="139"/>
      <c r="CQ231" s="13"/>
      <c r="CR231" s="506"/>
      <c r="CS231" s="506"/>
      <c r="CT231" s="25"/>
      <c r="CU231" s="13"/>
      <c r="CV231" s="506"/>
      <c r="CW231" s="13"/>
      <c r="CX231" s="506"/>
      <c r="CY231" s="13"/>
      <c r="CZ231" s="13"/>
      <c r="DA231" s="13"/>
      <c r="DB231" s="13"/>
      <c r="DC231" s="13"/>
      <c r="DD231" s="506"/>
      <c r="DE231" s="506"/>
      <c r="DF231" s="13"/>
      <c r="DG231" s="13"/>
      <c r="DH231" s="506"/>
      <c r="DI231" s="506"/>
      <c r="DJ231" s="506"/>
      <c r="DK231" s="13"/>
      <c r="DL231" s="506"/>
      <c r="DM231" s="13"/>
      <c r="DN231" s="13"/>
      <c r="DO231" s="13"/>
      <c r="DP231" s="13"/>
      <c r="DQ231" s="176"/>
      <c r="DR231" s="13"/>
      <c r="DS231" s="506"/>
      <c r="DT231" s="506"/>
      <c r="DU231" s="25"/>
      <c r="DV231" s="506"/>
      <c r="DW231" s="506"/>
      <c r="DX231" s="13"/>
      <c r="DY231" s="506"/>
      <c r="DZ231" s="506"/>
      <c r="EA231" s="13"/>
      <c r="EB231" s="506"/>
      <c r="EC231" s="506"/>
      <c r="ED231" s="13"/>
      <c r="EE231" s="506"/>
      <c r="EF231" s="506"/>
      <c r="EG231" s="13"/>
      <c r="EH231" s="506"/>
      <c r="EI231" s="506"/>
      <c r="EJ231" s="13"/>
      <c r="EK231" s="506"/>
      <c r="EL231" s="506"/>
      <c r="EM231" s="13"/>
      <c r="EN231" s="506"/>
      <c r="EO231" s="506"/>
      <c r="EP231" s="506"/>
      <c r="EQ231" s="13"/>
      <c r="ER231" s="13"/>
      <c r="ES231" s="13"/>
      <c r="ET231" s="138"/>
      <c r="EU231" s="13"/>
      <c r="EV231" s="13"/>
      <c r="EW231" s="13"/>
      <c r="EX231" s="13"/>
      <c r="EY231" s="13"/>
      <c r="EZ231" s="13"/>
      <c r="FA231" s="13"/>
      <c r="FB231" s="307"/>
      <c r="FC231" s="13"/>
      <c r="FD231" s="13"/>
      <c r="FE231" s="13"/>
      <c r="FF231" s="13"/>
      <c r="FG231" s="526"/>
      <c r="FH231" s="526"/>
      <c r="FI231" s="526"/>
      <c r="FJ231" s="526"/>
      <c r="FK231" s="526"/>
      <c r="FL231" s="526"/>
      <c r="FN231" s="522"/>
      <c r="FO231" s="762"/>
      <c r="FQ231" s="13"/>
      <c r="FR231" s="13"/>
      <c r="FS231" s="13"/>
      <c r="FT231" s="13"/>
      <c r="FU231" s="13"/>
      <c r="FV231" s="13"/>
      <c r="FW231" s="13"/>
      <c r="FX231" s="13"/>
      <c r="FY231" s="13"/>
      <c r="FZ231" s="13"/>
      <c r="GA231" s="13"/>
      <c r="GB231" s="13"/>
      <c r="GC231" s="13"/>
      <c r="GD231" s="13"/>
      <c r="GE231" s="13"/>
      <c r="GF231" s="13"/>
      <c r="GG231" s="13"/>
      <c r="GH231" s="13"/>
      <c r="GI231" s="13"/>
      <c r="GJ231" s="13"/>
      <c r="GK231" s="13"/>
      <c r="GL231" s="551"/>
      <c r="GM231" s="551"/>
      <c r="GN231" s="25"/>
      <c r="GO231" s="13"/>
      <c r="GP231" s="25"/>
      <c r="GQ231" s="13"/>
      <c r="GR231" s="13"/>
      <c r="GS231" s="13"/>
      <c r="GT231" s="13"/>
      <c r="GU231" s="13"/>
      <c r="GV231" s="13"/>
      <c r="GW231" s="13"/>
      <c r="GX231" s="13"/>
      <c r="GY231" s="571"/>
      <c r="GZ231" s="13"/>
      <c r="HA231" s="13"/>
      <c r="HB231" s="13"/>
      <c r="HC231" s="13"/>
      <c r="HD231" s="13"/>
      <c r="HE231" s="13"/>
      <c r="HF231" s="13"/>
      <c r="HG231" s="13"/>
      <c r="HH231" s="13"/>
      <c r="HI231" s="13"/>
      <c r="HJ231" s="13"/>
      <c r="HK231" s="13"/>
      <c r="HL231" s="13"/>
      <c r="HM231" s="13"/>
      <c r="HN231" s="13"/>
      <c r="HO231" s="13"/>
      <c r="HP231" s="13"/>
      <c r="HQ231" s="13"/>
      <c r="HR231" s="25"/>
      <c r="HS231" s="13"/>
      <c r="HT231" s="13"/>
      <c r="HU231" s="13"/>
      <c r="HV231" s="13"/>
      <c r="HW231" s="13"/>
      <c r="HX231" s="13"/>
      <c r="HY231" s="13"/>
      <c r="HZ231" s="13"/>
      <c r="IA231" s="13"/>
      <c r="IB231" s="13"/>
      <c r="IC231" s="13"/>
      <c r="ID231" s="13"/>
      <c r="IE231" s="13"/>
      <c r="IF231" s="13"/>
    </row>
    <row r="232" spans="1:240" s="31" customFormat="1">
      <c r="A232" s="715" t="s">
        <v>21</v>
      </c>
      <c r="B232" s="715"/>
      <c r="C232" s="13">
        <f>COUNTIF(Ville,"*Tampon*")</f>
        <v>51</v>
      </c>
      <c r="D232" s="13">
        <f t="shared" si="438"/>
        <v>2677</v>
      </c>
      <c r="E232" s="13"/>
      <c r="F232" s="13"/>
      <c r="G232" s="13"/>
      <c r="H232" s="13"/>
      <c r="I232" s="13"/>
      <c r="J232" s="13"/>
      <c r="K232" s="13"/>
      <c r="L232" s="233"/>
      <c r="M232" s="153"/>
      <c r="N232" s="153"/>
      <c r="O232" s="15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657"/>
      <c r="AL232" s="138"/>
      <c r="AM232" s="880"/>
      <c r="AN232" s="13"/>
      <c r="AO232" s="13"/>
      <c r="AP232" s="13"/>
      <c r="AQ232" s="13"/>
      <c r="AR232" s="13"/>
      <c r="AS232" s="13"/>
      <c r="AT232" s="13"/>
      <c r="AU232" s="13"/>
      <c r="AV232" s="13"/>
      <c r="AW232" s="13"/>
      <c r="AX232" s="110"/>
      <c r="AY232" s="24"/>
      <c r="AZ232" s="13"/>
      <c r="BA232" s="13"/>
      <c r="BB232" s="13"/>
      <c r="BC232" s="13"/>
      <c r="BD232" s="13"/>
      <c r="BE232" s="13"/>
      <c r="BF232" s="13"/>
      <c r="BG232" s="13"/>
      <c r="BH232" s="13"/>
      <c r="BI232" s="138"/>
      <c r="BJ232" s="138"/>
      <c r="BK232" s="138"/>
      <c r="BL232" s="138"/>
      <c r="BM232" s="138"/>
      <c r="BN232" s="138"/>
      <c r="BO232" s="961"/>
      <c r="BP232" s="138"/>
      <c r="BQ232" s="138"/>
      <c r="BR232" s="138"/>
      <c r="BS232" s="138"/>
      <c r="BT232" s="138"/>
      <c r="BU232" s="138"/>
      <c r="BV232" s="138"/>
      <c r="BW232" s="138"/>
      <c r="BX232" s="138"/>
      <c r="BY232" s="138"/>
      <c r="BZ232" s="138"/>
      <c r="CA232" s="138"/>
      <c r="CB232" s="138"/>
      <c r="CC232" s="138"/>
      <c r="CD232" s="138"/>
      <c r="CE232" s="138"/>
      <c r="CF232" s="138"/>
      <c r="CG232" s="138"/>
      <c r="CH232" s="138"/>
      <c r="CI232" s="138"/>
      <c r="CJ232" s="138"/>
      <c r="CK232" s="138"/>
      <c r="CL232" s="139"/>
      <c r="CM232" s="139"/>
      <c r="CN232" s="139"/>
      <c r="CO232" s="139"/>
      <c r="CP232" s="139"/>
      <c r="CQ232" s="13"/>
      <c r="CR232" s="506"/>
      <c r="CS232" s="506"/>
      <c r="CT232" s="25"/>
      <c r="CU232" s="13"/>
      <c r="CV232" s="506"/>
      <c r="CW232" s="13"/>
      <c r="CX232" s="506"/>
      <c r="CY232" s="13"/>
      <c r="CZ232" s="13"/>
      <c r="DA232" s="13"/>
      <c r="DB232" s="13"/>
      <c r="DC232" s="13"/>
      <c r="DD232" s="506"/>
      <c r="DE232" s="506"/>
      <c r="DF232" s="13"/>
      <c r="DG232" s="13"/>
      <c r="DH232" s="506"/>
      <c r="DI232" s="506"/>
      <c r="DJ232" s="506"/>
      <c r="DK232" s="13"/>
      <c r="DL232" s="506"/>
      <c r="DM232" s="13"/>
      <c r="DN232" s="13"/>
      <c r="DO232" s="13"/>
      <c r="DP232" s="13"/>
      <c r="DQ232" s="176"/>
      <c r="DR232" s="13"/>
      <c r="DS232" s="506"/>
      <c r="DT232" s="506"/>
      <c r="DU232" s="25"/>
      <c r="DV232" s="506"/>
      <c r="DW232" s="506"/>
      <c r="DX232" s="13"/>
      <c r="DY232" s="506"/>
      <c r="DZ232" s="506"/>
      <c r="EA232" s="13"/>
      <c r="EB232" s="506"/>
      <c r="EC232" s="506"/>
      <c r="ED232" s="13"/>
      <c r="EE232" s="506"/>
      <c r="EF232" s="506"/>
      <c r="EG232" s="13"/>
      <c r="EH232" s="506"/>
      <c r="EI232" s="506"/>
      <c r="EJ232" s="13"/>
      <c r="EK232" s="506"/>
      <c r="EL232" s="506"/>
      <c r="EM232" s="13"/>
      <c r="EN232" s="506"/>
      <c r="EO232" s="506"/>
      <c r="EP232" s="506"/>
      <c r="EQ232" s="13"/>
      <c r="ER232" s="13"/>
      <c r="ES232" s="13"/>
      <c r="ET232" s="138"/>
      <c r="EU232" s="13"/>
      <c r="EV232" s="13"/>
      <c r="EW232" s="13"/>
      <c r="EX232" s="13"/>
      <c r="EY232" s="13"/>
      <c r="EZ232" s="13"/>
      <c r="FA232" s="13"/>
      <c r="FB232" s="307"/>
      <c r="FC232" s="13"/>
      <c r="FD232" s="13"/>
      <c r="FE232" s="13"/>
      <c r="FF232" s="13"/>
      <c r="FG232" s="526"/>
      <c r="FH232" s="526"/>
      <c r="FI232" s="526"/>
      <c r="FJ232" s="526"/>
      <c r="FK232" s="526"/>
      <c r="FL232" s="526"/>
      <c r="FN232" s="522"/>
      <c r="FO232" s="762"/>
      <c r="FQ232" s="13"/>
      <c r="FR232" s="13"/>
      <c r="FS232" s="13"/>
      <c r="FT232" s="13"/>
      <c r="FU232" s="13"/>
      <c r="FV232" s="13"/>
      <c r="FW232" s="13"/>
      <c r="FX232" s="13"/>
      <c r="FY232" s="13"/>
      <c r="FZ232" s="13"/>
      <c r="GA232" s="13"/>
      <c r="GB232" s="13"/>
      <c r="GC232" s="13"/>
      <c r="GD232" s="13"/>
      <c r="GE232" s="13"/>
      <c r="GF232" s="13"/>
      <c r="GG232" s="13"/>
      <c r="GH232" s="13"/>
      <c r="GI232" s="13"/>
      <c r="GJ232" s="13"/>
      <c r="GK232" s="13"/>
      <c r="GL232" s="551"/>
      <c r="GM232" s="551"/>
      <c r="GN232" s="25"/>
      <c r="GO232" s="13"/>
      <c r="GP232" s="25"/>
      <c r="GQ232" s="13"/>
      <c r="GR232" s="13"/>
      <c r="GS232" s="13"/>
      <c r="GT232" s="13"/>
      <c r="GU232" s="13"/>
      <c r="GV232" s="13"/>
      <c r="GW232" s="13"/>
      <c r="GX232" s="13"/>
      <c r="GY232" s="571"/>
      <c r="GZ232" s="13"/>
      <c r="HA232" s="13"/>
      <c r="HB232" s="13"/>
      <c r="HC232" s="13"/>
      <c r="HD232" s="13"/>
      <c r="HE232" s="13"/>
      <c r="HF232" s="13"/>
      <c r="HG232" s="13"/>
      <c r="HH232" s="13"/>
      <c r="HI232" s="13"/>
      <c r="HJ232" s="13"/>
      <c r="HK232" s="13"/>
      <c r="HL232" s="13"/>
      <c r="HM232" s="13"/>
      <c r="HN232" s="13"/>
      <c r="HO232" s="13"/>
      <c r="HP232" s="13"/>
      <c r="HQ232" s="13"/>
      <c r="HR232" s="25"/>
      <c r="HS232" s="13"/>
      <c r="HT232" s="13"/>
      <c r="HU232" s="13"/>
      <c r="HV232" s="13"/>
      <c r="HW232" s="13"/>
      <c r="HX232" s="13"/>
      <c r="HY232" s="13"/>
      <c r="HZ232" s="13"/>
      <c r="IA232" s="13"/>
      <c r="IB232" s="13"/>
      <c r="IC232" s="13"/>
      <c r="ID232" s="13"/>
      <c r="IE232" s="13"/>
      <c r="IF232" s="13"/>
    </row>
    <row r="233" spans="1:240" s="31" customFormat="1">
      <c r="A233" s="715" t="s">
        <v>26</v>
      </c>
      <c r="B233" s="715"/>
      <c r="C233" s="13">
        <f>COUNTIF(Ville,"*Trois Bassins*")</f>
        <v>1</v>
      </c>
      <c r="D233" s="13">
        <f t="shared" si="438"/>
        <v>24</v>
      </c>
      <c r="E233" s="13"/>
      <c r="F233" s="13"/>
      <c r="G233" s="13"/>
      <c r="H233" s="13"/>
      <c r="I233" s="13"/>
      <c r="J233" s="13"/>
      <c r="K233" s="13"/>
      <c r="L233" s="233"/>
      <c r="M233" s="153"/>
      <c r="N233" s="153"/>
      <c r="O233" s="15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  <c r="AJ233" s="13"/>
      <c r="AK233" s="657"/>
      <c r="AL233" s="138"/>
      <c r="AM233" s="880"/>
      <c r="AN233" s="13"/>
      <c r="AO233" s="13"/>
      <c r="AP233" s="13"/>
      <c r="AQ233" s="13"/>
      <c r="AR233" s="13"/>
      <c r="AS233" s="13"/>
      <c r="AT233" s="13"/>
      <c r="AU233" s="13"/>
      <c r="AV233" s="13"/>
      <c r="AW233" s="13"/>
      <c r="AX233" s="110"/>
      <c r="AY233" s="24"/>
      <c r="AZ233" s="13"/>
      <c r="BA233" s="13"/>
      <c r="BB233" s="13"/>
      <c r="BC233" s="13"/>
      <c r="BD233" s="13"/>
      <c r="BE233" s="13"/>
      <c r="BF233" s="13"/>
      <c r="BG233" s="13"/>
      <c r="BH233" s="13"/>
      <c r="BI233" s="138"/>
      <c r="BJ233" s="138"/>
      <c r="BK233" s="138"/>
      <c r="BL233" s="138"/>
      <c r="BM233" s="138"/>
      <c r="BN233" s="138"/>
      <c r="BO233" s="961"/>
      <c r="BP233" s="138"/>
      <c r="BQ233" s="138"/>
      <c r="BR233" s="138"/>
      <c r="BS233" s="138"/>
      <c r="BT233" s="138"/>
      <c r="BU233" s="138"/>
      <c r="BV233" s="138"/>
      <c r="BW233" s="138"/>
      <c r="BX233" s="138"/>
      <c r="BY233" s="138"/>
      <c r="BZ233" s="138"/>
      <c r="CA233" s="138"/>
      <c r="CB233" s="138"/>
      <c r="CC233" s="138"/>
      <c r="CD233" s="138"/>
      <c r="CE233" s="138"/>
      <c r="CF233" s="138"/>
      <c r="CG233" s="138"/>
      <c r="CH233" s="138"/>
      <c r="CI233" s="138"/>
      <c r="CJ233" s="138"/>
      <c r="CK233" s="138"/>
      <c r="CL233" s="139"/>
      <c r="CM233" s="139"/>
      <c r="CN233" s="139"/>
      <c r="CO233" s="139"/>
      <c r="CP233" s="139"/>
      <c r="CQ233" s="13"/>
      <c r="CR233" s="506"/>
      <c r="CS233" s="506"/>
      <c r="CT233" s="25"/>
      <c r="CU233" s="13"/>
      <c r="CV233" s="506"/>
      <c r="CW233" s="13"/>
      <c r="CX233" s="506"/>
      <c r="CY233" s="13"/>
      <c r="CZ233" s="13"/>
      <c r="DA233" s="13"/>
      <c r="DB233" s="13"/>
      <c r="DC233" s="13"/>
      <c r="DD233" s="506"/>
      <c r="DE233" s="506"/>
      <c r="DF233" s="13"/>
      <c r="DG233" s="13"/>
      <c r="DH233" s="506"/>
      <c r="DI233" s="506"/>
      <c r="DJ233" s="506"/>
      <c r="DK233" s="13"/>
      <c r="DL233" s="506"/>
      <c r="DM233" s="13"/>
      <c r="DN233" s="13"/>
      <c r="DO233" s="13"/>
      <c r="DP233" s="13"/>
      <c r="DQ233" s="176"/>
      <c r="DR233" s="13"/>
      <c r="DS233" s="506"/>
      <c r="DT233" s="506"/>
      <c r="DU233" s="25"/>
      <c r="DV233" s="506"/>
      <c r="DW233" s="506"/>
      <c r="DX233" s="13"/>
      <c r="DY233" s="506"/>
      <c r="DZ233" s="506"/>
      <c r="EA233" s="13"/>
      <c r="EB233" s="506"/>
      <c r="EC233" s="506"/>
      <c r="ED233" s="13"/>
      <c r="EE233" s="506"/>
      <c r="EF233" s="506"/>
      <c r="EG233" s="13"/>
      <c r="EH233" s="506"/>
      <c r="EI233" s="506"/>
      <c r="EJ233" s="13"/>
      <c r="EK233" s="506"/>
      <c r="EL233" s="506"/>
      <c r="EM233" s="13"/>
      <c r="EN233" s="506"/>
      <c r="EO233" s="506"/>
      <c r="EP233" s="506"/>
      <c r="EQ233" s="13"/>
      <c r="ER233" s="13"/>
      <c r="ES233" s="13"/>
      <c r="ET233" s="138"/>
      <c r="EU233" s="13"/>
      <c r="EV233" s="13"/>
      <c r="EW233" s="13"/>
      <c r="EX233" s="13"/>
      <c r="EY233" s="13"/>
      <c r="EZ233" s="13"/>
      <c r="FA233" s="13"/>
      <c r="FB233" s="307"/>
      <c r="FC233" s="13"/>
      <c r="FD233" s="13"/>
      <c r="FE233" s="13"/>
      <c r="FF233" s="13"/>
      <c r="FG233" s="526"/>
      <c r="FH233" s="526"/>
      <c r="FI233" s="526"/>
      <c r="FJ233" s="526"/>
      <c r="FK233" s="526"/>
      <c r="FL233" s="526"/>
      <c r="FN233" s="522"/>
      <c r="FO233" s="762"/>
      <c r="FQ233" s="13"/>
      <c r="FR233" s="13"/>
      <c r="FS233" s="13"/>
      <c r="FT233" s="13"/>
      <c r="FU233" s="13"/>
      <c r="FV233" s="13"/>
      <c r="FW233" s="13"/>
      <c r="FX233" s="13"/>
      <c r="FY233" s="13"/>
      <c r="FZ233" s="13"/>
      <c r="GA233" s="13"/>
      <c r="GB233" s="13"/>
      <c r="GC233" s="13"/>
      <c r="GD233" s="13"/>
      <c r="GE233" s="13"/>
      <c r="GF233" s="13"/>
      <c r="GG233" s="13"/>
      <c r="GH233" s="13"/>
      <c r="GI233" s="13"/>
      <c r="GJ233" s="13"/>
      <c r="GK233" s="13"/>
      <c r="GL233" s="551"/>
      <c r="GM233" s="551"/>
      <c r="GN233" s="25"/>
      <c r="GO233" s="13"/>
      <c r="GP233" s="25"/>
      <c r="GQ233" s="13"/>
      <c r="GR233" s="13"/>
      <c r="GS233" s="13"/>
      <c r="GT233" s="13"/>
      <c r="GU233" s="13"/>
      <c r="GV233" s="13"/>
      <c r="GW233" s="13"/>
      <c r="GX233" s="13"/>
      <c r="GY233" s="571"/>
      <c r="GZ233" s="13"/>
      <c r="HA233" s="13"/>
      <c r="HB233" s="13"/>
      <c r="HC233" s="13"/>
      <c r="HD233" s="13"/>
      <c r="HE233" s="13"/>
      <c r="HF233" s="13"/>
      <c r="HG233" s="13"/>
      <c r="HH233" s="13"/>
      <c r="HI233" s="13"/>
      <c r="HJ233" s="13"/>
      <c r="HK233" s="13"/>
      <c r="HL233" s="13"/>
      <c r="HM233" s="13"/>
      <c r="HN233" s="13"/>
      <c r="HO233" s="13"/>
      <c r="HP233" s="13"/>
      <c r="HQ233" s="13"/>
      <c r="HR233" s="25"/>
      <c r="HS233" s="13"/>
      <c r="HT233" s="13"/>
      <c r="HU233" s="13"/>
      <c r="HV233" s="13"/>
      <c r="HW233" s="13"/>
      <c r="HX233" s="13"/>
      <c r="HY233" s="13"/>
      <c r="HZ233" s="13"/>
      <c r="IA233" s="13"/>
      <c r="IB233" s="13"/>
      <c r="IC233" s="13"/>
      <c r="ID233" s="13"/>
      <c r="IE233" s="13"/>
      <c r="IF233" s="13"/>
    </row>
    <row r="234" spans="1:240" s="31" customFormat="1">
      <c r="A234" s="713"/>
      <c r="B234" s="713"/>
      <c r="C234" s="25">
        <f>SUM(C224:C233)</f>
        <v>123</v>
      </c>
      <c r="D234" s="25">
        <f>SUM(D224:D233)</f>
        <v>5128</v>
      </c>
      <c r="E234" s="13"/>
      <c r="F234" s="13"/>
      <c r="G234" s="13"/>
      <c r="H234" s="13"/>
      <c r="I234" s="13"/>
      <c r="J234" s="13"/>
      <c r="K234" s="13"/>
      <c r="L234" s="233"/>
      <c r="M234" s="153"/>
      <c r="N234" s="153"/>
      <c r="O234" s="15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  <c r="AJ234" s="13"/>
      <c r="AK234" s="657"/>
      <c r="AL234" s="138"/>
      <c r="AM234" s="880"/>
      <c r="AN234" s="13"/>
      <c r="AO234" s="13"/>
      <c r="AP234" s="13"/>
      <c r="AQ234" s="13"/>
      <c r="AR234" s="13"/>
      <c r="AS234" s="13"/>
      <c r="AT234" s="13"/>
      <c r="AU234" s="13"/>
      <c r="AV234" s="13"/>
      <c r="AW234" s="13"/>
      <c r="AX234" s="110"/>
      <c r="AY234" s="24"/>
      <c r="AZ234" s="13"/>
      <c r="BA234" s="13"/>
      <c r="BB234" s="13"/>
      <c r="BC234" s="13"/>
      <c r="BD234" s="13"/>
      <c r="BE234" s="13"/>
      <c r="BF234" s="13"/>
      <c r="BG234" s="13"/>
      <c r="BH234" s="13"/>
      <c r="BI234" s="138"/>
      <c r="BJ234" s="138"/>
      <c r="BK234" s="138"/>
      <c r="BL234" s="138"/>
      <c r="BM234" s="138"/>
      <c r="BN234" s="138"/>
      <c r="BO234" s="961"/>
      <c r="BP234" s="138"/>
      <c r="BQ234" s="138"/>
      <c r="BR234" s="138"/>
      <c r="BS234" s="138"/>
      <c r="BT234" s="138"/>
      <c r="BU234" s="138"/>
      <c r="BV234" s="138"/>
      <c r="BW234" s="138"/>
      <c r="BX234" s="138"/>
      <c r="BY234" s="138"/>
      <c r="BZ234" s="138"/>
      <c r="CA234" s="138"/>
      <c r="CB234" s="138"/>
      <c r="CC234" s="138"/>
      <c r="CD234" s="138"/>
      <c r="CE234" s="138"/>
      <c r="CF234" s="138"/>
      <c r="CG234" s="138"/>
      <c r="CH234" s="138"/>
      <c r="CI234" s="138"/>
      <c r="CJ234" s="138"/>
      <c r="CK234" s="138"/>
      <c r="CL234" s="139"/>
      <c r="CM234" s="139"/>
      <c r="CN234" s="139"/>
      <c r="CO234" s="139"/>
      <c r="CP234" s="139"/>
      <c r="CQ234" s="13"/>
      <c r="CR234" s="506"/>
      <c r="CS234" s="506"/>
      <c r="CT234" s="25"/>
      <c r="CU234" s="13"/>
      <c r="CV234" s="506"/>
      <c r="CW234" s="13"/>
      <c r="CX234" s="506"/>
      <c r="CY234" s="13"/>
      <c r="CZ234" s="13"/>
      <c r="DA234" s="13"/>
      <c r="DB234" s="13"/>
      <c r="DC234" s="13"/>
      <c r="DD234" s="506"/>
      <c r="DE234" s="506"/>
      <c r="DF234" s="13"/>
      <c r="DG234" s="13"/>
      <c r="DH234" s="506"/>
      <c r="DI234" s="506"/>
      <c r="DJ234" s="506"/>
      <c r="DK234" s="13"/>
      <c r="DL234" s="506"/>
      <c r="DM234" s="13"/>
      <c r="DN234" s="13"/>
      <c r="DO234" s="13"/>
      <c r="DP234" s="13"/>
      <c r="DQ234" s="176"/>
      <c r="DR234" s="13"/>
      <c r="DS234" s="506"/>
      <c r="DT234" s="506"/>
      <c r="DU234" s="25"/>
      <c r="DV234" s="506"/>
      <c r="DW234" s="506"/>
      <c r="DX234" s="13"/>
      <c r="DY234" s="506"/>
      <c r="DZ234" s="506"/>
      <c r="EA234" s="13"/>
      <c r="EB234" s="506"/>
      <c r="EC234" s="506"/>
      <c r="ED234" s="13"/>
      <c r="EE234" s="506"/>
      <c r="EF234" s="506"/>
      <c r="EG234" s="13"/>
      <c r="EH234" s="506"/>
      <c r="EI234" s="506"/>
      <c r="EJ234" s="13"/>
      <c r="EK234" s="506"/>
      <c r="EL234" s="506"/>
      <c r="EM234" s="13"/>
      <c r="EN234" s="506"/>
      <c r="EO234" s="506"/>
      <c r="EP234" s="506"/>
      <c r="EQ234" s="13"/>
      <c r="ER234" s="13"/>
      <c r="ES234" s="13"/>
      <c r="ET234" s="138"/>
      <c r="EU234" s="13"/>
      <c r="EV234" s="13"/>
      <c r="EW234" s="13"/>
      <c r="EX234" s="13"/>
      <c r="EY234" s="13"/>
      <c r="EZ234" s="13"/>
      <c r="FA234" s="13"/>
      <c r="FB234" s="307"/>
      <c r="FC234" s="13"/>
      <c r="FD234" s="13"/>
      <c r="FE234" s="13"/>
      <c r="FF234" s="13"/>
      <c r="FG234" s="526"/>
      <c r="FH234" s="526"/>
      <c r="FI234" s="526"/>
      <c r="FJ234" s="526"/>
      <c r="FK234" s="526"/>
      <c r="FL234" s="526"/>
      <c r="FN234" s="522"/>
      <c r="FO234" s="762"/>
      <c r="FQ234" s="13"/>
      <c r="FR234" s="13"/>
      <c r="FS234" s="13"/>
      <c r="FT234" s="13"/>
      <c r="FU234" s="13"/>
      <c r="FV234" s="13"/>
      <c r="FW234" s="13"/>
      <c r="FX234" s="13"/>
      <c r="FY234" s="13"/>
      <c r="FZ234" s="13"/>
      <c r="GA234" s="13"/>
      <c r="GB234" s="13"/>
      <c r="GC234" s="13"/>
      <c r="GD234" s="13"/>
      <c r="GE234" s="13"/>
      <c r="GF234" s="13"/>
      <c r="GG234" s="13"/>
      <c r="GH234" s="13"/>
      <c r="GI234" s="13"/>
      <c r="GJ234" s="13"/>
      <c r="GK234" s="13"/>
      <c r="GL234" s="551"/>
      <c r="GM234" s="551"/>
      <c r="GN234" s="25"/>
      <c r="GO234" s="13"/>
      <c r="GP234" s="25"/>
      <c r="GQ234" s="13"/>
      <c r="GR234" s="13"/>
      <c r="GS234" s="13"/>
      <c r="GT234" s="13"/>
      <c r="GU234" s="13"/>
      <c r="GV234" s="13"/>
      <c r="GW234" s="13"/>
      <c r="GX234" s="13"/>
      <c r="GY234" s="571"/>
      <c r="GZ234" s="13"/>
      <c r="HA234" s="13"/>
      <c r="HB234" s="13"/>
      <c r="HC234" s="13"/>
      <c r="HD234" s="13"/>
      <c r="HE234" s="13"/>
      <c r="HF234" s="13"/>
      <c r="HG234" s="13"/>
      <c r="HH234" s="13"/>
      <c r="HI234" s="13"/>
      <c r="HJ234" s="13"/>
      <c r="HK234" s="13"/>
      <c r="HL234" s="13"/>
      <c r="HM234" s="13"/>
      <c r="HN234" s="13"/>
      <c r="HO234" s="13"/>
      <c r="HP234" s="13"/>
      <c r="HQ234" s="13"/>
      <c r="HR234" s="25"/>
      <c r="HS234" s="13"/>
      <c r="HT234" s="13"/>
      <c r="HU234" s="13"/>
      <c r="HV234" s="13"/>
      <c r="HW234" s="13"/>
      <c r="HX234" s="13"/>
      <c r="HY234" s="13"/>
      <c r="HZ234" s="13"/>
      <c r="IA234" s="13"/>
      <c r="IB234" s="13"/>
      <c r="IC234" s="13"/>
      <c r="ID234" s="13"/>
      <c r="IE234" s="13"/>
      <c r="IF234" s="13"/>
    </row>
    <row r="235" spans="1:240" s="31" customFormat="1">
      <c r="A235" s="713"/>
      <c r="B235" s="713"/>
      <c r="C235" s="13"/>
      <c r="D235" s="13"/>
      <c r="E235" s="13"/>
      <c r="F235" s="13"/>
      <c r="G235" s="13"/>
      <c r="H235" s="13"/>
      <c r="I235" s="13"/>
      <c r="J235" s="13"/>
      <c r="K235" s="13"/>
      <c r="L235" s="233"/>
      <c r="M235" s="153"/>
      <c r="N235" s="153"/>
      <c r="O235" s="15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657"/>
      <c r="AL235" s="138"/>
      <c r="AM235" s="880"/>
      <c r="AN235" s="13"/>
      <c r="AO235" s="13"/>
      <c r="AP235" s="13"/>
      <c r="AQ235" s="13"/>
      <c r="AR235" s="13"/>
      <c r="AS235" s="13"/>
      <c r="AT235" s="13"/>
      <c r="AU235" s="13"/>
      <c r="AV235" s="13"/>
      <c r="AW235" s="13"/>
      <c r="AX235" s="110"/>
      <c r="AY235" s="24"/>
      <c r="AZ235" s="13"/>
      <c r="BA235" s="13"/>
      <c r="BB235" s="13"/>
      <c r="BC235" s="13"/>
      <c r="BD235" s="13"/>
      <c r="BE235" s="13"/>
      <c r="BF235" s="13"/>
      <c r="BG235" s="13"/>
      <c r="BH235" s="13"/>
      <c r="BI235" s="138"/>
      <c r="BJ235" s="138"/>
      <c r="BK235" s="138"/>
      <c r="BL235" s="138"/>
      <c r="BM235" s="138"/>
      <c r="BN235" s="138"/>
      <c r="BO235" s="961"/>
      <c r="BP235" s="138"/>
      <c r="BQ235" s="138"/>
      <c r="BR235" s="138"/>
      <c r="BS235" s="138"/>
      <c r="BT235" s="138"/>
      <c r="BU235" s="138"/>
      <c r="BV235" s="138"/>
      <c r="BW235" s="138"/>
      <c r="BX235" s="138"/>
      <c r="BY235" s="138"/>
      <c r="BZ235" s="138"/>
      <c r="CA235" s="138"/>
      <c r="CB235" s="138"/>
      <c r="CC235" s="138"/>
      <c r="CD235" s="138"/>
      <c r="CE235" s="138"/>
      <c r="CF235" s="138"/>
      <c r="CG235" s="138"/>
      <c r="CH235" s="138"/>
      <c r="CI235" s="138"/>
      <c r="CJ235" s="138"/>
      <c r="CK235" s="138"/>
      <c r="CL235" s="139"/>
      <c r="CM235" s="139"/>
      <c r="CN235" s="139"/>
      <c r="CO235" s="139"/>
      <c r="CP235" s="139"/>
      <c r="CQ235" s="13"/>
      <c r="CR235" s="506"/>
      <c r="CS235" s="506"/>
      <c r="CT235" s="25"/>
      <c r="CU235" s="13"/>
      <c r="CV235" s="506"/>
      <c r="CW235" s="13"/>
      <c r="CX235" s="506"/>
      <c r="CY235" s="13"/>
      <c r="CZ235" s="13"/>
      <c r="DA235" s="13"/>
      <c r="DB235" s="13"/>
      <c r="DC235" s="13"/>
      <c r="DD235" s="506"/>
      <c r="DE235" s="506"/>
      <c r="DF235" s="13"/>
      <c r="DG235" s="13"/>
      <c r="DH235" s="506"/>
      <c r="DI235" s="506"/>
      <c r="DJ235" s="506"/>
      <c r="DK235" s="13"/>
      <c r="DL235" s="506"/>
      <c r="DM235" s="13"/>
      <c r="DN235" s="13"/>
      <c r="DO235" s="13"/>
      <c r="DP235" s="13"/>
      <c r="DQ235" s="176"/>
      <c r="DR235" s="13"/>
      <c r="DS235" s="506"/>
      <c r="DT235" s="506"/>
      <c r="DU235" s="25"/>
      <c r="DV235" s="506"/>
      <c r="DW235" s="506"/>
      <c r="DX235" s="13"/>
      <c r="DY235" s="506"/>
      <c r="DZ235" s="506"/>
      <c r="EA235" s="13"/>
      <c r="EB235" s="506"/>
      <c r="EC235" s="506"/>
      <c r="ED235" s="13"/>
      <c r="EE235" s="506"/>
      <c r="EF235" s="506"/>
      <c r="EG235" s="13"/>
      <c r="EH235" s="506"/>
      <c r="EI235" s="506"/>
      <c r="EJ235" s="13"/>
      <c r="EK235" s="506"/>
      <c r="EL235" s="506"/>
      <c r="EM235" s="13"/>
      <c r="EN235" s="506"/>
      <c r="EO235" s="506"/>
      <c r="EP235" s="506"/>
      <c r="EQ235" s="13"/>
      <c r="ER235" s="13"/>
      <c r="ES235" s="13"/>
      <c r="ET235" s="138"/>
      <c r="EU235" s="13"/>
      <c r="EV235" s="13"/>
      <c r="EW235" s="13"/>
      <c r="EX235" s="13"/>
      <c r="EY235" s="13"/>
      <c r="EZ235" s="13"/>
      <c r="FA235" s="13"/>
      <c r="FB235" s="307"/>
      <c r="FC235" s="13"/>
      <c r="FD235" s="13"/>
      <c r="FE235" s="13"/>
      <c r="FF235" s="13"/>
      <c r="FG235" s="526"/>
      <c r="FH235" s="526"/>
      <c r="FI235" s="526"/>
      <c r="FJ235" s="526"/>
      <c r="FK235" s="526"/>
      <c r="FL235" s="526"/>
      <c r="FN235" s="522"/>
      <c r="FO235" s="762"/>
      <c r="FQ235" s="13"/>
      <c r="FR235" s="13"/>
      <c r="FS235" s="13"/>
      <c r="FT235" s="13"/>
      <c r="FU235" s="13"/>
      <c r="FV235" s="13"/>
      <c r="FW235" s="13"/>
      <c r="FX235" s="13"/>
      <c r="FY235" s="13"/>
      <c r="FZ235" s="13"/>
      <c r="GA235" s="13"/>
      <c r="GB235" s="13"/>
      <c r="GC235" s="13"/>
      <c r="GD235" s="13"/>
      <c r="GE235" s="13"/>
      <c r="GF235" s="13"/>
      <c r="GG235" s="13"/>
      <c r="GH235" s="13"/>
      <c r="GI235" s="13"/>
      <c r="GJ235" s="13"/>
      <c r="GK235" s="13"/>
      <c r="GL235" s="551"/>
      <c r="GM235" s="551"/>
      <c r="GN235" s="25"/>
      <c r="GO235" s="13"/>
      <c r="GP235" s="25"/>
      <c r="GQ235" s="13"/>
      <c r="GR235" s="13"/>
      <c r="GS235" s="13"/>
      <c r="GT235" s="13"/>
      <c r="GU235" s="13"/>
      <c r="GV235" s="13"/>
      <c r="GW235" s="13"/>
      <c r="GX235" s="13"/>
      <c r="GY235" s="571"/>
      <c r="GZ235" s="13"/>
      <c r="HA235" s="13"/>
      <c r="HB235" s="13"/>
      <c r="HC235" s="13"/>
      <c r="HD235" s="13"/>
      <c r="HE235" s="13"/>
      <c r="HF235" s="13"/>
      <c r="HG235" s="13"/>
      <c r="HH235" s="13"/>
      <c r="HI235" s="13"/>
      <c r="HJ235" s="13"/>
      <c r="HK235" s="13"/>
      <c r="HL235" s="13"/>
      <c r="HM235" s="13"/>
      <c r="HN235" s="13"/>
      <c r="HO235" s="13"/>
      <c r="HP235" s="13"/>
      <c r="HQ235" s="13"/>
      <c r="HR235" s="25"/>
      <c r="HS235" s="13"/>
      <c r="HT235" s="13"/>
      <c r="HU235" s="13"/>
      <c r="HV235" s="13"/>
      <c r="HW235" s="13"/>
      <c r="HX235" s="13"/>
      <c r="HY235" s="13"/>
      <c r="HZ235" s="13"/>
      <c r="IA235" s="13"/>
      <c r="IB235" s="13"/>
      <c r="IC235" s="13"/>
      <c r="ID235" s="13"/>
      <c r="IE235" s="13"/>
      <c r="IF235" s="13"/>
    </row>
    <row r="236" spans="1:240" s="31" customFormat="1" ht="15.75" thickBot="1">
      <c r="A236" s="713"/>
      <c r="B236" s="713"/>
      <c r="C236" s="25">
        <v>2011</v>
      </c>
      <c r="D236" s="25">
        <v>2012</v>
      </c>
      <c r="E236" s="25">
        <v>2013</v>
      </c>
      <c r="F236" s="25">
        <v>2014</v>
      </c>
      <c r="G236" s="25">
        <v>2015</v>
      </c>
      <c r="H236" s="13"/>
      <c r="I236" s="13"/>
      <c r="J236" s="13"/>
      <c r="K236" s="13"/>
      <c r="L236" s="233"/>
      <c r="M236" s="153"/>
      <c r="N236" s="153"/>
      <c r="O236" s="15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  <c r="AJ236" s="13"/>
      <c r="AK236" s="657"/>
      <c r="AL236" s="138"/>
      <c r="AM236" s="880"/>
      <c r="AN236" s="13"/>
      <c r="AO236" s="13"/>
      <c r="AP236" s="13"/>
      <c r="AQ236" s="13"/>
      <c r="AR236" s="13"/>
      <c r="AS236" s="13"/>
      <c r="AT236" s="13"/>
      <c r="AU236" s="13"/>
      <c r="AV236" s="13"/>
      <c r="AW236" s="13"/>
      <c r="AX236" s="110"/>
      <c r="AY236" s="24"/>
      <c r="AZ236" s="13"/>
      <c r="BA236" s="13"/>
      <c r="BB236" s="13"/>
      <c r="BC236" s="13"/>
      <c r="BD236" s="13"/>
      <c r="BE236" s="13"/>
      <c r="BF236" s="13"/>
      <c r="BG236" s="13"/>
      <c r="BH236" s="13"/>
      <c r="BI236" s="138"/>
      <c r="BJ236" s="138"/>
      <c r="BK236" s="138"/>
      <c r="BL236" s="138"/>
      <c r="BM236" s="138"/>
      <c r="BN236" s="138"/>
      <c r="BO236" s="961"/>
      <c r="BP236" s="138"/>
      <c r="BQ236" s="138"/>
      <c r="BR236" s="138"/>
      <c r="BS236" s="138"/>
      <c r="BT236" s="138"/>
      <c r="BU236" s="138"/>
      <c r="BV236" s="138"/>
      <c r="BW236" s="138"/>
      <c r="BX236" s="138"/>
      <c r="BY236" s="138"/>
      <c r="BZ236" s="138"/>
      <c r="CA236" s="138"/>
      <c r="CB236" s="138"/>
      <c r="CC236" s="138"/>
      <c r="CD236" s="138"/>
      <c r="CE236" s="138"/>
      <c r="CF236" s="138"/>
      <c r="CG236" s="138"/>
      <c r="CH236" s="138"/>
      <c r="CI236" s="138"/>
      <c r="CJ236" s="138"/>
      <c r="CK236" s="138"/>
      <c r="CL236" s="139"/>
      <c r="CM236" s="139"/>
      <c r="CN236" s="139"/>
      <c r="CO236" s="139"/>
      <c r="CP236" s="139"/>
      <c r="CQ236" s="13"/>
      <c r="CR236" s="506"/>
      <c r="CS236" s="506"/>
      <c r="CT236" s="25"/>
      <c r="CU236" s="13"/>
      <c r="CV236" s="506"/>
      <c r="CW236" s="13"/>
      <c r="CX236" s="506"/>
      <c r="CY236" s="13"/>
      <c r="CZ236" s="13"/>
      <c r="DA236" s="13"/>
      <c r="DB236" s="13"/>
      <c r="DC236" s="13"/>
      <c r="DD236" s="506"/>
      <c r="DE236" s="506"/>
      <c r="DF236" s="13"/>
      <c r="DG236" s="13"/>
      <c r="DH236" s="506"/>
      <c r="DI236" s="506"/>
      <c r="DJ236" s="506"/>
      <c r="DK236" s="13"/>
      <c r="DL236" s="506"/>
      <c r="DM236" s="13"/>
      <c r="DN236" s="13"/>
      <c r="DO236" s="13"/>
      <c r="DP236" s="13"/>
      <c r="DQ236" s="176"/>
      <c r="DR236" s="13"/>
      <c r="DS236" s="506"/>
      <c r="DT236" s="506"/>
      <c r="DU236" s="25"/>
      <c r="DV236" s="506"/>
      <c r="DW236" s="506"/>
      <c r="DX236" s="13"/>
      <c r="DY236" s="506"/>
      <c r="DZ236" s="506"/>
      <c r="EA236" s="13"/>
      <c r="EB236" s="506"/>
      <c r="EC236" s="506"/>
      <c r="ED236" s="13"/>
      <c r="EE236" s="506"/>
      <c r="EF236" s="506"/>
      <c r="EG236" s="13"/>
      <c r="EH236" s="506"/>
      <c r="EI236" s="506"/>
      <c r="EJ236" s="13"/>
      <c r="EK236" s="506"/>
      <c r="EL236" s="506"/>
      <c r="EM236" s="13"/>
      <c r="EN236" s="506"/>
      <c r="EO236" s="506"/>
      <c r="EP236" s="506"/>
      <c r="EQ236" s="13"/>
      <c r="ER236" s="13"/>
      <c r="ES236" s="13"/>
      <c r="ET236" s="138"/>
      <c r="EU236" s="13"/>
      <c r="EV236" s="13"/>
      <c r="EW236" s="13"/>
      <c r="EX236" s="13"/>
      <c r="EY236" s="13"/>
      <c r="EZ236" s="13"/>
      <c r="FA236" s="13"/>
      <c r="FB236" s="307"/>
      <c r="FC236" s="13"/>
      <c r="FD236" s="13"/>
      <c r="FE236" s="13"/>
      <c r="FF236" s="13"/>
      <c r="FG236" s="526"/>
      <c r="FH236" s="526"/>
      <c r="FI236" s="526"/>
      <c r="FJ236" s="526"/>
      <c r="FK236" s="526"/>
      <c r="FL236" s="526"/>
      <c r="FN236" s="522"/>
      <c r="FO236" s="762"/>
      <c r="FQ236" s="13"/>
      <c r="FR236" s="13"/>
      <c r="FS236" s="13"/>
      <c r="FT236" s="13"/>
      <c r="FU236" s="13"/>
      <c r="FV236" s="13"/>
      <c r="FW236" s="13"/>
      <c r="FX236" s="13"/>
      <c r="FY236" s="13"/>
      <c r="FZ236" s="13"/>
      <c r="GA236" s="13"/>
      <c r="GB236" s="13"/>
      <c r="GC236" s="13"/>
      <c r="GD236" s="13"/>
      <c r="GE236" s="13"/>
      <c r="GF236" s="13"/>
      <c r="GG236" s="13"/>
      <c r="GH236" s="13"/>
      <c r="GI236" s="13"/>
      <c r="GJ236" s="13"/>
      <c r="GK236" s="13"/>
      <c r="GL236" s="551"/>
      <c r="GM236" s="551"/>
      <c r="GN236" s="25"/>
      <c r="GO236" s="13"/>
      <c r="GP236" s="25"/>
      <c r="GQ236" s="13"/>
      <c r="GR236" s="13"/>
      <c r="GS236" s="13"/>
      <c r="GT236" s="13"/>
      <c r="GU236" s="13"/>
      <c r="GV236" s="13"/>
      <c r="GW236" s="13"/>
      <c r="GX236" s="13"/>
      <c r="GY236" s="571"/>
      <c r="GZ236" s="13"/>
      <c r="HA236" s="13"/>
      <c r="HB236" s="13"/>
      <c r="HC236" s="13"/>
      <c r="HD236" s="13"/>
      <c r="HE236" s="13"/>
      <c r="HF236" s="13"/>
      <c r="HG236" s="13"/>
      <c r="HH236" s="13"/>
      <c r="HI236" s="13"/>
      <c r="HJ236" s="13"/>
      <c r="HK236" s="13"/>
      <c r="HL236" s="13"/>
      <c r="HM236" s="13"/>
      <c r="HN236" s="13"/>
      <c r="HO236" s="13"/>
      <c r="HP236" s="13"/>
      <c r="HQ236" s="13"/>
      <c r="HR236" s="25"/>
      <c r="HS236" s="13"/>
      <c r="HT236" s="13"/>
      <c r="HU236" s="13"/>
      <c r="HV236" s="13"/>
      <c r="HW236" s="13"/>
      <c r="HX236" s="13"/>
      <c r="HY236" s="13"/>
      <c r="HZ236" s="13"/>
      <c r="IA236" s="13"/>
      <c r="IB236" s="13"/>
      <c r="IC236" s="13"/>
      <c r="ID236" s="13"/>
      <c r="IE236" s="13"/>
      <c r="IF236" s="13"/>
    </row>
    <row r="237" spans="1:240" s="31" customFormat="1">
      <c r="A237" s="716" t="s">
        <v>50</v>
      </c>
      <c r="B237" s="716"/>
      <c r="C237" s="120" t="e">
        <f t="shared" ref="C237:C242" si="439">SUMPRODUCT((Notaire=A237)*(Prog=$C$236))</f>
        <v>#REF!</v>
      </c>
      <c r="D237" s="120" t="e">
        <f t="shared" ref="D237:D242" si="440">SUMPRODUCT((Notaire=A237)*(Prog=$D$236))</f>
        <v>#REF!</v>
      </c>
      <c r="E237" s="120" t="e">
        <f t="shared" ref="E237:E242" si="441">SUMPRODUCT((Notaire=A237)*(Prog=$E$236))</f>
        <v>#REF!</v>
      </c>
      <c r="F237" s="120" t="e">
        <f t="shared" ref="F237:F242" si="442">SUMPRODUCT((Notaire=A237)*(Prog=$F$236))</f>
        <v>#REF!</v>
      </c>
      <c r="G237" s="120" t="e">
        <f t="shared" ref="G237:G242" si="443">SUMPRODUCT((Notaire=A237)*(Prog=$G$236))</f>
        <v>#REF!</v>
      </c>
      <c r="H237" s="13"/>
      <c r="I237" s="13"/>
      <c r="J237" s="13"/>
      <c r="K237" s="13"/>
      <c r="L237" s="233"/>
      <c r="M237" s="153"/>
      <c r="N237" s="153"/>
      <c r="O237" s="15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  <c r="AJ237" s="13"/>
      <c r="AK237" s="657"/>
      <c r="AL237" s="138"/>
      <c r="AM237" s="880"/>
      <c r="AN237" s="13"/>
      <c r="AO237" s="13"/>
      <c r="AP237" s="13"/>
      <c r="AQ237" s="13"/>
      <c r="AR237" s="13"/>
      <c r="AS237" s="13"/>
      <c r="AT237" s="13"/>
      <c r="AU237" s="13"/>
      <c r="AV237" s="13"/>
      <c r="AW237" s="13"/>
      <c r="AX237" s="110"/>
      <c r="AY237" s="24"/>
      <c r="AZ237" s="13"/>
      <c r="BA237" s="13"/>
      <c r="BB237" s="13"/>
      <c r="BC237" s="13"/>
      <c r="BD237" s="13"/>
      <c r="BE237" s="13"/>
      <c r="BF237" s="13"/>
      <c r="BG237" s="13"/>
      <c r="BH237" s="13"/>
      <c r="BI237" s="138"/>
      <c r="BJ237" s="138"/>
      <c r="BK237" s="138"/>
      <c r="BL237" s="138"/>
      <c r="BM237" s="138"/>
      <c r="BN237" s="138"/>
      <c r="BO237" s="961"/>
      <c r="BP237" s="138"/>
      <c r="BQ237" s="138"/>
      <c r="BR237" s="138"/>
      <c r="BS237" s="138"/>
      <c r="BT237" s="138"/>
      <c r="BU237" s="138"/>
      <c r="BV237" s="138"/>
      <c r="BW237" s="138"/>
      <c r="BX237" s="138"/>
      <c r="BY237" s="138"/>
      <c r="BZ237" s="138"/>
      <c r="CA237" s="138"/>
      <c r="CB237" s="138"/>
      <c r="CC237" s="138"/>
      <c r="CD237" s="138"/>
      <c r="CE237" s="138"/>
      <c r="CF237" s="138"/>
      <c r="CG237" s="138"/>
      <c r="CH237" s="138"/>
      <c r="CI237" s="138"/>
      <c r="CJ237" s="138"/>
      <c r="CK237" s="138"/>
      <c r="CL237" s="139"/>
      <c r="CM237" s="139"/>
      <c r="CN237" s="139"/>
      <c r="CO237" s="139"/>
      <c r="CP237" s="139"/>
      <c r="CQ237" s="13"/>
      <c r="CR237" s="506"/>
      <c r="CS237" s="506"/>
      <c r="CT237" s="25"/>
      <c r="CU237" s="13"/>
      <c r="CV237" s="506"/>
      <c r="CW237" s="13"/>
      <c r="CX237" s="506"/>
      <c r="CY237" s="13"/>
      <c r="CZ237" s="13"/>
      <c r="DA237" s="13"/>
      <c r="DB237" s="13"/>
      <c r="DC237" s="13"/>
      <c r="DD237" s="506"/>
      <c r="DE237" s="506"/>
      <c r="DF237" s="13"/>
      <c r="DG237" s="13"/>
      <c r="DH237" s="506"/>
      <c r="DI237" s="506"/>
      <c r="DJ237" s="506"/>
      <c r="DK237" s="13"/>
      <c r="DL237" s="506"/>
      <c r="DM237" s="13"/>
      <c r="DN237" s="13"/>
      <c r="DO237" s="13"/>
      <c r="DP237" s="13"/>
      <c r="DQ237" s="176"/>
      <c r="DR237" s="13"/>
      <c r="DS237" s="506"/>
      <c r="DT237" s="506"/>
      <c r="DU237" s="25"/>
      <c r="DV237" s="506"/>
      <c r="DW237" s="506"/>
      <c r="DX237" s="13"/>
      <c r="DY237" s="506"/>
      <c r="DZ237" s="506"/>
      <c r="EA237" s="13"/>
      <c r="EB237" s="506"/>
      <c r="EC237" s="506"/>
      <c r="ED237" s="13"/>
      <c r="EE237" s="506"/>
      <c r="EF237" s="506"/>
      <c r="EG237" s="13"/>
      <c r="EH237" s="506"/>
      <c r="EI237" s="506"/>
      <c r="EJ237" s="13"/>
      <c r="EK237" s="506"/>
      <c r="EL237" s="506"/>
      <c r="EM237" s="13"/>
      <c r="EN237" s="506"/>
      <c r="EO237" s="506"/>
      <c r="EP237" s="506"/>
      <c r="EQ237" s="13"/>
      <c r="ER237" s="13"/>
      <c r="ES237" s="13"/>
      <c r="ET237" s="138"/>
      <c r="EU237" s="13"/>
      <c r="EV237" s="13"/>
      <c r="EW237" s="13"/>
      <c r="EX237" s="13"/>
      <c r="EY237" s="13"/>
      <c r="EZ237" s="13"/>
      <c r="FA237" s="13"/>
      <c r="FB237" s="307"/>
      <c r="FC237" s="13"/>
      <c r="FD237" s="13"/>
      <c r="FE237" s="13"/>
      <c r="FF237" s="13"/>
      <c r="FG237" s="526"/>
      <c r="FH237" s="526"/>
      <c r="FI237" s="526"/>
      <c r="FJ237" s="526"/>
      <c r="FK237" s="526"/>
      <c r="FL237" s="526"/>
      <c r="FN237" s="522"/>
      <c r="FO237" s="762"/>
      <c r="FQ237" s="13"/>
      <c r="FR237" s="13"/>
      <c r="FS237" s="13"/>
      <c r="FT237" s="13"/>
      <c r="FU237" s="13"/>
      <c r="FV237" s="13"/>
      <c r="FW237" s="13"/>
      <c r="FX237" s="13"/>
      <c r="FY237" s="13"/>
      <c r="FZ237" s="13"/>
      <c r="GA237" s="13"/>
      <c r="GB237" s="13"/>
      <c r="GC237" s="13"/>
      <c r="GD237" s="13"/>
      <c r="GE237" s="13"/>
      <c r="GF237" s="13"/>
      <c r="GG237" s="13"/>
      <c r="GH237" s="13"/>
      <c r="GI237" s="13"/>
      <c r="GJ237" s="13"/>
      <c r="GK237" s="13"/>
      <c r="GL237" s="551"/>
      <c r="GM237" s="551"/>
      <c r="GN237" s="25"/>
      <c r="GO237" s="13"/>
      <c r="GP237" s="25"/>
      <c r="GQ237" s="13"/>
      <c r="GR237" s="13"/>
      <c r="GS237" s="13"/>
      <c r="GT237" s="13"/>
      <c r="GU237" s="13"/>
      <c r="GV237" s="13"/>
      <c r="GW237" s="13"/>
      <c r="GX237" s="13"/>
      <c r="GY237" s="571"/>
      <c r="GZ237" s="13"/>
      <c r="HA237" s="13"/>
      <c r="HB237" s="13"/>
      <c r="HC237" s="13"/>
      <c r="HD237" s="13"/>
      <c r="HE237" s="13"/>
      <c r="HF237" s="13"/>
      <c r="HG237" s="13"/>
      <c r="HH237" s="13"/>
      <c r="HI237" s="13"/>
      <c r="HJ237" s="13"/>
      <c r="HK237" s="13"/>
      <c r="HL237" s="13"/>
      <c r="HM237" s="13"/>
      <c r="HN237" s="13"/>
      <c r="HO237" s="13"/>
      <c r="HP237" s="13"/>
      <c r="HQ237" s="13"/>
      <c r="HR237" s="25"/>
      <c r="HS237" s="13"/>
      <c r="HT237" s="13"/>
      <c r="HU237" s="13"/>
      <c r="HV237" s="13"/>
      <c r="HW237" s="13"/>
      <c r="HX237" s="13"/>
      <c r="HY237" s="13"/>
      <c r="HZ237" s="13"/>
      <c r="IA237" s="13"/>
      <c r="IB237" s="13"/>
      <c r="IC237" s="13"/>
      <c r="ID237" s="13"/>
      <c r="IE237" s="13"/>
      <c r="IF237" s="13"/>
    </row>
    <row r="238" spans="1:240" s="31" customFormat="1">
      <c r="A238" s="717" t="s">
        <v>148</v>
      </c>
      <c r="B238" s="717"/>
      <c r="C238" s="121" t="e">
        <f t="shared" si="439"/>
        <v>#REF!</v>
      </c>
      <c r="D238" s="121" t="e">
        <f t="shared" si="440"/>
        <v>#REF!</v>
      </c>
      <c r="E238" s="121" t="e">
        <f t="shared" si="441"/>
        <v>#REF!</v>
      </c>
      <c r="F238" s="121" t="e">
        <f t="shared" si="442"/>
        <v>#REF!</v>
      </c>
      <c r="G238" s="121" t="e">
        <f t="shared" si="443"/>
        <v>#REF!</v>
      </c>
      <c r="H238" s="13"/>
      <c r="I238" s="13"/>
      <c r="J238" s="13"/>
      <c r="K238" s="13"/>
      <c r="L238" s="233"/>
      <c r="M238" s="153"/>
      <c r="N238" s="153"/>
      <c r="O238" s="15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  <c r="AJ238" s="13"/>
      <c r="AK238" s="657"/>
      <c r="AL238" s="138"/>
      <c r="AM238" s="880"/>
      <c r="AN238" s="13"/>
      <c r="AO238" s="13"/>
      <c r="AP238" s="13"/>
      <c r="AQ238" s="13"/>
      <c r="AR238" s="13"/>
      <c r="AS238" s="13"/>
      <c r="AT238" s="13"/>
      <c r="AU238" s="13"/>
      <c r="AV238" s="13"/>
      <c r="AW238" s="13"/>
      <c r="AX238" s="110"/>
      <c r="AY238" s="24"/>
      <c r="AZ238" s="13"/>
      <c r="BA238" s="13"/>
      <c r="BB238" s="13"/>
      <c r="BC238" s="13"/>
      <c r="BD238" s="13"/>
      <c r="BE238" s="13"/>
      <c r="BF238" s="13"/>
      <c r="BG238" s="13"/>
      <c r="BH238" s="13"/>
      <c r="BI238" s="138"/>
      <c r="BJ238" s="138"/>
      <c r="BK238" s="138"/>
      <c r="BL238" s="138"/>
      <c r="BM238" s="138"/>
      <c r="BN238" s="138"/>
      <c r="BO238" s="961"/>
      <c r="BP238" s="138"/>
      <c r="BQ238" s="138"/>
      <c r="BR238" s="138"/>
      <c r="BS238" s="138"/>
      <c r="BT238" s="138"/>
      <c r="BU238" s="138"/>
      <c r="BV238" s="138"/>
      <c r="BW238" s="138"/>
      <c r="BX238" s="138"/>
      <c r="BY238" s="138"/>
      <c r="BZ238" s="138"/>
      <c r="CA238" s="138"/>
      <c r="CB238" s="138"/>
      <c r="CC238" s="138"/>
      <c r="CD238" s="138"/>
      <c r="CE238" s="138"/>
      <c r="CF238" s="138"/>
      <c r="CG238" s="138"/>
      <c r="CH238" s="138"/>
      <c r="CI238" s="138"/>
      <c r="CJ238" s="138"/>
      <c r="CK238" s="138"/>
      <c r="CL238" s="139"/>
      <c r="CM238" s="139"/>
      <c r="CN238" s="139"/>
      <c r="CO238" s="139"/>
      <c r="CP238" s="139"/>
      <c r="CQ238" s="13"/>
      <c r="CR238" s="506"/>
      <c r="CS238" s="506"/>
      <c r="CT238" s="25"/>
      <c r="CU238" s="13"/>
      <c r="CV238" s="506"/>
      <c r="CW238" s="13"/>
      <c r="CX238" s="506"/>
      <c r="CY238" s="13"/>
      <c r="CZ238" s="13"/>
      <c r="DA238" s="13"/>
      <c r="DB238" s="13"/>
      <c r="DC238" s="13"/>
      <c r="DD238" s="506"/>
      <c r="DE238" s="506"/>
      <c r="DF238" s="13"/>
      <c r="DG238" s="13"/>
      <c r="DH238" s="506"/>
      <c r="DI238" s="506"/>
      <c r="DJ238" s="506"/>
      <c r="DK238" s="13"/>
      <c r="DL238" s="506"/>
      <c r="DM238" s="13"/>
      <c r="DN238" s="13"/>
      <c r="DO238" s="13"/>
      <c r="DP238" s="13"/>
      <c r="DQ238" s="176"/>
      <c r="DR238" s="13"/>
      <c r="DS238" s="506"/>
      <c r="DT238" s="506"/>
      <c r="DU238" s="25"/>
      <c r="DV238" s="506"/>
      <c r="DW238" s="506"/>
      <c r="DX238" s="13"/>
      <c r="DY238" s="506"/>
      <c r="DZ238" s="506"/>
      <c r="EA238" s="13"/>
      <c r="EB238" s="506"/>
      <c r="EC238" s="506"/>
      <c r="ED238" s="13"/>
      <c r="EE238" s="506"/>
      <c r="EF238" s="506"/>
      <c r="EG238" s="13"/>
      <c r="EH238" s="506"/>
      <c r="EI238" s="506"/>
      <c r="EJ238" s="13"/>
      <c r="EK238" s="506"/>
      <c r="EL238" s="506"/>
      <c r="EM238" s="13"/>
      <c r="EN238" s="506"/>
      <c r="EO238" s="506"/>
      <c r="EP238" s="506"/>
      <c r="EQ238" s="13"/>
      <c r="ER238" s="13"/>
      <c r="ES238" s="13"/>
      <c r="ET238" s="138"/>
      <c r="EU238" s="13"/>
      <c r="EV238" s="13"/>
      <c r="EW238" s="13"/>
      <c r="EX238" s="13"/>
      <c r="EY238" s="13"/>
      <c r="EZ238" s="13"/>
      <c r="FA238" s="13"/>
      <c r="FB238" s="307"/>
      <c r="FC238" s="13"/>
      <c r="FD238" s="13"/>
      <c r="FE238" s="13"/>
      <c r="FF238" s="13"/>
      <c r="FG238" s="526"/>
      <c r="FH238" s="526"/>
      <c r="FI238" s="526"/>
      <c r="FJ238" s="526"/>
      <c r="FK238" s="526"/>
      <c r="FL238" s="526"/>
      <c r="FN238" s="522"/>
      <c r="FO238" s="762"/>
      <c r="FQ238" s="13"/>
      <c r="FR238" s="13"/>
      <c r="FS238" s="13"/>
      <c r="FT238" s="13"/>
      <c r="FU238" s="13"/>
      <c r="FV238" s="13"/>
      <c r="FW238" s="13"/>
      <c r="FX238" s="13"/>
      <c r="FY238" s="13"/>
      <c r="FZ238" s="13"/>
      <c r="GA238" s="13"/>
      <c r="GB238" s="13"/>
      <c r="GC238" s="13"/>
      <c r="GD238" s="13"/>
      <c r="GE238" s="13"/>
      <c r="GF238" s="13"/>
      <c r="GG238" s="13"/>
      <c r="GH238" s="13"/>
      <c r="GI238" s="13"/>
      <c r="GJ238" s="13"/>
      <c r="GK238" s="13"/>
      <c r="GL238" s="551"/>
      <c r="GM238" s="551"/>
      <c r="GN238" s="25"/>
      <c r="GO238" s="13"/>
      <c r="GP238" s="25"/>
      <c r="GQ238" s="13"/>
      <c r="GR238" s="13"/>
      <c r="GS238" s="13"/>
      <c r="GT238" s="13"/>
      <c r="GU238" s="13"/>
      <c r="GV238" s="13"/>
      <c r="GW238" s="13"/>
      <c r="GX238" s="13"/>
      <c r="GY238" s="571"/>
      <c r="GZ238" s="13"/>
      <c r="HA238" s="13"/>
      <c r="HB238" s="13"/>
      <c r="HC238" s="13"/>
      <c r="HD238" s="13"/>
      <c r="HE238" s="13"/>
      <c r="HF238" s="13"/>
      <c r="HG238" s="13"/>
      <c r="HH238" s="13"/>
      <c r="HI238" s="13"/>
      <c r="HJ238" s="13"/>
      <c r="HK238" s="13"/>
      <c r="HL238" s="13"/>
      <c r="HM238" s="13"/>
      <c r="HN238" s="13"/>
      <c r="HO238" s="13"/>
      <c r="HP238" s="13"/>
      <c r="HQ238" s="13"/>
      <c r="HR238" s="25"/>
      <c r="HS238" s="13"/>
      <c r="HT238" s="13"/>
      <c r="HU238" s="13"/>
      <c r="HV238" s="13"/>
      <c r="HW238" s="13"/>
      <c r="HX238" s="13"/>
      <c r="HY238" s="13"/>
      <c r="HZ238" s="13"/>
      <c r="IA238" s="13"/>
      <c r="IB238" s="13"/>
      <c r="IC238" s="13"/>
      <c r="ID238" s="13"/>
      <c r="IE238" s="13"/>
      <c r="IF238" s="13"/>
    </row>
    <row r="239" spans="1:240" s="31" customFormat="1">
      <c r="A239" s="717" t="s">
        <v>118</v>
      </c>
      <c r="B239" s="717"/>
      <c r="C239" s="121" t="e">
        <f t="shared" si="439"/>
        <v>#REF!</v>
      </c>
      <c r="D239" s="121" t="e">
        <f t="shared" si="440"/>
        <v>#REF!</v>
      </c>
      <c r="E239" s="121" t="e">
        <f t="shared" si="441"/>
        <v>#REF!</v>
      </c>
      <c r="F239" s="121" t="e">
        <f t="shared" si="442"/>
        <v>#REF!</v>
      </c>
      <c r="G239" s="121" t="e">
        <f t="shared" si="443"/>
        <v>#REF!</v>
      </c>
      <c r="H239" s="13"/>
      <c r="I239" s="13"/>
      <c r="J239" s="13"/>
      <c r="K239" s="13"/>
      <c r="L239" s="233"/>
      <c r="M239" s="153"/>
      <c r="N239" s="153"/>
      <c r="O239" s="15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  <c r="AJ239" s="13"/>
      <c r="AK239" s="657"/>
      <c r="AL239" s="138"/>
      <c r="AM239" s="880"/>
      <c r="AN239" s="13"/>
      <c r="AO239" s="13"/>
      <c r="AP239" s="13"/>
      <c r="AQ239" s="13"/>
      <c r="AR239" s="13"/>
      <c r="AS239" s="13"/>
      <c r="AT239" s="13"/>
      <c r="AU239" s="13"/>
      <c r="AV239" s="13"/>
      <c r="AW239" s="13"/>
      <c r="AX239" s="110"/>
      <c r="AY239" s="24"/>
      <c r="AZ239" s="13"/>
      <c r="BA239" s="13"/>
      <c r="BB239" s="13"/>
      <c r="BC239" s="13"/>
      <c r="BD239" s="13"/>
      <c r="BE239" s="13"/>
      <c r="BF239" s="13"/>
      <c r="BG239" s="13"/>
      <c r="BH239" s="13"/>
      <c r="BI239" s="138"/>
      <c r="BJ239" s="138"/>
      <c r="BK239" s="138"/>
      <c r="BL239" s="138"/>
      <c r="BM239" s="138"/>
      <c r="BN239" s="138"/>
      <c r="BO239" s="961"/>
      <c r="BP239" s="138"/>
      <c r="BQ239" s="138"/>
      <c r="BR239" s="138"/>
      <c r="BS239" s="138"/>
      <c r="BT239" s="138"/>
      <c r="BU239" s="138"/>
      <c r="BV239" s="138"/>
      <c r="BW239" s="138"/>
      <c r="BX239" s="138"/>
      <c r="BY239" s="138"/>
      <c r="BZ239" s="138"/>
      <c r="CA239" s="138"/>
      <c r="CB239" s="138"/>
      <c r="CC239" s="138"/>
      <c r="CD239" s="138"/>
      <c r="CE239" s="138"/>
      <c r="CF239" s="138"/>
      <c r="CG239" s="138"/>
      <c r="CH239" s="138"/>
      <c r="CI239" s="138"/>
      <c r="CJ239" s="138"/>
      <c r="CK239" s="138"/>
      <c r="CL239" s="139"/>
      <c r="CM239" s="139"/>
      <c r="CN239" s="139"/>
      <c r="CO239" s="139"/>
      <c r="CP239" s="139"/>
      <c r="CQ239" s="13"/>
      <c r="CR239" s="506"/>
      <c r="CS239" s="506"/>
      <c r="CT239" s="25"/>
      <c r="CU239" s="13"/>
      <c r="CV239" s="506"/>
      <c r="CW239" s="13"/>
      <c r="CX239" s="506"/>
      <c r="CY239" s="13"/>
      <c r="CZ239" s="13"/>
      <c r="DA239" s="13"/>
      <c r="DB239" s="13"/>
      <c r="DC239" s="13"/>
      <c r="DD239" s="506"/>
      <c r="DE239" s="506"/>
      <c r="DF239" s="13"/>
      <c r="DG239" s="13"/>
      <c r="DH239" s="506"/>
      <c r="DI239" s="506"/>
      <c r="DJ239" s="506"/>
      <c r="DK239" s="13"/>
      <c r="DL239" s="506"/>
      <c r="DM239" s="13"/>
      <c r="DN239" s="13"/>
      <c r="DO239" s="13"/>
      <c r="DP239" s="13"/>
      <c r="DQ239" s="176"/>
      <c r="DR239" s="13"/>
      <c r="DS239" s="506"/>
      <c r="DT239" s="506"/>
      <c r="DU239" s="25"/>
      <c r="DV239" s="506"/>
      <c r="DW239" s="506"/>
      <c r="DX239" s="13"/>
      <c r="DY239" s="506"/>
      <c r="DZ239" s="506"/>
      <c r="EA239" s="13"/>
      <c r="EB239" s="506"/>
      <c r="EC239" s="506"/>
      <c r="ED239" s="13"/>
      <c r="EE239" s="506"/>
      <c r="EF239" s="506"/>
      <c r="EG239" s="13"/>
      <c r="EH239" s="506"/>
      <c r="EI239" s="506"/>
      <c r="EJ239" s="13"/>
      <c r="EK239" s="506"/>
      <c r="EL239" s="506"/>
      <c r="EM239" s="13"/>
      <c r="EN239" s="506"/>
      <c r="EO239" s="506"/>
      <c r="EP239" s="506"/>
      <c r="EQ239" s="13"/>
      <c r="ER239" s="13"/>
      <c r="ES239" s="13"/>
      <c r="ET239" s="138"/>
      <c r="EU239" s="13"/>
      <c r="EV239" s="13"/>
      <c r="EW239" s="13"/>
      <c r="EX239" s="13"/>
      <c r="EY239" s="13"/>
      <c r="EZ239" s="13"/>
      <c r="FA239" s="13"/>
      <c r="FB239" s="307"/>
      <c r="FC239" s="13"/>
      <c r="FD239" s="13"/>
      <c r="FE239" s="13"/>
      <c r="FF239" s="13"/>
      <c r="FG239" s="526"/>
      <c r="FH239" s="526"/>
      <c r="FI239" s="526"/>
      <c r="FJ239" s="526"/>
      <c r="FK239" s="526"/>
      <c r="FL239" s="526"/>
      <c r="FN239" s="522"/>
      <c r="FO239" s="762"/>
      <c r="FQ239" s="13"/>
      <c r="FR239" s="13"/>
      <c r="FS239" s="13"/>
      <c r="FT239" s="13"/>
      <c r="FU239" s="13"/>
      <c r="FV239" s="13"/>
      <c r="FW239" s="13"/>
      <c r="FX239" s="13"/>
      <c r="FY239" s="13"/>
      <c r="FZ239" s="13"/>
      <c r="GA239" s="13"/>
      <c r="GB239" s="13"/>
      <c r="GC239" s="13"/>
      <c r="GD239" s="13"/>
      <c r="GE239" s="13"/>
      <c r="GF239" s="13"/>
      <c r="GG239" s="13"/>
      <c r="GH239" s="13"/>
      <c r="GI239" s="13"/>
      <c r="GJ239" s="13"/>
      <c r="GK239" s="13"/>
      <c r="GL239" s="551"/>
      <c r="GM239" s="551"/>
      <c r="GN239" s="25"/>
      <c r="GO239" s="13"/>
      <c r="GP239" s="25"/>
      <c r="GQ239" s="13"/>
      <c r="GR239" s="13"/>
      <c r="GS239" s="13"/>
      <c r="GT239" s="13"/>
      <c r="GU239" s="13"/>
      <c r="GV239" s="13"/>
      <c r="GW239" s="13"/>
      <c r="GX239" s="13"/>
      <c r="GY239" s="571"/>
      <c r="GZ239" s="13"/>
      <c r="HA239" s="13"/>
      <c r="HB239" s="13"/>
      <c r="HC239" s="13"/>
      <c r="HD239" s="13"/>
      <c r="HE239" s="13"/>
      <c r="HF239" s="13"/>
      <c r="HG239" s="13"/>
      <c r="HH239" s="13"/>
      <c r="HI239" s="13"/>
      <c r="HJ239" s="13"/>
      <c r="HK239" s="13"/>
      <c r="HL239" s="13"/>
      <c r="HM239" s="13"/>
      <c r="HN239" s="13"/>
      <c r="HO239" s="13"/>
      <c r="HP239" s="13"/>
      <c r="HQ239" s="13"/>
      <c r="HR239" s="25"/>
      <c r="HS239" s="13"/>
      <c r="HT239" s="13"/>
      <c r="HU239" s="13"/>
      <c r="HV239" s="13"/>
      <c r="HW239" s="13"/>
      <c r="HX239" s="13"/>
      <c r="HY239" s="13"/>
      <c r="HZ239" s="13"/>
      <c r="IA239" s="13"/>
      <c r="IB239" s="13"/>
      <c r="IC239" s="13"/>
      <c r="ID239" s="13"/>
      <c r="IE239" s="13"/>
      <c r="IF239" s="13"/>
    </row>
    <row r="240" spans="1:240" s="31" customFormat="1">
      <c r="A240" s="717" t="s">
        <v>114</v>
      </c>
      <c r="B240" s="717"/>
      <c r="C240" s="121" t="e">
        <f t="shared" si="439"/>
        <v>#REF!</v>
      </c>
      <c r="D240" s="121" t="e">
        <f t="shared" si="440"/>
        <v>#REF!</v>
      </c>
      <c r="E240" s="121" t="e">
        <f t="shared" si="441"/>
        <v>#REF!</v>
      </c>
      <c r="F240" s="121" t="e">
        <f t="shared" si="442"/>
        <v>#REF!</v>
      </c>
      <c r="G240" s="121" t="e">
        <f t="shared" si="443"/>
        <v>#REF!</v>
      </c>
      <c r="H240" s="13"/>
      <c r="I240" s="13"/>
      <c r="J240" s="13"/>
      <c r="K240" s="13"/>
      <c r="L240" s="233"/>
      <c r="M240" s="153"/>
      <c r="N240" s="153"/>
      <c r="O240" s="15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  <c r="AJ240" s="13"/>
      <c r="AK240" s="657"/>
      <c r="AL240" s="138"/>
      <c r="AM240" s="880"/>
      <c r="AN240" s="13"/>
      <c r="AO240" s="13"/>
      <c r="AP240" s="13"/>
      <c r="AQ240" s="13"/>
      <c r="AR240" s="13"/>
      <c r="AS240" s="13"/>
      <c r="AT240" s="13"/>
      <c r="AU240" s="13"/>
      <c r="AV240" s="13"/>
      <c r="AW240" s="13"/>
      <c r="AX240" s="110"/>
      <c r="AY240" s="24"/>
      <c r="AZ240" s="13"/>
      <c r="BA240" s="13"/>
      <c r="BB240" s="13"/>
      <c r="BC240" s="13"/>
      <c r="BD240" s="13"/>
      <c r="BE240" s="13"/>
      <c r="BF240" s="13"/>
      <c r="BG240" s="13"/>
      <c r="BH240" s="13"/>
      <c r="BI240" s="138"/>
      <c r="BJ240" s="138"/>
      <c r="BK240" s="138"/>
      <c r="BL240" s="138"/>
      <c r="BM240" s="138"/>
      <c r="BN240" s="138"/>
      <c r="BO240" s="961"/>
      <c r="BP240" s="138"/>
      <c r="BQ240" s="138"/>
      <c r="BR240" s="138"/>
      <c r="BS240" s="138"/>
      <c r="BT240" s="138"/>
      <c r="BU240" s="138"/>
      <c r="BV240" s="138"/>
      <c r="BW240" s="138"/>
      <c r="BX240" s="138"/>
      <c r="BY240" s="138"/>
      <c r="BZ240" s="138"/>
      <c r="CA240" s="138"/>
      <c r="CB240" s="138"/>
      <c r="CC240" s="138"/>
      <c r="CD240" s="138"/>
      <c r="CE240" s="138"/>
      <c r="CF240" s="138"/>
      <c r="CG240" s="138"/>
      <c r="CH240" s="138"/>
      <c r="CI240" s="138"/>
      <c r="CJ240" s="138"/>
      <c r="CK240" s="138"/>
      <c r="CL240" s="139"/>
      <c r="CM240" s="139"/>
      <c r="CN240" s="139"/>
      <c r="CO240" s="139"/>
      <c r="CP240" s="139"/>
      <c r="CQ240" s="13"/>
      <c r="CR240" s="506"/>
      <c r="CS240" s="506"/>
      <c r="CT240" s="25"/>
      <c r="CU240" s="13"/>
      <c r="CV240" s="506"/>
      <c r="CW240" s="13"/>
      <c r="CX240" s="506"/>
      <c r="CY240" s="13"/>
      <c r="CZ240" s="13"/>
      <c r="DA240" s="13"/>
      <c r="DB240" s="13"/>
      <c r="DC240" s="13"/>
      <c r="DD240" s="506"/>
      <c r="DE240" s="506"/>
      <c r="DF240" s="13"/>
      <c r="DG240" s="13"/>
      <c r="DH240" s="506"/>
      <c r="DI240" s="506"/>
      <c r="DJ240" s="506"/>
      <c r="DK240" s="13"/>
      <c r="DL240" s="506"/>
      <c r="DM240" s="13"/>
      <c r="DN240" s="13"/>
      <c r="DO240" s="13"/>
      <c r="DP240" s="13"/>
      <c r="DQ240" s="176"/>
      <c r="DR240" s="13"/>
      <c r="DS240" s="506"/>
      <c r="DT240" s="506"/>
      <c r="DU240" s="25"/>
      <c r="DV240" s="506"/>
      <c r="DW240" s="506"/>
      <c r="DX240" s="13"/>
      <c r="DY240" s="506"/>
      <c r="DZ240" s="506"/>
      <c r="EA240" s="13"/>
      <c r="EB240" s="506"/>
      <c r="EC240" s="506"/>
      <c r="ED240" s="13"/>
      <c r="EE240" s="506"/>
      <c r="EF240" s="506"/>
      <c r="EG240" s="13"/>
      <c r="EH240" s="506"/>
      <c r="EI240" s="506"/>
      <c r="EJ240" s="13"/>
      <c r="EK240" s="506"/>
      <c r="EL240" s="506"/>
      <c r="EM240" s="13"/>
      <c r="EN240" s="506"/>
      <c r="EO240" s="506"/>
      <c r="EP240" s="506"/>
      <c r="EQ240" s="13"/>
      <c r="ER240" s="13"/>
      <c r="ES240" s="13"/>
      <c r="ET240" s="138"/>
      <c r="EU240" s="13"/>
      <c r="EV240" s="13"/>
      <c r="EW240" s="13"/>
      <c r="EX240" s="13"/>
      <c r="EY240" s="13"/>
      <c r="EZ240" s="13"/>
      <c r="FA240" s="13"/>
      <c r="FB240" s="307"/>
      <c r="FC240" s="13"/>
      <c r="FD240" s="13"/>
      <c r="FE240" s="13"/>
      <c r="FF240" s="13"/>
      <c r="FG240" s="526"/>
      <c r="FH240" s="526"/>
      <c r="FI240" s="526"/>
      <c r="FJ240" s="526"/>
      <c r="FK240" s="526"/>
      <c r="FL240" s="526"/>
      <c r="FN240" s="522"/>
      <c r="FO240" s="762"/>
      <c r="FQ240" s="13"/>
      <c r="FR240" s="13"/>
      <c r="FS240" s="13"/>
      <c r="FT240" s="13"/>
      <c r="FU240" s="13"/>
      <c r="FV240" s="13"/>
      <c r="FW240" s="13"/>
      <c r="FX240" s="13"/>
      <c r="FY240" s="13"/>
      <c r="FZ240" s="13"/>
      <c r="GA240" s="13"/>
      <c r="GB240" s="13"/>
      <c r="GC240" s="13"/>
      <c r="GD240" s="13"/>
      <c r="GE240" s="13"/>
      <c r="GF240" s="13"/>
      <c r="GG240" s="13"/>
      <c r="GH240" s="13"/>
      <c r="GI240" s="13"/>
      <c r="GJ240" s="13"/>
      <c r="GK240" s="13"/>
      <c r="GL240" s="551"/>
      <c r="GM240" s="551"/>
      <c r="GN240" s="25"/>
      <c r="GO240" s="13"/>
      <c r="GP240" s="25"/>
      <c r="GQ240" s="13"/>
      <c r="GR240" s="13"/>
      <c r="GS240" s="13"/>
      <c r="GT240" s="13"/>
      <c r="GU240" s="13"/>
      <c r="GV240" s="13"/>
      <c r="GW240" s="13"/>
      <c r="GX240" s="13"/>
      <c r="GY240" s="571"/>
      <c r="GZ240" s="13"/>
      <c r="HA240" s="13"/>
      <c r="HB240" s="13"/>
      <c r="HC240" s="13"/>
      <c r="HD240" s="13"/>
      <c r="HE240" s="13"/>
      <c r="HF240" s="13"/>
      <c r="HG240" s="13"/>
      <c r="HH240" s="13"/>
      <c r="HI240" s="13"/>
      <c r="HJ240" s="13"/>
      <c r="HK240" s="13"/>
      <c r="HL240" s="13"/>
      <c r="HM240" s="13"/>
      <c r="HN240" s="13"/>
      <c r="HO240" s="13"/>
      <c r="HP240" s="13"/>
      <c r="HQ240" s="13"/>
      <c r="HR240" s="25"/>
      <c r="HS240" s="13"/>
      <c r="HT240" s="13"/>
      <c r="HU240" s="13"/>
      <c r="HV240" s="13"/>
      <c r="HW240" s="13"/>
      <c r="HX240" s="13"/>
      <c r="HY240" s="13"/>
      <c r="HZ240" s="13"/>
      <c r="IA240" s="13"/>
      <c r="IB240" s="13"/>
      <c r="IC240" s="13"/>
      <c r="ID240" s="13"/>
      <c r="IE240" s="13"/>
      <c r="IF240" s="13"/>
    </row>
    <row r="241" spans="1:240" s="31" customFormat="1">
      <c r="A241" s="717" t="s">
        <v>54</v>
      </c>
      <c r="B241" s="717"/>
      <c r="C241" s="121" t="e">
        <f t="shared" si="439"/>
        <v>#REF!</v>
      </c>
      <c r="D241" s="121" t="e">
        <f t="shared" si="440"/>
        <v>#REF!</v>
      </c>
      <c r="E241" s="121" t="e">
        <f t="shared" si="441"/>
        <v>#REF!</v>
      </c>
      <c r="F241" s="121" t="e">
        <f t="shared" si="442"/>
        <v>#REF!</v>
      </c>
      <c r="G241" s="121" t="e">
        <f t="shared" si="443"/>
        <v>#REF!</v>
      </c>
      <c r="H241" s="13"/>
      <c r="I241" s="13"/>
      <c r="J241" s="13"/>
      <c r="K241" s="13"/>
      <c r="L241" s="233"/>
      <c r="M241" s="153"/>
      <c r="N241" s="153"/>
      <c r="O241" s="15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  <c r="AJ241" s="13"/>
      <c r="AK241" s="657"/>
      <c r="AL241" s="138"/>
      <c r="AM241" s="880"/>
      <c r="AN241" s="13"/>
      <c r="AO241" s="13"/>
      <c r="AP241" s="13"/>
      <c r="AQ241" s="13"/>
      <c r="AR241" s="13"/>
      <c r="AS241" s="13"/>
      <c r="AT241" s="13"/>
      <c r="AU241" s="13"/>
      <c r="AV241" s="13"/>
      <c r="AW241" s="13"/>
      <c r="AX241" s="110"/>
      <c r="AY241" s="24"/>
      <c r="AZ241" s="13"/>
      <c r="BA241" s="13"/>
      <c r="BB241" s="13"/>
      <c r="BC241" s="13"/>
      <c r="BD241" s="13"/>
      <c r="BE241" s="13"/>
      <c r="BF241" s="13"/>
      <c r="BG241" s="13"/>
      <c r="BH241" s="13"/>
      <c r="BI241" s="138"/>
      <c r="BJ241" s="138"/>
      <c r="BK241" s="138"/>
      <c r="BL241" s="138"/>
      <c r="BM241" s="138"/>
      <c r="BN241" s="138"/>
      <c r="BO241" s="961"/>
      <c r="BP241" s="138"/>
      <c r="BQ241" s="138"/>
      <c r="BR241" s="138"/>
      <c r="BS241" s="138"/>
      <c r="BT241" s="138"/>
      <c r="BU241" s="138"/>
      <c r="BV241" s="138"/>
      <c r="BW241" s="138"/>
      <c r="BX241" s="138"/>
      <c r="BY241" s="138"/>
      <c r="BZ241" s="138"/>
      <c r="CA241" s="138"/>
      <c r="CB241" s="138"/>
      <c r="CC241" s="138"/>
      <c r="CD241" s="138"/>
      <c r="CE241" s="138"/>
      <c r="CF241" s="138"/>
      <c r="CG241" s="138"/>
      <c r="CH241" s="138"/>
      <c r="CI241" s="138"/>
      <c r="CJ241" s="138"/>
      <c r="CK241" s="138"/>
      <c r="CL241" s="139"/>
      <c r="CM241" s="139"/>
      <c r="CN241" s="139"/>
      <c r="CO241" s="139"/>
      <c r="CP241" s="139"/>
      <c r="CQ241" s="13"/>
      <c r="CR241" s="506"/>
      <c r="CS241" s="506"/>
      <c r="CT241" s="25"/>
      <c r="CU241" s="13"/>
      <c r="CV241" s="506"/>
      <c r="CW241" s="13"/>
      <c r="CX241" s="506"/>
      <c r="CY241" s="13"/>
      <c r="CZ241" s="13"/>
      <c r="DA241" s="13"/>
      <c r="DB241" s="13"/>
      <c r="DC241" s="13"/>
      <c r="DD241" s="506"/>
      <c r="DE241" s="506"/>
      <c r="DF241" s="13"/>
      <c r="DG241" s="13"/>
      <c r="DH241" s="506"/>
      <c r="DI241" s="506"/>
      <c r="DJ241" s="506"/>
      <c r="DK241" s="13"/>
      <c r="DL241" s="506"/>
      <c r="DM241" s="13"/>
      <c r="DN241" s="13"/>
      <c r="DO241" s="13"/>
      <c r="DP241" s="13"/>
      <c r="DQ241" s="176"/>
      <c r="DR241" s="13"/>
      <c r="DS241" s="506"/>
      <c r="DT241" s="506"/>
      <c r="DU241" s="25"/>
      <c r="DV241" s="506"/>
      <c r="DW241" s="506"/>
      <c r="DX241" s="13"/>
      <c r="DY241" s="506"/>
      <c r="DZ241" s="506"/>
      <c r="EA241" s="13"/>
      <c r="EB241" s="506"/>
      <c r="EC241" s="506"/>
      <c r="ED241" s="13"/>
      <c r="EE241" s="506"/>
      <c r="EF241" s="506"/>
      <c r="EG241" s="13"/>
      <c r="EH241" s="506"/>
      <c r="EI241" s="506"/>
      <c r="EJ241" s="13"/>
      <c r="EK241" s="506"/>
      <c r="EL241" s="506"/>
      <c r="EM241" s="13"/>
      <c r="EN241" s="506"/>
      <c r="EO241" s="506"/>
      <c r="EP241" s="506"/>
      <c r="EQ241" s="13"/>
      <c r="ER241" s="13"/>
      <c r="ES241" s="13"/>
      <c r="ET241" s="138"/>
      <c r="EU241" s="13"/>
      <c r="EV241" s="13"/>
      <c r="EW241" s="13"/>
      <c r="EX241" s="13"/>
      <c r="EY241" s="13"/>
      <c r="EZ241" s="13"/>
      <c r="FA241" s="13"/>
      <c r="FB241" s="307"/>
      <c r="FC241" s="13"/>
      <c r="FD241" s="13"/>
      <c r="FE241" s="13"/>
      <c r="FF241" s="13"/>
      <c r="FG241" s="526"/>
      <c r="FH241" s="526"/>
      <c r="FI241" s="526"/>
      <c r="FJ241" s="526"/>
      <c r="FK241" s="526"/>
      <c r="FL241" s="526"/>
      <c r="FN241" s="522"/>
      <c r="FO241" s="762"/>
      <c r="FQ241" s="13"/>
      <c r="FR241" s="13"/>
      <c r="FS241" s="13"/>
      <c r="FT241" s="13"/>
      <c r="FU241" s="13"/>
      <c r="FV241" s="13"/>
      <c r="FW241" s="13"/>
      <c r="FX241" s="13"/>
      <c r="FY241" s="13"/>
      <c r="FZ241" s="13"/>
      <c r="GA241" s="13"/>
      <c r="GB241" s="13"/>
      <c r="GC241" s="13"/>
      <c r="GD241" s="13"/>
      <c r="GE241" s="13"/>
      <c r="GF241" s="13"/>
      <c r="GG241" s="13"/>
      <c r="GH241" s="13"/>
      <c r="GI241" s="13"/>
      <c r="GJ241" s="13"/>
      <c r="GK241" s="13"/>
      <c r="GL241" s="551"/>
      <c r="GM241" s="551"/>
      <c r="GN241" s="25"/>
      <c r="GO241" s="13"/>
      <c r="GP241" s="25"/>
      <c r="GQ241" s="13"/>
      <c r="GR241" s="13"/>
      <c r="GS241" s="13"/>
      <c r="GT241" s="13"/>
      <c r="GU241" s="13"/>
      <c r="GV241" s="13"/>
      <c r="GW241" s="13"/>
      <c r="GX241" s="13"/>
      <c r="GY241" s="571"/>
      <c r="GZ241" s="13"/>
      <c r="HA241" s="13"/>
      <c r="HB241" s="13"/>
      <c r="HC241" s="13"/>
      <c r="HD241" s="13"/>
      <c r="HE241" s="13"/>
      <c r="HF241" s="13"/>
      <c r="HG241" s="13"/>
      <c r="HH241" s="13"/>
      <c r="HI241" s="13"/>
      <c r="HJ241" s="13"/>
      <c r="HK241" s="13"/>
      <c r="HL241" s="13"/>
      <c r="HM241" s="13"/>
      <c r="HN241" s="13"/>
      <c r="HO241" s="13"/>
      <c r="HP241" s="13"/>
      <c r="HQ241" s="13"/>
      <c r="HR241" s="25"/>
      <c r="HS241" s="13"/>
      <c r="HT241" s="13"/>
      <c r="HU241" s="13"/>
      <c r="HV241" s="13"/>
      <c r="HW241" s="13"/>
      <c r="HX241" s="13"/>
      <c r="HY241" s="13"/>
      <c r="HZ241" s="13"/>
      <c r="IA241" s="13"/>
      <c r="IB241" s="13"/>
      <c r="IC241" s="13"/>
      <c r="ID241" s="13"/>
      <c r="IE241" s="13"/>
      <c r="IF241" s="13"/>
    </row>
    <row r="242" spans="1:240" s="31" customFormat="1">
      <c r="A242" s="717" t="s">
        <v>120</v>
      </c>
      <c r="B242" s="717"/>
      <c r="C242" s="121" t="e">
        <f t="shared" si="439"/>
        <v>#REF!</v>
      </c>
      <c r="D242" s="121" t="e">
        <f t="shared" si="440"/>
        <v>#REF!</v>
      </c>
      <c r="E242" s="121" t="e">
        <f t="shared" si="441"/>
        <v>#REF!</v>
      </c>
      <c r="F242" s="121" t="e">
        <f t="shared" si="442"/>
        <v>#REF!</v>
      </c>
      <c r="G242" s="121" t="e">
        <f t="shared" si="443"/>
        <v>#REF!</v>
      </c>
      <c r="H242" s="13"/>
      <c r="I242" s="13"/>
      <c r="J242" s="13"/>
      <c r="K242" s="13"/>
      <c r="L242" s="233"/>
      <c r="M242" s="153"/>
      <c r="N242" s="153"/>
      <c r="O242" s="15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  <c r="AJ242" s="13"/>
      <c r="AK242" s="657"/>
      <c r="AL242" s="138"/>
      <c r="AM242" s="880"/>
      <c r="AN242" s="13"/>
      <c r="AO242" s="13"/>
      <c r="AP242" s="13"/>
      <c r="AQ242" s="13"/>
      <c r="AR242" s="13"/>
      <c r="AS242" s="13"/>
      <c r="AT242" s="13"/>
      <c r="AU242" s="13"/>
      <c r="AV242" s="13"/>
      <c r="AW242" s="13"/>
      <c r="AX242" s="110"/>
      <c r="AY242" s="24"/>
      <c r="AZ242" s="13"/>
      <c r="BA242" s="13"/>
      <c r="BB242" s="13"/>
      <c r="BC242" s="13"/>
      <c r="BD242" s="13"/>
      <c r="BE242" s="13"/>
      <c r="BF242" s="13"/>
      <c r="BG242" s="13"/>
      <c r="BH242" s="13"/>
      <c r="BI242" s="138"/>
      <c r="BJ242" s="138"/>
      <c r="BK242" s="138"/>
      <c r="BL242" s="138"/>
      <c r="BM242" s="138"/>
      <c r="BN242" s="138"/>
      <c r="BO242" s="961"/>
      <c r="BP242" s="138"/>
      <c r="BQ242" s="138"/>
      <c r="BR242" s="138"/>
      <c r="BS242" s="138"/>
      <c r="BT242" s="138"/>
      <c r="BU242" s="138"/>
      <c r="BV242" s="138"/>
      <c r="BW242" s="138"/>
      <c r="BX242" s="138"/>
      <c r="BY242" s="138"/>
      <c r="BZ242" s="138"/>
      <c r="CA242" s="138"/>
      <c r="CB242" s="138"/>
      <c r="CC242" s="138"/>
      <c r="CD242" s="138"/>
      <c r="CE242" s="138"/>
      <c r="CF242" s="138"/>
      <c r="CG242" s="138"/>
      <c r="CH242" s="138"/>
      <c r="CI242" s="138"/>
      <c r="CJ242" s="138"/>
      <c r="CK242" s="138"/>
      <c r="CL242" s="139"/>
      <c r="CM242" s="139"/>
      <c r="CN242" s="139"/>
      <c r="CO242" s="139"/>
      <c r="CP242" s="139"/>
      <c r="CQ242" s="13"/>
      <c r="CR242" s="506"/>
      <c r="CS242" s="506"/>
      <c r="CT242" s="25"/>
      <c r="CU242" s="13"/>
      <c r="CV242" s="506"/>
      <c r="CW242" s="13"/>
      <c r="CX242" s="506"/>
      <c r="CY242" s="13"/>
      <c r="CZ242" s="13"/>
      <c r="DA242" s="13"/>
      <c r="DB242" s="13"/>
      <c r="DC242" s="13"/>
      <c r="DD242" s="506"/>
      <c r="DE242" s="506"/>
      <c r="DF242" s="13"/>
      <c r="DG242" s="13"/>
      <c r="DH242" s="506"/>
      <c r="DI242" s="506"/>
      <c r="DJ242" s="506"/>
      <c r="DK242" s="13"/>
      <c r="DL242" s="506"/>
      <c r="DM242" s="13"/>
      <c r="DN242" s="13"/>
      <c r="DO242" s="13"/>
      <c r="DP242" s="13"/>
      <c r="DQ242" s="176"/>
      <c r="DR242" s="13"/>
      <c r="DS242" s="506"/>
      <c r="DT242" s="506"/>
      <c r="DU242" s="25"/>
      <c r="DV242" s="506"/>
      <c r="DW242" s="506"/>
      <c r="DX242" s="13"/>
      <c r="DY242" s="506"/>
      <c r="DZ242" s="506"/>
      <c r="EA242" s="13"/>
      <c r="EB242" s="506"/>
      <c r="EC242" s="506"/>
      <c r="ED242" s="13"/>
      <c r="EE242" s="506"/>
      <c r="EF242" s="506"/>
      <c r="EG242" s="13"/>
      <c r="EH242" s="506"/>
      <c r="EI242" s="506"/>
      <c r="EJ242" s="13"/>
      <c r="EK242" s="506"/>
      <c r="EL242" s="506"/>
      <c r="EM242" s="13"/>
      <c r="EN242" s="506"/>
      <c r="EO242" s="506"/>
      <c r="EP242" s="506"/>
      <c r="EQ242" s="13"/>
      <c r="ER242" s="13"/>
      <c r="ES242" s="13"/>
      <c r="ET242" s="138"/>
      <c r="EU242" s="13"/>
      <c r="EV242" s="13"/>
      <c r="EW242" s="13"/>
      <c r="EX242" s="13"/>
      <c r="EY242" s="13"/>
      <c r="EZ242" s="13"/>
      <c r="FA242" s="13"/>
      <c r="FB242" s="307"/>
      <c r="FC242" s="13"/>
      <c r="FD242" s="13"/>
      <c r="FE242" s="13"/>
      <c r="FF242" s="13"/>
      <c r="FG242" s="526"/>
      <c r="FH242" s="526"/>
      <c r="FI242" s="526"/>
      <c r="FJ242" s="526"/>
      <c r="FK242" s="526"/>
      <c r="FL242" s="526"/>
      <c r="FN242" s="522"/>
      <c r="FO242" s="762"/>
      <c r="FQ242" s="13"/>
      <c r="FR242" s="13"/>
      <c r="FS242" s="13"/>
      <c r="FT242" s="13"/>
      <c r="FU242" s="13"/>
      <c r="FV242" s="13"/>
      <c r="FW242" s="13"/>
      <c r="FX242" s="13"/>
      <c r="FY242" s="13"/>
      <c r="FZ242" s="13"/>
      <c r="GA242" s="13"/>
      <c r="GB242" s="13"/>
      <c r="GC242" s="13"/>
      <c r="GD242" s="13"/>
      <c r="GE242" s="13"/>
      <c r="GF242" s="13"/>
      <c r="GG242" s="13"/>
      <c r="GH242" s="13"/>
      <c r="GI242" s="13"/>
      <c r="GJ242" s="13"/>
      <c r="GK242" s="13"/>
      <c r="GL242" s="551"/>
      <c r="GM242" s="551"/>
      <c r="GN242" s="25"/>
      <c r="GO242" s="13"/>
      <c r="GP242" s="25"/>
      <c r="GQ242" s="13"/>
      <c r="GR242" s="13"/>
      <c r="GS242" s="13"/>
      <c r="GT242" s="13"/>
      <c r="GU242" s="13"/>
      <c r="GV242" s="13"/>
      <c r="GW242" s="13"/>
      <c r="GX242" s="13"/>
      <c r="GY242" s="571"/>
      <c r="GZ242" s="13"/>
      <c r="HA242" s="13"/>
      <c r="HB242" s="13"/>
      <c r="HC242" s="13"/>
      <c r="HD242" s="13"/>
      <c r="HE242" s="13"/>
      <c r="HF242" s="13"/>
      <c r="HG242" s="13"/>
      <c r="HH242" s="13"/>
      <c r="HI242" s="13"/>
      <c r="HJ242" s="13"/>
      <c r="HK242" s="13"/>
      <c r="HL242" s="13"/>
      <c r="HM242" s="13"/>
      <c r="HN242" s="13"/>
      <c r="HO242" s="13"/>
      <c r="HP242" s="13"/>
      <c r="HQ242" s="13"/>
      <c r="HR242" s="25"/>
      <c r="HS242" s="13"/>
      <c r="HT242" s="13"/>
      <c r="HU242" s="13"/>
      <c r="HV242" s="13"/>
      <c r="HW242" s="13"/>
      <c r="HX242" s="13"/>
      <c r="HY242" s="13"/>
      <c r="HZ242" s="13"/>
      <c r="IA242" s="13"/>
      <c r="IB242" s="13"/>
      <c r="IC242" s="13"/>
      <c r="ID242" s="13"/>
      <c r="IE242" s="13"/>
      <c r="IF242" s="13"/>
    </row>
    <row r="243" spans="1:240" s="31" customFormat="1">
      <c r="A243" s="713"/>
      <c r="B243" s="713"/>
      <c r="C243" s="25" t="e">
        <f>SUBTOTAL(9,C237:C242)</f>
        <v>#REF!</v>
      </c>
      <c r="D243" s="25" t="e">
        <f>SUM(D237:D242)</f>
        <v>#REF!</v>
      </c>
      <c r="E243" s="25" t="e">
        <f>SUM(E237:E242)</f>
        <v>#REF!</v>
      </c>
      <c r="F243" s="25" t="e">
        <f>SUM(F237:F242)</f>
        <v>#REF!</v>
      </c>
      <c r="G243" s="25" t="e">
        <f>SUM(G237:G242)</f>
        <v>#REF!</v>
      </c>
      <c r="H243" s="13"/>
      <c r="I243" s="13"/>
      <c r="J243" s="13"/>
      <c r="K243" s="13"/>
      <c r="L243" s="233"/>
      <c r="M243" s="153"/>
      <c r="N243" s="153"/>
      <c r="O243" s="15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  <c r="AJ243" s="13"/>
      <c r="AK243" s="657"/>
      <c r="AL243" s="138"/>
      <c r="AM243" s="880"/>
      <c r="AN243" s="13"/>
      <c r="AO243" s="13"/>
      <c r="AP243" s="13"/>
      <c r="AQ243" s="13"/>
      <c r="AR243" s="13"/>
      <c r="AS243" s="13"/>
      <c r="AT243" s="13"/>
      <c r="AU243" s="13"/>
      <c r="AV243" s="13"/>
      <c r="AW243" s="13"/>
      <c r="AX243" s="110"/>
      <c r="AY243" s="24"/>
      <c r="AZ243" s="13"/>
      <c r="BA243" s="13"/>
      <c r="BB243" s="13"/>
      <c r="BC243" s="13"/>
      <c r="BD243" s="13"/>
      <c r="BE243" s="13"/>
      <c r="BF243" s="13"/>
      <c r="BG243" s="13"/>
      <c r="BH243" s="13"/>
      <c r="BI243" s="138"/>
      <c r="BJ243" s="138"/>
      <c r="BK243" s="138"/>
      <c r="BL243" s="138"/>
      <c r="BM243" s="138"/>
      <c r="BN243" s="138"/>
      <c r="BO243" s="961"/>
      <c r="BP243" s="138"/>
      <c r="BQ243" s="138"/>
      <c r="BR243" s="138"/>
      <c r="BS243" s="138"/>
      <c r="BT243" s="138"/>
      <c r="BU243" s="138"/>
      <c r="BV243" s="138"/>
      <c r="BW243" s="138"/>
      <c r="BX243" s="138"/>
      <c r="BY243" s="138"/>
      <c r="BZ243" s="138"/>
      <c r="CA243" s="138"/>
      <c r="CB243" s="138"/>
      <c r="CC243" s="138"/>
      <c r="CD243" s="138"/>
      <c r="CE243" s="138"/>
      <c r="CF243" s="138"/>
      <c r="CG243" s="138"/>
      <c r="CH243" s="138"/>
      <c r="CI243" s="138"/>
      <c r="CJ243" s="138"/>
      <c r="CK243" s="138"/>
      <c r="CL243" s="139"/>
      <c r="CM243" s="139"/>
      <c r="CN243" s="139"/>
      <c r="CO243" s="139"/>
      <c r="CP243" s="139"/>
      <c r="CQ243" s="13"/>
      <c r="CR243" s="506"/>
      <c r="CS243" s="506"/>
      <c r="CT243" s="25"/>
      <c r="CU243" s="13"/>
      <c r="CV243" s="506"/>
      <c r="CW243" s="13"/>
      <c r="CX243" s="506"/>
      <c r="CY243" s="13"/>
      <c r="CZ243" s="13"/>
      <c r="DA243" s="13"/>
      <c r="DB243" s="13"/>
      <c r="DC243" s="13"/>
      <c r="DD243" s="506"/>
      <c r="DE243" s="506"/>
      <c r="DF243" s="13"/>
      <c r="DG243" s="13"/>
      <c r="DH243" s="506"/>
      <c r="DI243" s="506"/>
      <c r="DJ243" s="506"/>
      <c r="DK243" s="13"/>
      <c r="DL243" s="506"/>
      <c r="DM243" s="13"/>
      <c r="DN243" s="13"/>
      <c r="DO243" s="13"/>
      <c r="DP243" s="13"/>
      <c r="DQ243" s="176"/>
      <c r="DR243" s="13"/>
      <c r="DS243" s="506"/>
      <c r="DT243" s="506"/>
      <c r="DU243" s="25"/>
      <c r="DV243" s="506"/>
      <c r="DW243" s="506"/>
      <c r="DX243" s="13"/>
      <c r="DY243" s="506"/>
      <c r="DZ243" s="506"/>
      <c r="EA243" s="13"/>
      <c r="EB243" s="506"/>
      <c r="EC243" s="506"/>
      <c r="ED243" s="13"/>
      <c r="EE243" s="506"/>
      <c r="EF243" s="506"/>
      <c r="EG243" s="13"/>
      <c r="EH243" s="506"/>
      <c r="EI243" s="506"/>
      <c r="EJ243" s="13"/>
      <c r="EK243" s="506"/>
      <c r="EL243" s="506"/>
      <c r="EM243" s="13"/>
      <c r="EN243" s="506"/>
      <c r="EO243" s="506"/>
      <c r="EP243" s="506"/>
      <c r="EQ243" s="13"/>
      <c r="ER243" s="13"/>
      <c r="ES243" s="13"/>
      <c r="ET243" s="138"/>
      <c r="EU243" s="13"/>
      <c r="EV243" s="13"/>
      <c r="EW243" s="13"/>
      <c r="EX243" s="13"/>
      <c r="EY243" s="13"/>
      <c r="EZ243" s="13"/>
      <c r="FA243" s="13"/>
      <c r="FB243" s="307"/>
      <c r="FC243" s="13"/>
      <c r="FD243" s="13"/>
      <c r="FE243" s="13"/>
      <c r="FF243" s="13"/>
      <c r="FG243" s="526"/>
      <c r="FH243" s="526"/>
      <c r="FI243" s="526"/>
      <c r="FJ243" s="526"/>
      <c r="FK243" s="526"/>
      <c r="FL243" s="526"/>
      <c r="FN243" s="522"/>
      <c r="FO243" s="762"/>
      <c r="FQ243" s="13"/>
      <c r="FR243" s="13"/>
      <c r="FS243" s="13"/>
      <c r="FT243" s="13"/>
      <c r="FU243" s="13"/>
      <c r="FV243" s="13"/>
      <c r="FW243" s="13"/>
      <c r="FX243" s="13"/>
      <c r="FY243" s="13"/>
      <c r="FZ243" s="13"/>
      <c r="GA243" s="13"/>
      <c r="GB243" s="13"/>
      <c r="GC243" s="13"/>
      <c r="GD243" s="13"/>
      <c r="GE243" s="13"/>
      <c r="GF243" s="13"/>
      <c r="GG243" s="13"/>
      <c r="GH243" s="13"/>
      <c r="GI243" s="13"/>
      <c r="GJ243" s="13"/>
      <c r="GK243" s="13"/>
      <c r="GL243" s="551"/>
      <c r="GM243" s="551"/>
      <c r="GN243" s="25"/>
      <c r="GO243" s="13"/>
      <c r="GP243" s="25"/>
      <c r="GQ243" s="13"/>
      <c r="GR243" s="13"/>
      <c r="GS243" s="13"/>
      <c r="GT243" s="13"/>
      <c r="GU243" s="13"/>
      <c r="GV243" s="13"/>
      <c r="GW243" s="13"/>
      <c r="GX243" s="13"/>
      <c r="GY243" s="571"/>
      <c r="GZ243" s="13"/>
      <c r="HA243" s="13"/>
      <c r="HB243" s="13"/>
      <c r="HC243" s="13"/>
      <c r="HD243" s="13"/>
      <c r="HE243" s="13"/>
      <c r="HF243" s="13"/>
      <c r="HG243" s="13"/>
      <c r="HH243" s="13"/>
      <c r="HI243" s="13"/>
      <c r="HJ243" s="13"/>
      <c r="HK243" s="13"/>
      <c r="HL243" s="13"/>
      <c r="HM243" s="13"/>
      <c r="HN243" s="13"/>
      <c r="HO243" s="13"/>
      <c r="HP243" s="13"/>
      <c r="HQ243" s="13"/>
      <c r="HR243" s="25"/>
      <c r="HS243" s="13"/>
      <c r="HT243" s="13"/>
      <c r="HU243" s="13"/>
      <c r="HV243" s="13"/>
      <c r="HW243" s="13"/>
      <c r="HX243" s="13"/>
      <c r="HY243" s="13"/>
      <c r="HZ243" s="13"/>
      <c r="IA243" s="13"/>
      <c r="IB243" s="13"/>
      <c r="IC243" s="13"/>
      <c r="ID243" s="13"/>
      <c r="IE243" s="13"/>
      <c r="IF243" s="13"/>
    </row>
    <row r="244" spans="1:240" s="31" customFormat="1">
      <c r="A244" s="713"/>
      <c r="B244" s="713"/>
      <c r="C244" s="13"/>
      <c r="D244" s="13"/>
      <c r="E244" s="13"/>
      <c r="F244" s="13"/>
      <c r="G244" s="13"/>
      <c r="H244" s="13"/>
      <c r="I244" s="13"/>
      <c r="J244" s="13"/>
      <c r="K244" s="13"/>
      <c r="L244" s="233"/>
      <c r="M244" s="153"/>
      <c r="N244" s="153"/>
      <c r="O244" s="15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  <c r="AJ244" s="13"/>
      <c r="AK244" s="657"/>
      <c r="AL244" s="138"/>
      <c r="AM244" s="880"/>
      <c r="AN244" s="13"/>
      <c r="AO244" s="13"/>
      <c r="AP244" s="13"/>
      <c r="AQ244" s="13"/>
      <c r="AR244" s="13"/>
      <c r="AS244" s="13"/>
      <c r="AT244" s="13"/>
      <c r="AU244" s="13"/>
      <c r="AV244" s="13"/>
      <c r="AW244" s="13"/>
      <c r="AX244" s="110"/>
      <c r="AY244" s="24"/>
      <c r="AZ244" s="13"/>
      <c r="BA244" s="13"/>
      <c r="BB244" s="13"/>
      <c r="BC244" s="13"/>
      <c r="BD244" s="13"/>
      <c r="BE244" s="13"/>
      <c r="BF244" s="13"/>
      <c r="BG244" s="13"/>
      <c r="BH244" s="13"/>
      <c r="BI244" s="138"/>
      <c r="BJ244" s="138"/>
      <c r="BK244" s="138"/>
      <c r="BL244" s="138"/>
      <c r="BM244" s="138"/>
      <c r="BN244" s="138"/>
      <c r="BO244" s="961"/>
      <c r="BP244" s="138"/>
      <c r="BQ244" s="138"/>
      <c r="BR244" s="138"/>
      <c r="BS244" s="138"/>
      <c r="BT244" s="138"/>
      <c r="BU244" s="138"/>
      <c r="BV244" s="138"/>
      <c r="BW244" s="138"/>
      <c r="BX244" s="138"/>
      <c r="BY244" s="138"/>
      <c r="BZ244" s="138"/>
      <c r="CA244" s="138"/>
      <c r="CB244" s="138"/>
      <c r="CC244" s="138"/>
      <c r="CD244" s="138"/>
      <c r="CE244" s="138"/>
      <c r="CF244" s="138"/>
      <c r="CG244" s="138"/>
      <c r="CH244" s="138"/>
      <c r="CI244" s="138"/>
      <c r="CJ244" s="138"/>
      <c r="CK244" s="138"/>
      <c r="CL244" s="139"/>
      <c r="CM244" s="139"/>
      <c r="CN244" s="139"/>
      <c r="CO244" s="139"/>
      <c r="CP244" s="139"/>
      <c r="CQ244" s="13"/>
      <c r="CR244" s="506"/>
      <c r="CS244" s="506"/>
      <c r="CT244" s="25"/>
      <c r="CU244" s="13"/>
      <c r="CV244" s="506"/>
      <c r="CW244" s="13"/>
      <c r="CX244" s="506"/>
      <c r="CY244" s="13"/>
      <c r="CZ244" s="13"/>
      <c r="DA244" s="13"/>
      <c r="DB244" s="13"/>
      <c r="DC244" s="13"/>
      <c r="DD244" s="506"/>
      <c r="DE244" s="506"/>
      <c r="DF244" s="13"/>
      <c r="DG244" s="13"/>
      <c r="DH244" s="506"/>
      <c r="DI244" s="506"/>
      <c r="DJ244" s="506"/>
      <c r="DK244" s="13"/>
      <c r="DL244" s="506"/>
      <c r="DM244" s="13"/>
      <c r="DN244" s="13"/>
      <c r="DO244" s="13"/>
      <c r="DP244" s="13"/>
      <c r="DQ244" s="176"/>
      <c r="DR244" s="13"/>
      <c r="DS244" s="506"/>
      <c r="DT244" s="506"/>
      <c r="DU244" s="25"/>
      <c r="DV244" s="506"/>
      <c r="DW244" s="506"/>
      <c r="DX244" s="13"/>
      <c r="DY244" s="506"/>
      <c r="DZ244" s="506"/>
      <c r="EA244" s="13"/>
      <c r="EB244" s="506"/>
      <c r="EC244" s="506"/>
      <c r="ED244" s="13"/>
      <c r="EE244" s="506"/>
      <c r="EF244" s="506"/>
      <c r="EG244" s="13"/>
      <c r="EH244" s="506"/>
      <c r="EI244" s="506"/>
      <c r="EJ244" s="13"/>
      <c r="EK244" s="506"/>
      <c r="EL244" s="506"/>
      <c r="EM244" s="13"/>
      <c r="EN244" s="506"/>
      <c r="EO244" s="506"/>
      <c r="EP244" s="506"/>
      <c r="EQ244" s="13"/>
      <c r="ER244" s="13"/>
      <c r="ES244" s="13"/>
      <c r="ET244" s="138"/>
      <c r="EU244" s="13"/>
      <c r="EV244" s="13"/>
      <c r="EW244" s="13"/>
      <c r="EX244" s="13"/>
      <c r="EY244" s="13"/>
      <c r="EZ244" s="13"/>
      <c r="FA244" s="13"/>
      <c r="FB244" s="307"/>
      <c r="FC244" s="13"/>
      <c r="FD244" s="13"/>
      <c r="FE244" s="13"/>
      <c r="FF244" s="13"/>
      <c r="FG244" s="526"/>
      <c r="FH244" s="526"/>
      <c r="FI244" s="526"/>
      <c r="FJ244" s="526"/>
      <c r="FK244" s="526"/>
      <c r="FL244" s="526"/>
      <c r="FN244" s="522"/>
      <c r="FO244" s="762"/>
      <c r="FQ244" s="13"/>
      <c r="FR244" s="13"/>
      <c r="FS244" s="13"/>
      <c r="FT244" s="13"/>
      <c r="FU244" s="13"/>
      <c r="FV244" s="13"/>
      <c r="FW244" s="13"/>
      <c r="FX244" s="13"/>
      <c r="FY244" s="13"/>
      <c r="FZ244" s="13"/>
      <c r="GA244" s="13"/>
      <c r="GB244" s="13"/>
      <c r="GC244" s="13"/>
      <c r="GD244" s="13"/>
      <c r="GE244" s="13"/>
      <c r="GF244" s="13"/>
      <c r="GG244" s="13"/>
      <c r="GH244" s="13"/>
      <c r="GI244" s="13"/>
      <c r="GJ244" s="13"/>
      <c r="GK244" s="13"/>
      <c r="GL244" s="551"/>
      <c r="GM244" s="551"/>
      <c r="GN244" s="25"/>
      <c r="GO244" s="13"/>
      <c r="GP244" s="25"/>
      <c r="GQ244" s="13"/>
      <c r="GR244" s="13"/>
      <c r="GS244" s="13"/>
      <c r="GT244" s="13"/>
      <c r="GU244" s="13"/>
      <c r="GV244" s="13"/>
      <c r="GW244" s="13"/>
      <c r="GX244" s="13"/>
      <c r="GY244" s="571"/>
      <c r="GZ244" s="13"/>
      <c r="HA244" s="13"/>
      <c r="HB244" s="13"/>
      <c r="HC244" s="13"/>
      <c r="HD244" s="13"/>
      <c r="HE244" s="13"/>
      <c r="HF244" s="13"/>
      <c r="HG244" s="13"/>
      <c r="HH244" s="13"/>
      <c r="HI244" s="13"/>
      <c r="HJ244" s="13"/>
      <c r="HK244" s="13"/>
      <c r="HL244" s="13"/>
      <c r="HM244" s="13"/>
      <c r="HN244" s="13"/>
      <c r="HO244" s="13"/>
      <c r="HP244" s="13"/>
      <c r="HQ244" s="13"/>
      <c r="HR244" s="25"/>
      <c r="HS244" s="13"/>
      <c r="HT244" s="13"/>
      <c r="HU244" s="13"/>
      <c r="HV244" s="13"/>
      <c r="HW244" s="13"/>
      <c r="HX244" s="13"/>
      <c r="HY244" s="13"/>
      <c r="HZ244" s="13"/>
      <c r="IA244" s="13"/>
      <c r="IB244" s="13"/>
      <c r="IC244" s="13"/>
      <c r="ID244" s="13"/>
      <c r="IE244" s="13"/>
      <c r="IF244" s="13"/>
    </row>
  </sheetData>
  <autoFilter ref="A1:IF135"/>
  <sortState ref="A39:A44">
    <sortCondition ref="A39"/>
  </sortState>
  <dataConsolidate/>
  <mergeCells count="7">
    <mergeCell ref="D178:P178"/>
    <mergeCell ref="D179:E179"/>
    <mergeCell ref="N179:O179"/>
    <mergeCell ref="L179:M179"/>
    <mergeCell ref="J179:K179"/>
    <mergeCell ref="H179:I179"/>
    <mergeCell ref="F179:G179"/>
  </mergeCells>
  <conditionalFormatting sqref="DY60">
    <cfRule type="expression" dxfId="61" priority="424">
      <formula>$AJ60&gt;TODAY()</formula>
    </cfRule>
  </conditionalFormatting>
  <conditionalFormatting sqref="DV60">
    <cfRule type="expression" dxfId="60" priority="406">
      <formula>$AG60&gt;TODAY()</formula>
    </cfRule>
  </conditionalFormatting>
  <conditionalFormatting sqref="DE2:DE120 DE122:DE134">
    <cfRule type="expression" dxfId="59" priority="718">
      <formula>$DE2&gt;=TODAY()</formula>
    </cfRule>
  </conditionalFormatting>
  <conditionalFormatting sqref="DD2:DD89 DD128:DD134 DD91:DD120 DD122:DD126">
    <cfRule type="expression" dxfId="58" priority="719">
      <formula>$DD2&gt;=TODAY()</formula>
    </cfRule>
  </conditionalFormatting>
  <conditionalFormatting sqref="DA9 DA32 DB2:DB120 DB122:DB134">
    <cfRule type="expression" dxfId="57" priority="720">
      <formula>$DB2&gt;=TODAY()</formula>
    </cfRule>
  </conditionalFormatting>
  <conditionalFormatting sqref="DA2:DA8 DA10:DA31 DA128:DA134 DA33:DA120 DD90 DA122:DA126">
    <cfRule type="expression" dxfId="56" priority="723">
      <formula>$DA2&gt;=TODAY()</formula>
    </cfRule>
  </conditionalFormatting>
  <conditionalFormatting sqref="CY2:CY120 CY122:CY134">
    <cfRule type="expression" dxfId="55" priority="726">
      <formula>$CY2&gt;=TODAY()</formula>
    </cfRule>
  </conditionalFormatting>
  <conditionalFormatting sqref="CX128:CX134 CX2:CX120 CX122:CX126">
    <cfRule type="expression" dxfId="54" priority="727">
      <formula>$CX2&gt;=TODAY()</formula>
    </cfRule>
  </conditionalFormatting>
  <conditionalFormatting sqref="CV128:CV134 CV2:CV120 CV122:CV126">
    <cfRule type="expression" dxfId="53" priority="728">
      <formula>$CV2&gt;=TODAY()</formula>
    </cfRule>
  </conditionalFormatting>
  <conditionalFormatting sqref="CU128:CU134 CU2:CU120 CU122:CU126">
    <cfRule type="expression" dxfId="52" priority="729">
      <formula>$CU2&gt;=TODAY()</formula>
    </cfRule>
  </conditionalFormatting>
  <conditionalFormatting sqref="CS128:CS134 CS2:CS120 CS122:CS126">
    <cfRule type="expression" dxfId="51" priority="730">
      <formula>$CS2&gt;=TODAY()</formula>
    </cfRule>
  </conditionalFormatting>
  <conditionalFormatting sqref="CR128:CR134 CR2:CR120 CR122:CR126">
    <cfRule type="expression" dxfId="50" priority="731">
      <formula>$CR2&gt;=TODAY()</formula>
    </cfRule>
  </conditionalFormatting>
  <conditionalFormatting sqref="DL128:DL134 DL2:DL120 DL122:DL126">
    <cfRule type="expression" dxfId="49" priority="843">
      <formula>$DL2&gt;=TODAY()</formula>
    </cfRule>
  </conditionalFormatting>
  <conditionalFormatting sqref="DJ2:DJ32 DJ128:DJ134 DJ34:DJ120 DJ122:DJ126">
    <cfRule type="expression" dxfId="48" priority="846">
      <formula>$DJ2&gt;=TODAY()</formula>
    </cfRule>
  </conditionalFormatting>
  <conditionalFormatting sqref="DJ33 DI128:DI134 DI2:DI120 DI122:DI126">
    <cfRule type="expression" dxfId="47" priority="849">
      <formula>$DI2&gt;=TODAY()</formula>
    </cfRule>
  </conditionalFormatting>
  <conditionalFormatting sqref="DW2:DW22 DW124:DW134 DZ122:DZ134 DZ2:DZ120">
    <cfRule type="expression" dxfId="46" priority="930">
      <formula>$DZ2&gt;=TODAY()</formula>
    </cfRule>
  </conditionalFormatting>
  <conditionalFormatting sqref="EP128:EP134 EP2:EP120 EP122:EP126">
    <cfRule type="expression" dxfId="45" priority="934">
      <formula>$EP2&gt;=TODAY()</formula>
    </cfRule>
  </conditionalFormatting>
  <conditionalFormatting sqref="EO128:EO134 EO2:EO120 EO122:EO126">
    <cfRule type="expression" dxfId="44" priority="935">
      <formula>$EO2&gt;=TODAY()</formula>
    </cfRule>
  </conditionalFormatting>
  <conditionalFormatting sqref="EN128:EN134 EN2:EN120 EN122:EN126">
    <cfRule type="expression" dxfId="43" priority="936">
      <formula>$EN2&gt;=TODAY()</formula>
    </cfRule>
  </conditionalFormatting>
  <conditionalFormatting sqref="EL122:EL134 EL2:EL118">
    <cfRule type="expression" dxfId="42" priority="937">
      <formula>$EL2&gt;=TODAY()</formula>
    </cfRule>
  </conditionalFormatting>
  <conditionalFormatting sqref="EK122:EK134 EK2:EK120">
    <cfRule type="expression" dxfId="41" priority="938">
      <formula>$EK2&gt;=TODAY()</formula>
    </cfRule>
  </conditionalFormatting>
  <conditionalFormatting sqref="EF61:EF66 EI122:EI134 EI2:EI120">
    <cfRule type="expression" dxfId="40" priority="939">
      <formula>$EI2&gt;=TODAY()</formula>
    </cfRule>
  </conditionalFormatting>
  <conditionalFormatting sqref="EH122:EH134 EH2:EH120">
    <cfRule type="expression" dxfId="39" priority="940">
      <formula>$EH2&gt;=TODAY()</formula>
    </cfRule>
  </conditionalFormatting>
  <conditionalFormatting sqref="EF2:EF60 EF122:EF134 EF67:EF120">
    <cfRule type="expression" dxfId="38" priority="941">
      <formula>$EF2&gt;=TODAY()</formula>
    </cfRule>
  </conditionalFormatting>
  <conditionalFormatting sqref="EE122:EE134 EE2:EE120">
    <cfRule type="expression" dxfId="37" priority="942">
      <formula>$EE2&gt;=TODAY()</formula>
    </cfRule>
  </conditionalFormatting>
  <conditionalFormatting sqref="EC122:EC134 EC2:EC120">
    <cfRule type="expression" dxfId="36" priority="943">
      <formula>$EC2&gt;=TODAY()</formula>
    </cfRule>
  </conditionalFormatting>
  <conditionalFormatting sqref="EB2:EB120 EB122:EB134">
    <cfRule type="expression" dxfId="35" priority="944">
      <formula>$EB2&gt;=TODAY()</formula>
    </cfRule>
  </conditionalFormatting>
  <conditionalFormatting sqref="DY2:DY47 DY128:DY134 DY56:DY120 DY123:DY126">
    <cfRule type="expression" dxfId="34" priority="947">
      <formula>$DY2&gt;=TODAY()</formula>
    </cfRule>
  </conditionalFormatting>
  <conditionalFormatting sqref="DY48:DY55 DV2:DV120 DV122:DV134">
    <cfRule type="expression" dxfId="33" priority="949">
      <formula>$DV2&gt;=TODAY()</formula>
    </cfRule>
  </conditionalFormatting>
  <conditionalFormatting sqref="DT2:DT120 DT122:DT134">
    <cfRule type="expression" dxfId="32" priority="951">
      <formula>$DT2&gt;=TODAY()</formula>
    </cfRule>
  </conditionalFormatting>
  <conditionalFormatting sqref="DS128:DS134 DS2:DS120 DS122:DS126">
    <cfRule type="expression" dxfId="31" priority="955">
      <formula>$DS2&gt;=TODAY()</formula>
    </cfRule>
  </conditionalFormatting>
  <conditionalFormatting sqref="EL119:EL120">
    <cfRule type="expression" dxfId="30" priority="273">
      <formula>$EL119&gt;=TODAY()</formula>
    </cfRule>
  </conditionalFormatting>
  <conditionalFormatting sqref="DY122">
    <cfRule type="expression" dxfId="29" priority="179">
      <formula>$DZ122&gt;=TODAY()</formula>
    </cfRule>
  </conditionalFormatting>
  <conditionalFormatting sqref="DU121">
    <cfRule type="expression" dxfId="28" priority="56">
      <formula>$DV121&gt;=TODAY()</formula>
    </cfRule>
  </conditionalFormatting>
  <conditionalFormatting sqref="DS121">
    <cfRule type="expression" dxfId="27" priority="57">
      <formula>$DT121&gt;=TODAY()</formula>
    </cfRule>
  </conditionalFormatting>
  <conditionalFormatting sqref="DR121">
    <cfRule type="expression" dxfId="26" priority="58">
      <formula>$DS121&gt;=TODAY()</formula>
    </cfRule>
  </conditionalFormatting>
  <conditionalFormatting sqref="DD121">
    <cfRule type="expression" dxfId="25" priority="31">
      <formula>$DE121&gt;=TODAY()</formula>
    </cfRule>
  </conditionalFormatting>
  <conditionalFormatting sqref="DC121">
    <cfRule type="expression" dxfId="24" priority="32">
      <formula>$DD121&gt;=TODAY()</formula>
    </cfRule>
  </conditionalFormatting>
  <conditionalFormatting sqref="DA121">
    <cfRule type="expression" dxfId="23" priority="33">
      <formula>$DB121&gt;=TODAY()</formula>
    </cfRule>
  </conditionalFormatting>
  <conditionalFormatting sqref="CZ121">
    <cfRule type="expression" dxfId="22" priority="34">
      <formula>$DA121&gt;=TODAY()</formula>
    </cfRule>
  </conditionalFormatting>
  <conditionalFormatting sqref="CX121">
    <cfRule type="expression" dxfId="21" priority="35">
      <formula>$CY121&gt;=TODAY()</formula>
    </cfRule>
  </conditionalFormatting>
  <conditionalFormatting sqref="CW121">
    <cfRule type="expression" dxfId="20" priority="36">
      <formula>$CX121&gt;=TODAY()</formula>
    </cfRule>
  </conditionalFormatting>
  <conditionalFormatting sqref="CU121">
    <cfRule type="expression" dxfId="19" priority="37">
      <formula>$CV121&gt;=TODAY()</formula>
    </cfRule>
  </conditionalFormatting>
  <conditionalFormatting sqref="CT121">
    <cfRule type="expression" dxfId="18" priority="38">
      <formula>$CU121&gt;=TODAY()</formula>
    </cfRule>
  </conditionalFormatting>
  <conditionalFormatting sqref="CR121">
    <cfRule type="expression" dxfId="17" priority="39">
      <formula>$CS121&gt;=TODAY()</formula>
    </cfRule>
  </conditionalFormatting>
  <conditionalFormatting sqref="CQ121">
    <cfRule type="expression" dxfId="16" priority="40">
      <formula>$CR121&gt;=TODAY()</formula>
    </cfRule>
  </conditionalFormatting>
  <conditionalFormatting sqref="DK121">
    <cfRule type="expression" dxfId="15" priority="41">
      <formula>$DL121&gt;=TODAY()</formula>
    </cfRule>
  </conditionalFormatting>
  <conditionalFormatting sqref="DI121">
    <cfRule type="expression" dxfId="14" priority="42">
      <formula>$DJ121&gt;=TODAY()</formula>
    </cfRule>
  </conditionalFormatting>
  <conditionalFormatting sqref="DH121">
    <cfRule type="expression" dxfId="13" priority="43">
      <formula>$DI121&gt;=TODAY()</formula>
    </cfRule>
  </conditionalFormatting>
  <conditionalFormatting sqref="DY121">
    <cfRule type="expression" dxfId="12" priority="44">
      <formula>$DZ121&gt;=TODAY()</formula>
    </cfRule>
  </conditionalFormatting>
  <conditionalFormatting sqref="EO121">
    <cfRule type="expression" dxfId="11" priority="45">
      <formula>$EP121&gt;=TODAY()</formula>
    </cfRule>
  </conditionalFormatting>
  <conditionalFormatting sqref="EN121">
    <cfRule type="expression" dxfId="10" priority="46">
      <formula>$EO121&gt;=TODAY()</formula>
    </cfRule>
  </conditionalFormatting>
  <conditionalFormatting sqref="EM121">
    <cfRule type="expression" dxfId="9" priority="47">
      <formula>$EN121&gt;=TODAY()</formula>
    </cfRule>
  </conditionalFormatting>
  <conditionalFormatting sqref="EJ121">
    <cfRule type="expression" dxfId="8" priority="48">
      <formula>$EK121&gt;=TODAY()</formula>
    </cfRule>
  </conditionalFormatting>
  <conditionalFormatting sqref="EH121">
    <cfRule type="expression" dxfId="7" priority="49">
      <formula>$EI121&gt;=TODAY()</formula>
    </cfRule>
  </conditionalFormatting>
  <conditionalFormatting sqref="EG121">
    <cfRule type="expression" dxfId="6" priority="50">
      <formula>$EH121&gt;=TODAY()</formula>
    </cfRule>
  </conditionalFormatting>
  <conditionalFormatting sqref="EE121">
    <cfRule type="expression" dxfId="5" priority="51">
      <formula>$EF121&gt;=TODAY()</formula>
    </cfRule>
  </conditionalFormatting>
  <conditionalFormatting sqref="ED121">
    <cfRule type="expression" dxfId="4" priority="52">
      <formula>$EE121&gt;=TODAY()</formula>
    </cfRule>
  </conditionalFormatting>
  <conditionalFormatting sqref="EB121">
    <cfRule type="expression" dxfId="3" priority="53">
      <formula>$EC121&gt;=TODAY()</formula>
    </cfRule>
  </conditionalFormatting>
  <conditionalFormatting sqref="EA121">
    <cfRule type="expression" dxfId="2" priority="54">
      <formula>$EB121&gt;=TODAY()</formula>
    </cfRule>
  </conditionalFormatting>
  <conditionalFormatting sqref="DX121">
    <cfRule type="expression" dxfId="1" priority="55">
      <formula>$DY121&gt;=TODAY()</formula>
    </cfRule>
  </conditionalFormatting>
  <conditionalFormatting sqref="EK121">
    <cfRule type="expression" dxfId="0" priority="30">
      <formula>$EL121&gt;=TODAY()</formula>
    </cfRule>
  </conditionalFormatting>
  <dataValidations count="10">
    <dataValidation type="list" allowBlank="1" showInputMessage="1" showErrorMessage="1" sqref="BI135:BK135 BC2:BD2 AY127 BD134 BB104:BB114 BB2:BB90 BD128:BD132 BB128:BC134 BB92:BB100 BB115:BD126">
      <formula1>"oui,non"</formula1>
    </dataValidation>
    <dataValidation type="list" allowBlank="1" showInputMessage="1" showErrorMessage="1" sqref="P135:V135 X135:AC135 C135:D135">
      <formula1>"Avirons,Entre-Deux,Etang-Salé,Petite-Ile,St Joseph,St Leu,St Louis,St Paul,St Philippe,St Pierre,Tampon,Trois Bassins"</formula1>
    </dataValidation>
    <dataValidation type="list" allowBlank="1" showInputMessage="1" showErrorMessage="1" sqref="BG135:BH135 FI135:FL135 DM135:DO135 DQ135:DR135 EQ135:FF135 FQ135:GK135">
      <formula1>"FHO,FMA,JDC,JFO,LIM,SFE,YFR"</formula1>
    </dataValidation>
    <dataValidation type="list" allowBlank="1" showInputMessage="1" showErrorMessage="1" sqref="BG127">
      <formula1>"INGEPAR,OFOI"</formula1>
    </dataValidation>
    <dataValidation type="list" allowBlank="1" showInputMessage="1" showErrorMessage="1" sqref="AX127 BB91 BA2:BA90 BA128:BA134 BA92:BA100 BA104:BA126">
      <formula1>"MDV,collectif"</formula1>
    </dataValidation>
    <dataValidation type="list" allowBlank="1" showInputMessage="1" showErrorMessage="1" sqref="BL127:BM127 BO127:BQ127">
      <formula1>"Oui,Non"</formula1>
    </dataValidation>
    <dataValidation type="list" allowBlank="1" showInputMessage="1" showErrorMessage="1" sqref="AD2:AD100 AD104:AD134">
      <formula1>"LLS,LLTS,PLS,Rehab"</formula1>
    </dataValidation>
    <dataValidation type="list" allowBlank="1" showInputMessage="1" showErrorMessage="1" sqref="C2:C134">
      <formula1>"Avirons,Cilaos,Entre-Deux,Etang-Salé,La Possession,Petite-Ile,St Joseph,St Leu,St Louis,St Paul,St Philippe,St Pierre,Tampon,Trois Bassins"</formula1>
    </dataValidation>
    <dataValidation type="list" allowBlank="1" showInputMessage="1" showErrorMessage="1" sqref="D2:D134">
      <formula1>"CA SUD,CIVIS,TCO"</formula1>
    </dataValidation>
    <dataValidation type="list" allowBlank="1" showInputMessage="1" showErrorMessage="1" sqref="G2:G134">
      <formula1>"APU,BBL,EMO,FHO,FVA,JER,TQU,YFR"</formula1>
    </dataValidation>
  </dataValidations>
  <pageMargins left="0.23622047244094491" right="0.23622047244094491" top="0.74803149606299213" bottom="0.74803149606299213" header="0.31496062992125984" footer="0.31496062992125984"/>
  <pageSetup paperSize="8" scale="10" orientation="landscape" r:id="rId1"/>
  <headerFooter>
    <oddFooter>Préparé par NBL &amp;D&amp;RPage &amp;P</oddFooter>
  </headerFooter>
  <colBreaks count="2" manualBreakCount="2">
    <brk id="214" max="1048575" man="1"/>
    <brk id="235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35</vt:i4>
      </vt:variant>
    </vt:vector>
  </HeadingPairs>
  <TitlesOfParts>
    <vt:vector size="37" baseType="lpstr">
      <vt:lpstr>SYNTHESE</vt:lpstr>
      <vt:lpstr>Données initiales</vt:lpstr>
      <vt:lpstr>Annee_Inaug</vt:lpstr>
      <vt:lpstr>Annee_OS</vt:lpstr>
      <vt:lpstr>Arrêté_LBU</vt:lpstr>
      <vt:lpstr>Ass</vt:lpstr>
      <vt:lpstr>AUTRES_SUB</vt:lpstr>
      <vt:lpstr>Avancement</vt:lpstr>
      <vt:lpstr>CAF</vt:lpstr>
      <vt:lpstr>CI</vt:lpstr>
      <vt:lpstr>Dde_prêt</vt:lpstr>
      <vt:lpstr>Délai_prêt</vt:lpstr>
      <vt:lpstr>Ecart_DEAL_OS</vt:lpstr>
      <vt:lpstr>Fonds_propres</vt:lpstr>
      <vt:lpstr>'Données initiales'!Impression_des_titres</vt:lpstr>
      <vt:lpstr>LBU_obtenue</vt:lpstr>
      <vt:lpstr>Livraison</vt:lpstr>
      <vt:lpstr>LLS</vt:lpstr>
      <vt:lpstr>LLTS</vt:lpstr>
      <vt:lpstr>'Données initiales'!LMDom</vt:lpstr>
      <vt:lpstr>Loyers</vt:lpstr>
      <vt:lpstr>Nlgts</vt:lpstr>
      <vt:lpstr>Nlgts_hors_rehab</vt:lpstr>
      <vt:lpstr>OS</vt:lpstr>
      <vt:lpstr>PEEC</vt:lpstr>
      <vt:lpstr>PRET</vt:lpstr>
      <vt:lpstr>Prix_Achat_TTC</vt:lpstr>
      <vt:lpstr>Prog</vt:lpstr>
      <vt:lpstr>PRP</vt:lpstr>
      <vt:lpstr>Px_Foncier</vt:lpstr>
      <vt:lpstr>Retard_loyer</vt:lpstr>
      <vt:lpstr>RO</vt:lpstr>
      <vt:lpstr>S_TERRAIN</vt:lpstr>
      <vt:lpstr>SF</vt:lpstr>
      <vt:lpstr>SHAB_VEFA</vt:lpstr>
      <vt:lpstr>Type</vt:lpstr>
      <vt:lpstr>Ville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Nathalie BLANDINO</cp:lastModifiedBy>
  <cp:lastPrinted>2019-06-28T04:43:50Z</cp:lastPrinted>
  <dcterms:created xsi:type="dcterms:W3CDTF">2012-11-19T18:43:46Z</dcterms:created>
  <dcterms:modified xsi:type="dcterms:W3CDTF">2019-07-01T06:57:27Z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